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27795" windowHeight="12105"/>
  </bookViews>
  <sheets>
    <sheet name="прилож 5" sheetId="1" r:id="rId1"/>
  </sheets>
  <definedNames>
    <definedName name="_PBuh_">#REF!</definedName>
    <definedName name="_PRuk_">#REF!</definedName>
    <definedName name="_xlnm.Print_Titles" localSheetId="0">'прилож 5'!$4:$5</definedName>
  </definedNames>
  <calcPr calcId="145621"/>
</workbook>
</file>

<file path=xl/calcChain.xml><?xml version="1.0" encoding="utf-8"?>
<calcChain xmlns="http://schemas.openxmlformats.org/spreadsheetml/2006/main">
  <c r="F24" i="1" l="1"/>
  <c r="D22" i="1"/>
  <c r="F47" i="1"/>
  <c r="D34" i="1"/>
  <c r="F31" i="1" l="1"/>
  <c r="F55" i="1" l="1"/>
  <c r="D54" i="1"/>
  <c r="F32" i="1"/>
  <c r="F44" i="1"/>
  <c r="F15" i="1" l="1"/>
  <c r="D58" i="1" l="1"/>
  <c r="D83" i="1"/>
  <c r="F83" i="1"/>
  <c r="F49" i="1" l="1"/>
  <c r="D14" i="1" l="1"/>
  <c r="E14" i="1" s="1"/>
  <c r="E34" i="1" l="1"/>
  <c r="F45" i="1"/>
  <c r="F46" i="1"/>
  <c r="F57" i="1" l="1"/>
  <c r="D89" i="1"/>
  <c r="F8" i="1" l="1"/>
  <c r="F78" i="1" l="1"/>
  <c r="D20" i="1" l="1"/>
  <c r="D86" i="1"/>
  <c r="D78" i="1" l="1"/>
  <c r="D70" i="1"/>
  <c r="D50" i="1"/>
  <c r="D7" i="1" l="1"/>
  <c r="F26" i="1" l="1"/>
  <c r="F12" i="1" l="1"/>
  <c r="E89" i="1" l="1"/>
  <c r="E88" i="1"/>
  <c r="E86" i="1"/>
  <c r="F85" i="1"/>
  <c r="D85" i="1"/>
  <c r="C85" i="1"/>
  <c r="E84" i="1"/>
  <c r="E83" i="1"/>
  <c r="E82" i="1"/>
  <c r="E81" i="1"/>
  <c r="E80" i="1"/>
  <c r="E78" i="1"/>
  <c r="F77" i="1"/>
  <c r="D77" i="1"/>
  <c r="C77" i="1"/>
  <c r="E76" i="1"/>
  <c r="E70" i="1"/>
  <c r="F69" i="1"/>
  <c r="D69" i="1"/>
  <c r="C69" i="1"/>
  <c r="E68" i="1"/>
  <c r="E67" i="1"/>
  <c r="E66" i="1"/>
  <c r="E65" i="1"/>
  <c r="E64" i="1"/>
  <c r="E58" i="1"/>
  <c r="F53" i="1"/>
  <c r="E54" i="1"/>
  <c r="D53" i="1"/>
  <c r="C53" i="1"/>
  <c r="E52" i="1"/>
  <c r="E50" i="1"/>
  <c r="D49" i="1"/>
  <c r="C49" i="1"/>
  <c r="E48" i="1"/>
  <c r="D33" i="1"/>
  <c r="C33" i="1"/>
  <c r="F25" i="1"/>
  <c r="F21" i="1" s="1"/>
  <c r="E22" i="1"/>
  <c r="D21" i="1"/>
  <c r="C21" i="1"/>
  <c r="E20" i="1"/>
  <c r="F19" i="1"/>
  <c r="D19" i="1"/>
  <c r="C19" i="1"/>
  <c r="E18" i="1"/>
  <c r="F6" i="1"/>
  <c r="E13" i="1"/>
  <c r="E7" i="1"/>
  <c r="D6" i="1"/>
  <c r="C6" i="1"/>
  <c r="E85" i="1" l="1"/>
  <c r="H85" i="1" s="1"/>
  <c r="E49" i="1"/>
  <c r="E77" i="1"/>
  <c r="H77" i="1" s="1"/>
  <c r="F33" i="1"/>
  <c r="F91" i="1" s="1"/>
  <c r="E19" i="1"/>
  <c r="H19" i="1" s="1"/>
  <c r="E21" i="1"/>
  <c r="H21" i="1" s="1"/>
  <c r="C91" i="1"/>
  <c r="E33" i="1"/>
  <c r="E53" i="1"/>
  <c r="H53" i="1" s="1"/>
  <c r="H49" i="1"/>
  <c r="D91" i="1"/>
  <c r="E69" i="1"/>
  <c r="H69" i="1" s="1"/>
  <c r="E6" i="1"/>
  <c r="H6" i="1" s="1"/>
  <c r="E91" i="1" l="1"/>
  <c r="H91" i="1" s="1"/>
  <c r="H33" i="1"/>
</calcChain>
</file>

<file path=xl/sharedStrings.xml><?xml version="1.0" encoding="utf-8"?>
<sst xmlns="http://schemas.openxmlformats.org/spreadsheetml/2006/main" count="120" uniqueCount="109">
  <si>
    <t>тыс. рублей</t>
  </si>
  <si>
    <t xml:space="preserve"> Раз дел</t>
  </si>
  <si>
    <t>Наименование разделов/ ГРБС</t>
  </si>
  <si>
    <t>Утвержденный бюджет на 2024 год</t>
  </si>
  <si>
    <t>Ассигнования на 2024 год</t>
  </si>
  <si>
    <t>Отклонение</t>
  </si>
  <si>
    <t>проверка (скрыть)</t>
  </si>
  <si>
    <t>Пояснение</t>
  </si>
  <si>
    <t>1</t>
  </si>
  <si>
    <t>Приложение 5 к реестру</t>
  </si>
  <si>
    <t>0100</t>
  </si>
  <si>
    <t>Общегосударственные вопросы, в том числе</t>
  </si>
  <si>
    <t>Администрация МГО</t>
  </si>
  <si>
    <t>Увеличение (перемещение) ассигнований в сумме  3899,9 тыс. рублей в том числе:</t>
  </si>
  <si>
    <t>в сумме 1736,3 тыс. рублей  на  ремонт фасада здания отдела ЗАГС Администрации МГО с раздела 0500</t>
  </si>
  <si>
    <t>в сумме 1200,0 тыс. рублей на текущий ремонт помещений, приобретение оборудования с раздела 0400</t>
  </si>
  <si>
    <t>Собрание депутатов МГО</t>
  </si>
  <si>
    <t>Финансовое управление  Администрации МГО</t>
  </si>
  <si>
    <t>в т.ч.</t>
  </si>
  <si>
    <t>резервный фонд Администрации МГО, зарезервированные на выполнение обязательств по исполнению судебных решений по искам, удовлетворяемых за счет бюджета Округа и иных незапланированных расходов бюджета Округа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</si>
  <si>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</si>
  <si>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</si>
  <si>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Управление ГО и ЧС, отдел ЗАГС)</t>
    </r>
  </si>
  <si>
    <t>0400</t>
  </si>
  <si>
    <t>Национальная экономика,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</si>
  <si>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 (транспорт))</t>
    </r>
  </si>
  <si>
    <t>в сумме 2000,0 тыс. рублей на работы по нанесению дорожной разметки с раздела 0500</t>
  </si>
  <si>
    <t xml:space="preserve">в сумме 1889,7 тыс. рублей перемещение  по наказам избирателей между ГРБС с раздела 0500 </t>
  </si>
  <si>
    <t>в сумме 1558,2 тыс. рублей на возмещение затрат в рамках выполнения мер по частичной мобилизации с раздела 0100</t>
  </si>
  <si>
    <t>в сумме 66,7 тыс. рублей с проектно-изыскательских работ по объекту "Ливневая канализация по ул.Ветеранов, ул.Богдана Хмельницкого, ул.Циолковского, пр.Октября, ул.Уральской" на раздел 0500</t>
  </si>
  <si>
    <t>0500</t>
  </si>
  <si>
    <t>Жилищно-коммунальное хоз-во,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</si>
  <si>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</t>
    </r>
  </si>
  <si>
    <t>Увеличение (перемещение) ассигнований в сумме  12380,8 тыс. рублей в том числе:</t>
  </si>
  <si>
    <t>в сумме 66,7 тыс. рублей на строительно-монтажные работы по объекту "Закольцовка водовода в Северной части г. Миасс" с раздела 0500</t>
  </si>
  <si>
    <t>в сумме 3000,0 тыс. рублей на приобретение оборудования с раздела 0100</t>
  </si>
  <si>
    <t>в сумме 9158,0 тыс. рублей на благоустройство пляжа "Поликарповский"  с раздела 1100</t>
  </si>
  <si>
    <t>в сумме 156,1 тыс. рублей  перемещение  по инициативному бюджетированию между разделами с раздела 0400</t>
  </si>
  <si>
    <t>в сумме 4700,0 тыс. рублей с проектно-изыскательских работ по объекту   "Строительство системы водоснабжения в п. Мелентьевка города Миасса" на разделы 0100, 0400</t>
  </si>
  <si>
    <t>Управление ФКиС АМГО</t>
  </si>
  <si>
    <t>0600</t>
  </si>
  <si>
    <t>Охрана  окружающей  среды, в том числе</t>
  </si>
  <si>
    <t>0700</t>
  </si>
  <si>
    <t>Образование, в том числе</t>
  </si>
  <si>
    <t>Управление образования Администрации МГО</t>
  </si>
  <si>
    <r>
      <t xml:space="preserve">Управление культуры Администрации МГО </t>
    </r>
    <r>
      <rPr>
        <i/>
        <sz val="11"/>
        <rFont val="Times New Roman"/>
        <family val="1"/>
        <charset val="204"/>
      </rPr>
      <t>(муз.школы)</t>
    </r>
  </si>
  <si>
    <t xml:space="preserve">Управление социальной защиты населения Администрации МГО </t>
  </si>
  <si>
    <t>0800</t>
  </si>
  <si>
    <t>Культура,  в том числе</t>
  </si>
  <si>
    <t>Управление культуры Администрации МГО</t>
  </si>
  <si>
    <t>Увеличение (перемещение) ассигнований в сумме  790,0 тыс. рублей в том числе:</t>
  </si>
  <si>
    <t>в сумме 200,0 тыс. рублей на проведение Государственной историко-культурной экспертизы научно-проектной документации для выполнения ремонтных и реставрационных работ внутренних помещений объекта культурного наследия регионального значения «Бывший особняк Симонова» (МБУ «Городской краеведческий музей») с раздела 0100</t>
  </si>
  <si>
    <t xml:space="preserve">в сумме 590,0 тыс. рублей перемещение  по наказам избирателей между ГРБС с раздела 0500 </t>
  </si>
  <si>
    <t>1000</t>
  </si>
  <si>
    <t>Социальная политика, в том числе</t>
  </si>
  <si>
    <r>
      <t>Управление социальной защиты населения Администрации МГО (</t>
    </r>
    <r>
      <rPr>
        <i/>
        <sz val="11"/>
        <rFont val="Times New Roman"/>
        <family val="1"/>
        <charset val="204"/>
      </rPr>
      <t>в том числе содержание аппарата,  учреждений социального обслуживания населения, детские дома, пособия, пенсии, компенсации и т.д.)</t>
    </r>
  </si>
  <si>
    <r>
      <t xml:space="preserve">Финансовое управление Администрации МГО        </t>
    </r>
    <r>
      <rPr>
        <i/>
        <sz val="11"/>
        <rFont val="Times New Roman"/>
        <family val="1"/>
        <charset val="204"/>
      </rPr>
      <t>(резерв на з/плату)</t>
    </r>
  </si>
  <si>
    <t>1100</t>
  </si>
  <si>
    <t>Физическая культура и спорт,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</si>
  <si>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 xml:space="preserve">(в том числе МКУ "Комитет по строительству") </t>
    </r>
  </si>
  <si>
    <t>Уменьшение (перемещение) ассигнований в сумме 32054,2 тыс. рублей со строительно-монтажных работ по объекту "Физкультурно-спортивный комплекс "Центр скалолазания" на раздел 0400</t>
  </si>
  <si>
    <t>Уменьшение (перемещение) ассигнований в сумме 9158,0 тыс. рублей с проектно-изыскательских работ по объекту "Модульный бассейн в Северной части г. Миасса Челябинской области" на раздел 0500</t>
  </si>
  <si>
    <t>Увеличение (перемещение) ассигнований в сумме 14425,2 тыс. рублей на увеличение фонда оплаты труда с раздела 1000</t>
  </si>
  <si>
    <t>ВСЕГО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</si>
  <si>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МКУ "УЭП")</t>
    </r>
  </si>
  <si>
    <t>Увеличение (перемещение) ассигнований в сумме 49,5 тыс. рублей  между разделами, в соответствии с  бюджетной классификацией,  расходов по повышению квалификации с раздела 0100</t>
  </si>
  <si>
    <t>Увеличение (перемещение) ассигнований в сумме 64,7 тыс. рублей  между разделами, в соответствии с  бюджетной классификацией,  расходов по повышению квалификации с раздела 0100</t>
  </si>
  <si>
    <t>Уменьшение (перемещение) ассигнований в сумме 49,5 тыс. рублей  между разделами, в соответствии с  бюджетной классификацией,  расходов по повышению квалификации на раздел 0700</t>
  </si>
  <si>
    <t>в сумме 2446,6 тыс. рублей на оплату по исполнтельным листам с зарезервированных средств раздела 0100</t>
  </si>
  <si>
    <t>в сумме 4929,3 тыс. рублей с мероприятий по организации ритуальных услуг и содержанию мест захоронений на территории Миасского городского округа на раздел 0400</t>
  </si>
  <si>
    <t>в сумме 7906,3  тыс. рублей на увеличение фонда оплаты труда с зарезервированных средств раздела 1000</t>
  </si>
  <si>
    <t>в сумме 2584  тыс. рублей на увеличение фонда оплаты труда с зарезервированных средств  раздела 1000</t>
  </si>
  <si>
    <t>в сумме 264,5 тыс. рублей на оплату по исполнтельным листам с зарезервированных средств с раздела 0100</t>
  </si>
  <si>
    <t>Уменьшение (перемещение) ассигнований в сумме 8700,0 тыс.рублей с проведения ремонтно-реставрационных работ на раздел 0400, 0500,0700</t>
  </si>
  <si>
    <t>Уменьшение (перемещение) ассигнований в сумме 4721,9 тыс. рублей, в том числе:</t>
  </si>
  <si>
    <t>в сумме 54,5 тыс. рублей с экономиии расходов по программе "Развитие культуры в Миасском городском округе" на раздел 0700</t>
  </si>
  <si>
    <t>в сумме 4667,4 тыс. рублей между учреждениями Управления культуры Администрации МГО на раздел 0700</t>
  </si>
  <si>
    <t>Финансовое управление Администрации МГО</t>
  </si>
  <si>
    <t>в сумме 1558,2 тыс. рублей с резервного фонда Администрации МГО на раздел 0400</t>
  </si>
  <si>
    <t>в сумме 64,7 тыс. рублей  между разделами, в соответствии с  бюджетной классификацией,  расходов по повышению квалификации на раздел 0700</t>
  </si>
  <si>
    <t>в сумме 35255,1 тыс. рублей, в том числе 23276,2 тыс. рублей на капитальный ремонт и содержание дорог; 11978,9 тыс. рублей на регулярные перевозки пассажирскими автобусами; с разделов 0500,1100</t>
  </si>
  <si>
    <t>Уменьшение (перемещение) ассигнований в сумме 12479,2 тыс. рублей  за счет экологических платежей в зарезервированные средства</t>
  </si>
  <si>
    <t>Увеличение(перемещение) ассигнований в сумме 12479,2 тыс. рублей  в зарезервированные средства (экологические платежи)</t>
  </si>
  <si>
    <t>в сумме 3362 тыс. рублей на увеличение фонда оплаты труда с зарезервированных средств раздела 1000</t>
  </si>
  <si>
    <t>в сумме1531,6 тыс. рублей на ремонт учреждений и приобретение строительных материалов с раздела 0100,0800</t>
  </si>
  <si>
    <t xml:space="preserve">в сумме 184,0 тыс. рублей  по наказам избирателей между ГРБС с раздела 0500 </t>
  </si>
  <si>
    <t xml:space="preserve"> в сумме 54,5 тыс. рублей на ремонт системы отопления в детских школах искусств с раздела 0800</t>
  </si>
  <si>
    <t>в сумме 4667,4 тыс. рублей между учреждениями Управления культуры Администрации МГО с раздела 0700</t>
  </si>
  <si>
    <t>в сумме 968,7 тыс. рублей на оплату штрафов, командировочные расходы, гарантии с разделов 0500,0600</t>
  </si>
  <si>
    <t>в сумме 4700,0 тыс. рублей на увеличение фонда оплаты труда с зарезервированных средств раздела 1000</t>
  </si>
  <si>
    <t>в сумме 6578,0 тыс. рублей  перемещение  на обслуживание ГТС, уличное освещение с раздела 0800</t>
  </si>
  <si>
    <t>Увеличение (перемещение) ассигнований в сумме 9605,9 тыс. рублей, в том числе:</t>
  </si>
  <si>
    <t>Увеличение (перемещение) в сумме 3300,0 тыс. рублей на выплату единовремменой денежной выплаты гражданам, заключившим контракт  с Министерством обороны Российской Федерации о прохождении военной службы в Вооруженных силах Российской Федерации с зарезервированных средств раздела 0100</t>
  </si>
  <si>
    <t>Уменьшение (перемещение) ассигнований в сумме 305 тыс. рублей с с экономиии расходов по программе "Охрана окружающей среды на территории Миасского городского округа" на раздел 0700 на разделы 0100,0700</t>
  </si>
  <si>
    <t>Информация об изменении ассигнований бюджета Миасского городского округа в 2024 году без учета безвозмездных поступлений (после принятия решения Собранием депутатов МГО от 28.06.2024г. № 1)</t>
  </si>
  <si>
    <t>в сумме 8753,1  тыс. рублей с зарезервированных средств на разделы 0500, 0700, 0800, 1000,1100</t>
  </si>
  <si>
    <t>Уменьшение (перемещение) ассигнований  в сумме 10376,0 тыс.рублей, в том числе:</t>
  </si>
  <si>
    <t>Уменьшение (перемещение) ассигнований  в сумме 33767,1 тыс. рублей с зарезервированных средств на разделы 0400,0500,0700,1100</t>
  </si>
  <si>
    <t>Пояснения представлены выше</t>
  </si>
  <si>
    <t>в сумме 270,5 тыс. рублей  перемещение  по инициативному бюджетированию, наказам избирателей между разделами на раздел 0500</t>
  </si>
  <si>
    <t>в сумме 5536,2 тыс. рублей перемещение  по наказам избирателей между ГРБС на разделы 0400, 0700</t>
  </si>
  <si>
    <t xml:space="preserve">в сумме 3224,4 тыс. рублей  по наказам избирателей между ГРБС с разделов 0400,0500 </t>
  </si>
  <si>
    <t>Увеличение (перемещение) ассигнований в сумме 8118,0 тыс. рублей, в том числе:</t>
  </si>
  <si>
    <t>в сумме 2437,5 тыс. рублей с экономии расходов по программе "Организация и проведение работ по управлению, владению, пользованию и распоряжению земельными участками на территории Миасского городского округа" на разделы 0100,0500,0700</t>
  </si>
  <si>
    <t>Уменьшение (перемещение) ассигнований в сумме  2774,7 тыс. рублей в том числе:</t>
  </si>
  <si>
    <t>в сумме 14523,2 тыс. рублей приведение в соответствие бюджетной классификации по благоустройству общественных, дворовых  территорий на раздел 0400</t>
  </si>
  <si>
    <t>Уменьшение (перемещение) ассигнований в сумме 29688,7 тыс. рублей в том числе:</t>
  </si>
  <si>
    <t>в сумме 18473,6 тыс. рублей приведение в соответствие бюджетной классификации по благоустройству общественных, дворовых  территорий с раздела 0500</t>
  </si>
  <si>
    <t>Увеличение (перемещение) ассигнований в сумме  61760,6 тыс. рублей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</si>
</sst>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0_р_._-;\-* #,##0.00_р_._-;_-* &quot;-&quot;??_р_._-;_-@_-"/>
    <numFmt numFmtId="166" formatCode="0.0"/>
  </numFmts>
  <fonts count="2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1"/>
      <name val="Calibri"/>
      <family val="2"/>
      <scheme val="minor"/>
    </font>
    <font>
      <sz val="12"/>
      <color theme="1"/>
      <name val="Times New Roman"/>
      <family val="2"/>
      <charset val="204"/>
    </font>
    <font>
      <b/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.5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1" fillId="0" borderId="0"/>
    <xf numFmtId="0" fontId="3" fillId="0" borderId="0" applyFont="0" applyFill="0" applyBorder="0" applyAlignment="0" applyProtection="0"/>
    <xf numFmtId="0" fontId="9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97">
    <xf numFmtId="0" fontId="0" fillId="0" borderId="0" xfId="0"/>
    <xf numFmtId="0" fontId="5" fillId="0" borderId="0" xfId="0" applyFont="1" applyFill="1"/>
    <xf numFmtId="0" fontId="5" fillId="2" borderId="0" xfId="0" applyFont="1" applyFill="1"/>
    <xf numFmtId="49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justify" vertical="center"/>
    </xf>
    <xf numFmtId="164" fontId="5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6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justify" vertical="center" wrapText="1"/>
    </xf>
    <xf numFmtId="164" fontId="15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justify" vertical="center" wrapText="1"/>
    </xf>
    <xf numFmtId="164" fontId="5" fillId="2" borderId="0" xfId="0" applyNumberFormat="1" applyFont="1" applyFill="1"/>
    <xf numFmtId="164" fontId="17" fillId="2" borderId="1" xfId="0" applyNumberFormat="1" applyFont="1" applyFill="1" applyBorder="1" applyAlignment="1">
      <alignment horizontal="justify" vertical="center" wrapText="1"/>
    </xf>
    <xf numFmtId="164" fontId="14" fillId="2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justify" vertical="center" wrapText="1"/>
    </xf>
    <xf numFmtId="0" fontId="17" fillId="2" borderId="1" xfId="0" applyFont="1" applyFill="1" applyBorder="1" applyAlignment="1">
      <alignment horizontal="justify" vertical="center" wrapText="1"/>
    </xf>
    <xf numFmtId="0" fontId="21" fillId="2" borderId="1" xfId="0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justify" vertical="center" wrapText="1"/>
    </xf>
    <xf numFmtId="164" fontId="15" fillId="2" borderId="1" xfId="0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justify" vertical="center" wrapText="1"/>
    </xf>
    <xf numFmtId="164" fontId="17" fillId="0" borderId="1" xfId="0" applyNumberFormat="1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Border="1"/>
    <xf numFmtId="0" fontId="6" fillId="2" borderId="1" xfId="0" applyFont="1" applyFill="1" applyBorder="1" applyAlignment="1">
      <alignment horizontal="justify" vertical="center"/>
    </xf>
    <xf numFmtId="49" fontId="6" fillId="2" borderId="1" xfId="0" applyNumberFormat="1" applyFont="1" applyFill="1" applyBorder="1" applyAlignment="1">
      <alignment horizontal="justify" vertical="center" wrapText="1"/>
    </xf>
    <xf numFmtId="0" fontId="15" fillId="2" borderId="0" xfId="0" applyFont="1" applyFill="1"/>
    <xf numFmtId="0" fontId="6" fillId="2" borderId="1" xfId="0" applyFont="1" applyFill="1" applyBorder="1" applyAlignment="1">
      <alignment vertical="center" wrapText="1"/>
    </xf>
    <xf numFmtId="0" fontId="18" fillId="2" borderId="0" xfId="0" applyFont="1" applyFill="1"/>
    <xf numFmtId="0" fontId="6" fillId="2" borderId="2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center"/>
    </xf>
    <xf numFmtId="166" fontId="15" fillId="2" borderId="1" xfId="0" applyNumberFormat="1" applyFont="1" applyFill="1" applyBorder="1" applyAlignment="1">
      <alignment horizontal="justify" vertical="center"/>
    </xf>
    <xf numFmtId="164" fontId="21" fillId="2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164" fontId="14" fillId="0" borderId="4" xfId="0" applyNumberFormat="1" applyFont="1" applyFill="1" applyBorder="1" applyAlignment="1">
      <alignment horizontal="center" vertical="center"/>
    </xf>
    <xf numFmtId="0" fontId="22" fillId="2" borderId="0" xfId="0" applyFont="1" applyFill="1"/>
    <xf numFmtId="164" fontId="14" fillId="0" borderId="2" xfId="0" applyNumberFormat="1" applyFont="1" applyFill="1" applyBorder="1" applyAlignment="1">
      <alignment horizontal="center" vertical="center"/>
    </xf>
    <xf numFmtId="164" fontId="14" fillId="0" borderId="4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justify" vertical="center" wrapText="1"/>
    </xf>
    <xf numFmtId="164" fontId="17" fillId="0" borderId="4" xfId="0" applyNumberFormat="1" applyFont="1" applyFill="1" applyBorder="1" applyAlignment="1">
      <alignment horizontal="justify" vertical="center" wrapText="1"/>
    </xf>
    <xf numFmtId="0" fontId="23" fillId="2" borderId="1" xfId="0" applyFont="1" applyFill="1" applyBorder="1" applyAlignment="1">
      <alignment horizontal="justify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justify"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164" fontId="14" fillId="0" borderId="4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justify" vertical="center" wrapText="1"/>
    </xf>
    <xf numFmtId="164" fontId="17" fillId="0" borderId="4" xfId="0" applyNumberFormat="1" applyFont="1" applyFill="1" applyBorder="1" applyAlignment="1">
      <alignment horizontal="justify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</cellXfs>
  <cellStyles count="23">
    <cellStyle name="Normal" xfId="1"/>
    <cellStyle name="Обычный" xfId="0" builtinId="0"/>
    <cellStyle name="Обычный 2" xfId="2"/>
    <cellStyle name="Обычный 2 2" xfId="3"/>
    <cellStyle name="Обычный 2 2 2" xfId="17"/>
    <cellStyle name="Обычный 2 3" xfId="16"/>
    <cellStyle name="Обычный 3" xfId="4"/>
    <cellStyle name="Обычный 4" xfId="5"/>
    <cellStyle name="Обычный 5" xfId="6"/>
    <cellStyle name="Обычный 5 2" xfId="7"/>
    <cellStyle name="Обычный 5 3" xfId="8"/>
    <cellStyle name="Обычный 6" xfId="9"/>
    <cellStyle name="Обычный 6 2" xfId="10"/>
    <cellStyle name="Обычный 7" xfId="11"/>
    <cellStyle name="Обычный 7 2" xfId="12"/>
    <cellStyle name="Обычный 7 3" xfId="13"/>
    <cellStyle name="Обычный 8" xfId="14"/>
    <cellStyle name="Обычный 9" xfId="18"/>
    <cellStyle name="Процентный 2" xfId="19"/>
    <cellStyle name="Финансовый 2" xfId="20"/>
    <cellStyle name="Финансовый 2 2 2" xfId="15"/>
    <cellStyle name="Финансовый 2 5" xfId="21"/>
    <cellStyle name="Финансовый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91"/>
  <sheetViews>
    <sheetView tabSelected="1" workbookViewId="0">
      <pane xSplit="2" ySplit="4" topLeftCell="C76" activePane="bottomRight" state="frozen"/>
      <selection pane="topRight" activeCell="C1" sqref="C1"/>
      <selection pane="bottomLeft" activeCell="A5" sqref="A5"/>
      <selection pane="bottomRight" activeCell="D93" sqref="D93"/>
    </sheetView>
  </sheetViews>
  <sheetFormatPr defaultColWidth="14.42578125" defaultRowHeight="15.75" x14ac:dyDescent="0.25"/>
  <cols>
    <col min="1" max="1" width="7.5703125" style="13" customWidth="1"/>
    <col min="2" max="2" width="48.5703125" style="4" customWidth="1"/>
    <col min="3" max="3" width="16.85546875" style="5" customWidth="1"/>
    <col min="4" max="4" width="15.140625" style="5" customWidth="1"/>
    <col min="5" max="5" width="13.140625" style="5" customWidth="1"/>
    <col min="6" max="6" width="14.140625" style="52" hidden="1" customWidth="1"/>
    <col min="7" max="7" width="71.7109375" style="14" customWidth="1"/>
    <col min="8" max="8" width="15" style="2" hidden="1" customWidth="1"/>
    <col min="9" max="125" width="9.140625" style="2" customWidth="1"/>
    <col min="126" max="126" width="60.42578125" style="2" customWidth="1"/>
    <col min="127" max="127" width="0" style="2" hidden="1" customWidth="1"/>
    <col min="128" max="128" width="14.7109375" style="2" customWidth="1"/>
    <col min="129" max="129" width="14.5703125" style="2" customWidth="1"/>
    <col min="130" max="130" width="0" style="2" hidden="1" customWidth="1"/>
    <col min="131" max="131" width="14.5703125" style="2" customWidth="1"/>
    <col min="132" max="132" width="15" style="2" customWidth="1"/>
    <col min="133" max="134" width="14.5703125" style="2" customWidth="1"/>
    <col min="135" max="16384" width="14.42578125" style="2"/>
  </cols>
  <sheetData>
    <row r="1" spans="1:9" x14ac:dyDescent="0.25">
      <c r="G1" s="15" t="s">
        <v>9</v>
      </c>
    </row>
    <row r="2" spans="1:9" ht="35.25" customHeight="1" x14ac:dyDescent="0.25">
      <c r="A2" s="91" t="s">
        <v>94</v>
      </c>
      <c r="B2" s="91"/>
      <c r="C2" s="91"/>
      <c r="D2" s="91"/>
      <c r="E2" s="91"/>
      <c r="F2" s="91"/>
      <c r="G2" s="92"/>
      <c r="I2" s="1"/>
    </row>
    <row r="3" spans="1:9" x14ac:dyDescent="0.25">
      <c r="A3" s="3"/>
      <c r="G3" s="6" t="s">
        <v>0</v>
      </c>
      <c r="I3" s="1"/>
    </row>
    <row r="4" spans="1:9" s="11" customFormat="1" ht="45" x14ac:dyDescent="0.25">
      <c r="A4" s="7" t="s">
        <v>1</v>
      </c>
      <c r="B4" s="8" t="s">
        <v>2</v>
      </c>
      <c r="C4" s="9" t="s">
        <v>3</v>
      </c>
      <c r="D4" s="9" t="s">
        <v>4</v>
      </c>
      <c r="E4" s="9" t="s">
        <v>5</v>
      </c>
      <c r="F4" s="53" t="s">
        <v>6</v>
      </c>
      <c r="G4" s="10" t="s">
        <v>7</v>
      </c>
    </row>
    <row r="5" spans="1:9" x14ac:dyDescent="0.25">
      <c r="A5" s="16" t="s">
        <v>8</v>
      </c>
      <c r="B5" s="10">
        <v>2</v>
      </c>
      <c r="C5" s="12">
        <v>3</v>
      </c>
      <c r="D5" s="12">
        <v>4</v>
      </c>
      <c r="E5" s="12">
        <v>5</v>
      </c>
      <c r="F5" s="54"/>
      <c r="G5" s="10">
        <v>6</v>
      </c>
    </row>
    <row r="6" spans="1:9" x14ac:dyDescent="0.25">
      <c r="A6" s="17" t="s">
        <v>10</v>
      </c>
      <c r="B6" s="18" t="s">
        <v>11</v>
      </c>
      <c r="C6" s="19">
        <f>SUM(C7:C18)-C18</f>
        <v>417033.6</v>
      </c>
      <c r="D6" s="19">
        <f>SUM(D7:D18)-D18</f>
        <v>410777.59999999998</v>
      </c>
      <c r="E6" s="19">
        <f t="shared" ref="E6:E49" si="0">D6-C6</f>
        <v>-6256</v>
      </c>
      <c r="F6" s="55">
        <f>SUM(F8:F17)</f>
        <v>-6255.9999999999964</v>
      </c>
      <c r="G6" s="20"/>
      <c r="H6" s="21">
        <f>E6-F6</f>
        <v>0</v>
      </c>
    </row>
    <row r="7" spans="1:9" ht="27" x14ac:dyDescent="0.25">
      <c r="A7" s="69"/>
      <c r="B7" s="72" t="s">
        <v>12</v>
      </c>
      <c r="C7" s="66">
        <v>316177.8</v>
      </c>
      <c r="D7" s="66">
        <f>321740.2-1442.4</f>
        <v>320297.8</v>
      </c>
      <c r="E7" s="66">
        <f>D7-C7</f>
        <v>4120</v>
      </c>
      <c r="F7" s="55"/>
      <c r="G7" s="22" t="s">
        <v>13</v>
      </c>
      <c r="H7" s="21"/>
    </row>
    <row r="8" spans="1:9" ht="27" x14ac:dyDescent="0.25">
      <c r="A8" s="70"/>
      <c r="B8" s="73"/>
      <c r="C8" s="68"/>
      <c r="D8" s="68"/>
      <c r="E8" s="68"/>
      <c r="F8" s="51">
        <f>500.2+463.4+5+0.1</f>
        <v>968.69999999999993</v>
      </c>
      <c r="G8" s="22" t="s">
        <v>88</v>
      </c>
      <c r="H8" s="21"/>
    </row>
    <row r="9" spans="1:9" ht="27" x14ac:dyDescent="0.25">
      <c r="A9" s="70"/>
      <c r="B9" s="73"/>
      <c r="C9" s="68"/>
      <c r="D9" s="68"/>
      <c r="E9" s="68"/>
      <c r="F9" s="51">
        <v>1736.3</v>
      </c>
      <c r="G9" s="24" t="s">
        <v>14</v>
      </c>
      <c r="H9" s="21"/>
    </row>
    <row r="10" spans="1:9" ht="27" x14ac:dyDescent="0.25">
      <c r="A10" s="70"/>
      <c r="B10" s="73"/>
      <c r="C10" s="68"/>
      <c r="D10" s="68"/>
      <c r="E10" s="68"/>
      <c r="F10" s="51">
        <v>1200</v>
      </c>
      <c r="G10" s="22" t="s">
        <v>15</v>
      </c>
      <c r="H10" s="21"/>
    </row>
    <row r="11" spans="1:9" ht="27" x14ac:dyDescent="0.25">
      <c r="A11" s="70"/>
      <c r="B11" s="73"/>
      <c r="C11" s="68"/>
      <c r="D11" s="68"/>
      <c r="E11" s="68"/>
      <c r="F11" s="51">
        <v>264.5</v>
      </c>
      <c r="G11" s="22" t="s">
        <v>72</v>
      </c>
      <c r="H11" s="21"/>
    </row>
    <row r="12" spans="1:9" ht="40.5" x14ac:dyDescent="0.25">
      <c r="A12" s="70"/>
      <c r="B12" s="77"/>
      <c r="C12" s="78"/>
      <c r="D12" s="78"/>
      <c r="E12" s="78"/>
      <c r="F12" s="51">
        <f>-30-19.5</f>
        <v>-49.5</v>
      </c>
      <c r="G12" s="22" t="s">
        <v>67</v>
      </c>
      <c r="H12" s="21"/>
    </row>
    <row r="13" spans="1:9" x14ac:dyDescent="0.25">
      <c r="A13" s="70"/>
      <c r="B13" s="25" t="s">
        <v>16</v>
      </c>
      <c r="C13" s="9">
        <v>31272.1</v>
      </c>
      <c r="D13" s="9">
        <v>31272.1</v>
      </c>
      <c r="E13" s="26">
        <f>D13-C13</f>
        <v>0</v>
      </c>
      <c r="F13" s="51"/>
      <c r="G13" s="22"/>
      <c r="H13" s="21"/>
    </row>
    <row r="14" spans="1:9" ht="27" x14ac:dyDescent="0.25">
      <c r="A14" s="70"/>
      <c r="B14" s="94" t="s">
        <v>77</v>
      </c>
      <c r="C14" s="95">
        <v>69583.7</v>
      </c>
      <c r="D14" s="96">
        <f>69583.7-10376</f>
        <v>59207.7</v>
      </c>
      <c r="E14" s="96">
        <f>SUM(C14-D14)</f>
        <v>10376</v>
      </c>
      <c r="F14" s="51"/>
      <c r="G14" s="24" t="s">
        <v>96</v>
      </c>
      <c r="H14" s="21"/>
    </row>
    <row r="15" spans="1:9" ht="27" x14ac:dyDescent="0.25">
      <c r="A15" s="70"/>
      <c r="B15" s="94"/>
      <c r="C15" s="95"/>
      <c r="D15" s="96"/>
      <c r="E15" s="96"/>
      <c r="F15" s="51">
        <f>-200-1000-12547.8-3000-10188+17392.9+0.1+789.7</f>
        <v>-8753.0999999999967</v>
      </c>
      <c r="G15" s="24" t="s">
        <v>95</v>
      </c>
      <c r="H15" s="21"/>
    </row>
    <row r="16" spans="1:9" ht="27" x14ac:dyDescent="0.25">
      <c r="A16" s="70"/>
      <c r="B16" s="94"/>
      <c r="C16" s="95"/>
      <c r="D16" s="96"/>
      <c r="E16" s="96"/>
      <c r="F16" s="51">
        <v>-1558.2</v>
      </c>
      <c r="G16" s="24" t="s">
        <v>78</v>
      </c>
      <c r="H16" s="21"/>
    </row>
    <row r="17" spans="1:8" ht="27" x14ac:dyDescent="0.25">
      <c r="A17" s="70"/>
      <c r="B17" s="94"/>
      <c r="C17" s="95"/>
      <c r="D17" s="96"/>
      <c r="E17" s="96"/>
      <c r="F17" s="51">
        <v>-64.7</v>
      </c>
      <c r="G17" s="22" t="s">
        <v>79</v>
      </c>
      <c r="H17" s="21"/>
    </row>
    <row r="18" spans="1:8" ht="63.75" x14ac:dyDescent="0.25">
      <c r="A18" s="29" t="s">
        <v>18</v>
      </c>
      <c r="B18" s="30" t="s">
        <v>19</v>
      </c>
      <c r="C18" s="23">
        <v>12298.1</v>
      </c>
      <c r="D18" s="51">
        <v>1986.8</v>
      </c>
      <c r="E18" s="23">
        <f>D18-C18</f>
        <v>-10311.300000000001</v>
      </c>
      <c r="F18" s="56"/>
      <c r="G18" s="65" t="s">
        <v>98</v>
      </c>
      <c r="H18" s="21"/>
    </row>
    <row r="19" spans="1:8" ht="42.75" x14ac:dyDescent="0.25">
      <c r="A19" s="17" t="s">
        <v>20</v>
      </c>
      <c r="B19" s="18" t="s">
        <v>21</v>
      </c>
      <c r="C19" s="19">
        <f>C20</f>
        <v>49545.2</v>
      </c>
      <c r="D19" s="19">
        <f>D20</f>
        <v>49545.2</v>
      </c>
      <c r="E19" s="19">
        <f t="shared" si="0"/>
        <v>0</v>
      </c>
      <c r="F19" s="55">
        <f>SUM(F20:F20)</f>
        <v>0</v>
      </c>
      <c r="G19" s="32"/>
      <c r="H19" s="21">
        <f t="shared" ref="H19" si="1">SUM(E19-F19)</f>
        <v>0</v>
      </c>
    </row>
    <row r="20" spans="1:8" ht="30" x14ac:dyDescent="0.25">
      <c r="A20" s="33"/>
      <c r="B20" s="27" t="s">
        <v>22</v>
      </c>
      <c r="C20" s="28">
        <v>49545.2</v>
      </c>
      <c r="D20" s="28">
        <f>51049-1503.8</f>
        <v>49545.2</v>
      </c>
      <c r="E20" s="28">
        <f>D20-C20</f>
        <v>0</v>
      </c>
      <c r="F20" s="51"/>
      <c r="G20" s="34"/>
      <c r="H20" s="11"/>
    </row>
    <row r="21" spans="1:8" x14ac:dyDescent="0.25">
      <c r="A21" s="17" t="s">
        <v>23</v>
      </c>
      <c r="B21" s="18" t="s">
        <v>24</v>
      </c>
      <c r="C21" s="19">
        <f>C22</f>
        <v>1561842.7</v>
      </c>
      <c r="D21" s="19">
        <f>D22</f>
        <v>1620828.6</v>
      </c>
      <c r="E21" s="35">
        <f t="shared" si="0"/>
        <v>58985.90000000014</v>
      </c>
      <c r="F21" s="55">
        <f>SUM(F23:F32)</f>
        <v>58985.9</v>
      </c>
      <c r="G21" s="31"/>
      <c r="H21" s="21">
        <f>SUM(E21-F21)</f>
        <v>1.3824319466948509E-10</v>
      </c>
    </row>
    <row r="22" spans="1:8" ht="27" x14ac:dyDescent="0.25">
      <c r="A22" s="69"/>
      <c r="B22" s="81" t="s">
        <v>25</v>
      </c>
      <c r="C22" s="66">
        <v>1561842.7</v>
      </c>
      <c r="D22" s="66">
        <f>1605627.5+14352.3-114.4-237.5-50.5-469.3+1720.5</f>
        <v>1620828.6</v>
      </c>
      <c r="E22" s="66">
        <f>D22-C22</f>
        <v>58985.90000000014</v>
      </c>
      <c r="F22" s="55"/>
      <c r="G22" s="22" t="s">
        <v>108</v>
      </c>
      <c r="H22" s="21"/>
    </row>
    <row r="23" spans="1:8" ht="27" x14ac:dyDescent="0.25">
      <c r="A23" s="70"/>
      <c r="B23" s="82"/>
      <c r="C23" s="68"/>
      <c r="D23" s="68"/>
      <c r="E23" s="68"/>
      <c r="F23" s="51">
        <v>2000</v>
      </c>
      <c r="G23" s="36" t="s">
        <v>26</v>
      </c>
      <c r="H23" s="21"/>
    </row>
    <row r="24" spans="1:8" ht="40.5" x14ac:dyDescent="0.25">
      <c r="A24" s="70"/>
      <c r="B24" s="82"/>
      <c r="C24" s="68"/>
      <c r="D24" s="68"/>
      <c r="E24" s="68"/>
      <c r="F24" s="51">
        <f>10971.3+6401.2-99.6-50.5-469.3+1720.5</f>
        <v>18473.600000000002</v>
      </c>
      <c r="G24" s="22" t="s">
        <v>107</v>
      </c>
      <c r="H24" s="11"/>
    </row>
    <row r="25" spans="1:8" ht="27" x14ac:dyDescent="0.25">
      <c r="A25" s="70"/>
      <c r="B25" s="82"/>
      <c r="C25" s="68"/>
      <c r="D25" s="68"/>
      <c r="E25" s="68"/>
      <c r="F25" s="51">
        <f>324.4+1565.3</f>
        <v>1889.6999999999998</v>
      </c>
      <c r="G25" s="37" t="s">
        <v>27</v>
      </c>
      <c r="H25" s="11"/>
    </row>
    <row r="26" spans="1:8" ht="40.5" x14ac:dyDescent="0.25">
      <c r="A26" s="70"/>
      <c r="B26" s="82"/>
      <c r="C26" s="68"/>
      <c r="D26" s="68"/>
      <c r="E26" s="68"/>
      <c r="F26" s="51">
        <f>32054.2+978.9+2222</f>
        <v>35255.1</v>
      </c>
      <c r="G26" s="37" t="s">
        <v>80</v>
      </c>
      <c r="H26" s="11"/>
    </row>
    <row r="27" spans="1:8" ht="27" x14ac:dyDescent="0.25">
      <c r="A27" s="70"/>
      <c r="B27" s="82"/>
      <c r="C27" s="68"/>
      <c r="D27" s="68"/>
      <c r="E27" s="68"/>
      <c r="F27" s="51">
        <v>1558.2</v>
      </c>
      <c r="G27" s="22" t="s">
        <v>28</v>
      </c>
      <c r="H27" s="11"/>
    </row>
    <row r="28" spans="1:8" ht="27" x14ac:dyDescent="0.25">
      <c r="A28" s="70"/>
      <c r="B28" s="82"/>
      <c r="C28" s="68"/>
      <c r="D28" s="68"/>
      <c r="E28" s="68"/>
      <c r="F28" s="51">
        <v>2584</v>
      </c>
      <c r="G28" s="22" t="s">
        <v>71</v>
      </c>
      <c r="H28" s="11"/>
    </row>
    <row r="29" spans="1:8" ht="27" x14ac:dyDescent="0.25">
      <c r="A29" s="70"/>
      <c r="B29" s="82"/>
      <c r="C29" s="68"/>
      <c r="D29" s="68"/>
      <c r="E29" s="68"/>
      <c r="F29" s="51"/>
      <c r="G29" s="22" t="s">
        <v>104</v>
      </c>
      <c r="H29" s="11"/>
    </row>
    <row r="30" spans="1:8" ht="40.5" x14ac:dyDescent="0.25">
      <c r="A30" s="70"/>
      <c r="B30" s="82"/>
      <c r="C30" s="68"/>
      <c r="D30" s="68"/>
      <c r="E30" s="68"/>
      <c r="F30" s="51">
        <v>-66.7</v>
      </c>
      <c r="G30" s="37" t="s">
        <v>29</v>
      </c>
    </row>
    <row r="31" spans="1:8" ht="54" x14ac:dyDescent="0.25">
      <c r="A31" s="70"/>
      <c r="B31" s="82"/>
      <c r="C31" s="68"/>
      <c r="D31" s="68"/>
      <c r="E31" s="68"/>
      <c r="F31" s="51">
        <f>-1200-1000-237.5</f>
        <v>-2437.5</v>
      </c>
      <c r="G31" s="22" t="s">
        <v>103</v>
      </c>
    </row>
    <row r="32" spans="1:8" ht="27" x14ac:dyDescent="0.25">
      <c r="A32" s="70"/>
      <c r="B32" s="83"/>
      <c r="C32" s="68"/>
      <c r="D32" s="68"/>
      <c r="E32" s="68"/>
      <c r="F32" s="51">
        <f>-156.1-114.4</f>
        <v>-270.5</v>
      </c>
      <c r="G32" s="22" t="s">
        <v>99</v>
      </c>
    </row>
    <row r="33" spans="1:8" x14ac:dyDescent="0.25">
      <c r="A33" s="17" t="s">
        <v>30</v>
      </c>
      <c r="B33" s="18" t="s">
        <v>31</v>
      </c>
      <c r="C33" s="19">
        <f>SUM(C34:C48)</f>
        <v>1037466.9</v>
      </c>
      <c r="D33" s="19">
        <f>SUM(D34:D48)</f>
        <v>1037089.9</v>
      </c>
      <c r="E33" s="19">
        <f>SUM(E34:E48)</f>
        <v>-377</v>
      </c>
      <c r="F33" s="55">
        <f>SUM(F35:F48)</f>
        <v>-376.99999999999818</v>
      </c>
      <c r="G33" s="31"/>
      <c r="H33" s="21">
        <f>SUM(E33-F33)</f>
        <v>-1.8189894035458565E-12</v>
      </c>
    </row>
    <row r="34" spans="1:8" ht="27" customHeight="1" x14ac:dyDescent="0.25">
      <c r="A34" s="69"/>
      <c r="B34" s="79" t="s">
        <v>32</v>
      </c>
      <c r="C34" s="80">
        <v>823809.9</v>
      </c>
      <c r="D34" s="80">
        <f>908551.2-32688-16921.4-32745.7-1562.5+50.5+469.3-1720.5</f>
        <v>823432.9</v>
      </c>
      <c r="E34" s="80">
        <f>SUM(D34-C34)</f>
        <v>-377</v>
      </c>
      <c r="F34" s="55"/>
      <c r="G34" s="22" t="s">
        <v>33</v>
      </c>
      <c r="H34" s="21"/>
    </row>
    <row r="35" spans="1:8" ht="27" x14ac:dyDescent="0.25">
      <c r="A35" s="70"/>
      <c r="B35" s="79"/>
      <c r="C35" s="80"/>
      <c r="D35" s="80"/>
      <c r="E35" s="80"/>
      <c r="F35" s="51">
        <v>66.7</v>
      </c>
      <c r="G35" s="22" t="s">
        <v>34</v>
      </c>
      <c r="H35" s="21"/>
    </row>
    <row r="36" spans="1:8" x14ac:dyDescent="0.25">
      <c r="A36" s="70"/>
      <c r="B36" s="79"/>
      <c r="C36" s="80"/>
      <c r="D36" s="80"/>
      <c r="E36" s="80"/>
      <c r="F36" s="51">
        <v>3000</v>
      </c>
      <c r="G36" s="22" t="s">
        <v>35</v>
      </c>
      <c r="H36" s="21"/>
    </row>
    <row r="37" spans="1:8" ht="27" x14ac:dyDescent="0.25">
      <c r="A37" s="70"/>
      <c r="B37" s="79"/>
      <c r="C37" s="80"/>
      <c r="D37" s="80"/>
      <c r="E37" s="80"/>
      <c r="F37" s="51">
        <v>9158</v>
      </c>
      <c r="G37" s="22" t="s">
        <v>36</v>
      </c>
      <c r="H37" s="21"/>
    </row>
    <row r="38" spans="1:8" ht="27" x14ac:dyDescent="0.25">
      <c r="A38" s="70"/>
      <c r="B38" s="79"/>
      <c r="C38" s="80"/>
      <c r="D38" s="80"/>
      <c r="E38" s="80"/>
      <c r="F38" s="51">
        <v>156.1</v>
      </c>
      <c r="G38" s="22" t="s">
        <v>37</v>
      </c>
      <c r="H38" s="21"/>
    </row>
    <row r="39" spans="1:8" ht="27" x14ac:dyDescent="0.25">
      <c r="A39" s="70"/>
      <c r="B39" s="79"/>
      <c r="C39" s="80"/>
      <c r="D39" s="80"/>
      <c r="E39" s="80"/>
      <c r="F39" s="51">
        <v>2446.6</v>
      </c>
      <c r="G39" s="22" t="s">
        <v>68</v>
      </c>
      <c r="H39" s="21"/>
    </row>
    <row r="40" spans="1:8" ht="27" x14ac:dyDescent="0.25">
      <c r="A40" s="70"/>
      <c r="B40" s="79"/>
      <c r="C40" s="80"/>
      <c r="D40" s="80"/>
      <c r="E40" s="80"/>
      <c r="F40" s="51">
        <v>7906.3</v>
      </c>
      <c r="G40" s="22" t="s">
        <v>70</v>
      </c>
      <c r="H40" s="21"/>
    </row>
    <row r="41" spans="1:8" ht="27" x14ac:dyDescent="0.25">
      <c r="A41" s="70"/>
      <c r="B41" s="79"/>
      <c r="C41" s="80"/>
      <c r="D41" s="80"/>
      <c r="E41" s="80"/>
      <c r="F41" s="51">
        <v>6578</v>
      </c>
      <c r="G41" s="22" t="s">
        <v>90</v>
      </c>
      <c r="H41" s="21"/>
    </row>
    <row r="42" spans="1:8" ht="0.75" hidden="1" customHeight="1" x14ac:dyDescent="0.25">
      <c r="A42" s="70"/>
      <c r="B42" s="79"/>
      <c r="C42" s="80"/>
      <c r="D42" s="80"/>
      <c r="E42" s="80"/>
      <c r="F42" s="51"/>
      <c r="G42" s="22"/>
      <c r="H42" s="21"/>
    </row>
    <row r="43" spans="1:8" ht="27" x14ac:dyDescent="0.25">
      <c r="A43" s="70"/>
      <c r="B43" s="79"/>
      <c r="C43" s="80"/>
      <c r="D43" s="80"/>
      <c r="E43" s="80"/>
      <c r="F43" s="51"/>
      <c r="G43" s="22" t="s">
        <v>106</v>
      </c>
      <c r="H43" s="21"/>
    </row>
    <row r="44" spans="1:8" ht="27" x14ac:dyDescent="0.25">
      <c r="A44" s="70"/>
      <c r="B44" s="79"/>
      <c r="C44" s="80"/>
      <c r="D44" s="80"/>
      <c r="E44" s="80"/>
      <c r="F44" s="51">
        <f>-1724.4-684-1565.3-1562.5</f>
        <v>-5536.2</v>
      </c>
      <c r="G44" s="37" t="s">
        <v>100</v>
      </c>
      <c r="H44" s="21"/>
    </row>
    <row r="45" spans="1:8" ht="40.5" x14ac:dyDescent="0.25">
      <c r="A45" s="70"/>
      <c r="B45" s="79"/>
      <c r="C45" s="80"/>
      <c r="D45" s="80"/>
      <c r="E45" s="80"/>
      <c r="F45" s="51">
        <f>-2963.7-1736.3</f>
        <v>-4700</v>
      </c>
      <c r="G45" s="22" t="s">
        <v>38</v>
      </c>
      <c r="H45" s="21"/>
    </row>
    <row r="46" spans="1:8" ht="40.5" x14ac:dyDescent="0.25">
      <c r="A46" s="70"/>
      <c r="B46" s="79"/>
      <c r="C46" s="80"/>
      <c r="D46" s="80"/>
      <c r="E46" s="80"/>
      <c r="F46" s="51">
        <f>-3950.4-978.9</f>
        <v>-4929.3</v>
      </c>
      <c r="G46" s="37" t="s">
        <v>69</v>
      </c>
      <c r="H46" s="21"/>
    </row>
    <row r="47" spans="1:8" ht="40.5" x14ac:dyDescent="0.25">
      <c r="A47" s="70"/>
      <c r="B47" s="79"/>
      <c r="C47" s="80"/>
      <c r="D47" s="80"/>
      <c r="E47" s="80"/>
      <c r="F47" s="51">
        <f>-7020.9-6401.2+99.6+50.5+469.3-1720.5</f>
        <v>-14523.199999999999</v>
      </c>
      <c r="G47" s="37" t="s">
        <v>105</v>
      </c>
      <c r="H47" s="21"/>
    </row>
    <row r="48" spans="1:8" x14ac:dyDescent="0.25">
      <c r="A48" s="71"/>
      <c r="B48" s="38" t="s">
        <v>39</v>
      </c>
      <c r="C48" s="39">
        <v>213657</v>
      </c>
      <c r="D48" s="39">
        <v>213657</v>
      </c>
      <c r="E48" s="39">
        <f>D48-C48</f>
        <v>0</v>
      </c>
      <c r="F48" s="51"/>
      <c r="G48" s="22"/>
      <c r="H48" s="21"/>
    </row>
    <row r="49" spans="1:8" x14ac:dyDescent="0.25">
      <c r="A49" s="17" t="s">
        <v>40</v>
      </c>
      <c r="B49" s="18" t="s">
        <v>41</v>
      </c>
      <c r="C49" s="19">
        <f>C50+C52</f>
        <v>80063.099999999991</v>
      </c>
      <c r="D49" s="19">
        <f>D50+D52</f>
        <v>79758.099999999991</v>
      </c>
      <c r="E49" s="19">
        <f t="shared" si="0"/>
        <v>-305</v>
      </c>
      <c r="F49" s="55">
        <f>SUM(F50:F52)</f>
        <v>-305</v>
      </c>
      <c r="G49" s="31"/>
      <c r="H49" s="21">
        <f t="shared" ref="H49" si="2">SUM(E49-F49)</f>
        <v>0</v>
      </c>
    </row>
    <row r="50" spans="1:8" ht="40.5" x14ac:dyDescent="0.25">
      <c r="A50" s="84"/>
      <c r="B50" s="72" t="s">
        <v>64</v>
      </c>
      <c r="C50" s="66">
        <v>78203.899999999994</v>
      </c>
      <c r="D50" s="66">
        <f>65418.6+1.1</f>
        <v>65419.7</v>
      </c>
      <c r="E50" s="66">
        <f>D50-C50</f>
        <v>-12784.199999999997</v>
      </c>
      <c r="F50" s="53">
        <v>-305</v>
      </c>
      <c r="G50" s="37" t="s">
        <v>93</v>
      </c>
      <c r="H50" s="11"/>
    </row>
    <row r="51" spans="1:8" ht="27" x14ac:dyDescent="0.25">
      <c r="A51" s="85"/>
      <c r="B51" s="73"/>
      <c r="C51" s="68"/>
      <c r="D51" s="68"/>
      <c r="E51" s="68"/>
      <c r="F51" s="53">
        <v>-12479.2</v>
      </c>
      <c r="G51" s="22" t="s">
        <v>81</v>
      </c>
      <c r="H51" s="11"/>
    </row>
    <row r="52" spans="1:8" ht="31.5" x14ac:dyDescent="0.25">
      <c r="A52" s="93"/>
      <c r="B52" s="40" t="s">
        <v>17</v>
      </c>
      <c r="C52" s="26">
        <v>1859.2</v>
      </c>
      <c r="D52" s="26">
        <v>14338.4</v>
      </c>
      <c r="E52" s="26">
        <f>D52-C52</f>
        <v>12479.199999999999</v>
      </c>
      <c r="F52" s="53">
        <v>12479.2</v>
      </c>
      <c r="G52" s="22" t="s">
        <v>82</v>
      </c>
      <c r="H52" s="11"/>
    </row>
    <row r="53" spans="1:8" x14ac:dyDescent="0.25">
      <c r="A53" s="17" t="s">
        <v>42</v>
      </c>
      <c r="B53" s="18" t="s">
        <v>43</v>
      </c>
      <c r="C53" s="19">
        <f>SUM(C54:C68)</f>
        <v>3728894.6999999997</v>
      </c>
      <c r="D53" s="19">
        <f>SUM(D54:D68)</f>
        <v>3746732.8000000003</v>
      </c>
      <c r="E53" s="19">
        <f>SUM(E54:E68)</f>
        <v>17838.100000000024</v>
      </c>
      <c r="F53" s="57">
        <f>SUM(F54:F68)</f>
        <v>17838.100000000002</v>
      </c>
      <c r="G53" s="31"/>
      <c r="H53" s="21">
        <f>SUM(E53-F53)</f>
        <v>2.1827872842550278E-11</v>
      </c>
    </row>
    <row r="54" spans="1:8" ht="27" x14ac:dyDescent="0.25">
      <c r="A54" s="69"/>
      <c r="B54" s="72" t="s">
        <v>44</v>
      </c>
      <c r="C54" s="66">
        <v>3587805.9</v>
      </c>
      <c r="D54" s="66">
        <f>3847813-1920-228584.9-500-367.7-5790.9-4423.9-12216.1+1914.4</f>
        <v>3595923.9</v>
      </c>
      <c r="E54" s="66">
        <f>D54-C54</f>
        <v>8118</v>
      </c>
      <c r="F54" s="51"/>
      <c r="G54" s="37" t="s">
        <v>102</v>
      </c>
      <c r="H54" s="21"/>
    </row>
    <row r="55" spans="1:8" ht="27" x14ac:dyDescent="0.25">
      <c r="A55" s="70"/>
      <c r="B55" s="73"/>
      <c r="C55" s="68"/>
      <c r="D55" s="68"/>
      <c r="E55" s="68"/>
      <c r="F55" s="51">
        <f>500+810+1914.4</f>
        <v>3224.4</v>
      </c>
      <c r="G55" s="37" t="s">
        <v>101</v>
      </c>
      <c r="H55" s="21"/>
    </row>
    <row r="56" spans="1:8" ht="27" x14ac:dyDescent="0.25">
      <c r="A56" s="70"/>
      <c r="B56" s="74"/>
      <c r="C56" s="76"/>
      <c r="D56" s="76"/>
      <c r="E56" s="76"/>
      <c r="F56" s="58">
        <v>3362</v>
      </c>
      <c r="G56" s="37" t="s">
        <v>83</v>
      </c>
      <c r="H56" s="21"/>
    </row>
    <row r="57" spans="1:8" ht="27" x14ac:dyDescent="0.25">
      <c r="A57" s="70"/>
      <c r="B57" s="75"/>
      <c r="C57" s="67"/>
      <c r="D57" s="67"/>
      <c r="E57" s="67"/>
      <c r="F57" s="58">
        <f>12547.7+1200-12216.1</f>
        <v>1531.6000000000004</v>
      </c>
      <c r="G57" s="63" t="s">
        <v>84</v>
      </c>
      <c r="H57" s="21"/>
    </row>
    <row r="58" spans="1:8" ht="27" x14ac:dyDescent="0.25">
      <c r="A58" s="70"/>
      <c r="B58" s="72" t="s">
        <v>45</v>
      </c>
      <c r="C58" s="66">
        <v>140441.29999999999</v>
      </c>
      <c r="D58" s="66">
        <f>145347.2+4700</f>
        <v>150047.20000000001</v>
      </c>
      <c r="E58" s="66">
        <f t="shared" ref="E58:E77" si="3">D58-C58</f>
        <v>9605.9000000000233</v>
      </c>
      <c r="F58" s="61"/>
      <c r="G58" s="63" t="s">
        <v>91</v>
      </c>
      <c r="H58" s="41"/>
    </row>
    <row r="59" spans="1:8" x14ac:dyDescent="0.25">
      <c r="A59" s="70"/>
      <c r="B59" s="73"/>
      <c r="C59" s="68"/>
      <c r="D59" s="68"/>
      <c r="E59" s="68"/>
      <c r="F59" s="87">
        <v>184</v>
      </c>
      <c r="G59" s="89" t="s">
        <v>85</v>
      </c>
      <c r="H59" s="41"/>
    </row>
    <row r="60" spans="1:8" x14ac:dyDescent="0.25">
      <c r="A60" s="70"/>
      <c r="B60" s="73"/>
      <c r="C60" s="68"/>
      <c r="D60" s="68"/>
      <c r="E60" s="68"/>
      <c r="F60" s="88"/>
      <c r="G60" s="90"/>
      <c r="H60" s="41"/>
    </row>
    <row r="61" spans="1:8" ht="27" x14ac:dyDescent="0.25">
      <c r="A61" s="70"/>
      <c r="B61" s="73"/>
      <c r="C61" s="68"/>
      <c r="D61" s="68"/>
      <c r="E61" s="68"/>
      <c r="F61" s="62">
        <v>4667.3999999999996</v>
      </c>
      <c r="G61" s="22" t="s">
        <v>87</v>
      </c>
      <c r="H61" s="41"/>
    </row>
    <row r="62" spans="1:8" ht="27" x14ac:dyDescent="0.25">
      <c r="A62" s="70"/>
      <c r="B62" s="73"/>
      <c r="C62" s="68"/>
      <c r="D62" s="68"/>
      <c r="E62" s="68"/>
      <c r="F62" s="62">
        <v>4700</v>
      </c>
      <c r="G62" s="37" t="s">
        <v>89</v>
      </c>
      <c r="H62" s="41"/>
    </row>
    <row r="63" spans="1:8" ht="27" x14ac:dyDescent="0.25">
      <c r="A63" s="70"/>
      <c r="B63" s="77"/>
      <c r="C63" s="78"/>
      <c r="D63" s="78"/>
      <c r="E63" s="78"/>
      <c r="F63" s="59">
        <v>54.5</v>
      </c>
      <c r="G63" s="64" t="s">
        <v>86</v>
      </c>
      <c r="H63" s="41"/>
    </row>
    <row r="64" spans="1:8" ht="40.5" x14ac:dyDescent="0.25">
      <c r="A64" s="70"/>
      <c r="B64" s="47" t="s">
        <v>12</v>
      </c>
      <c r="C64" s="28">
        <v>133</v>
      </c>
      <c r="D64" s="28">
        <v>182.5</v>
      </c>
      <c r="E64" s="28">
        <f t="shared" si="3"/>
        <v>49.5</v>
      </c>
      <c r="F64" s="51">
        <v>49.5</v>
      </c>
      <c r="G64" s="22" t="s">
        <v>65</v>
      </c>
      <c r="H64" s="11"/>
    </row>
    <row r="65" spans="1:9" x14ac:dyDescent="0.25">
      <c r="A65" s="70"/>
      <c r="B65" s="25" t="s">
        <v>16</v>
      </c>
      <c r="C65" s="26"/>
      <c r="D65" s="26"/>
      <c r="E65" s="28">
        <f t="shared" si="3"/>
        <v>0</v>
      </c>
      <c r="F65" s="51"/>
      <c r="G65" s="22"/>
      <c r="H65" s="11"/>
    </row>
    <row r="66" spans="1:9" x14ac:dyDescent="0.25">
      <c r="A66" s="70"/>
      <c r="B66" s="25" t="s">
        <v>39</v>
      </c>
      <c r="C66" s="26">
        <v>357</v>
      </c>
      <c r="D66" s="26">
        <v>357</v>
      </c>
      <c r="E66" s="28">
        <f t="shared" si="3"/>
        <v>0</v>
      </c>
      <c r="F66" s="51"/>
      <c r="G66" s="22"/>
      <c r="H66" s="11"/>
    </row>
    <row r="67" spans="1:9" ht="30" x14ac:dyDescent="0.25">
      <c r="A67" s="70"/>
      <c r="B67" s="42" t="s">
        <v>46</v>
      </c>
      <c r="C67" s="26">
        <v>40</v>
      </c>
      <c r="D67" s="26">
        <v>40</v>
      </c>
      <c r="E67" s="28">
        <f t="shared" si="3"/>
        <v>0</v>
      </c>
      <c r="F67" s="51"/>
      <c r="G67" s="43"/>
      <c r="H67" s="44"/>
    </row>
    <row r="68" spans="1:9" ht="40.5" x14ac:dyDescent="0.25">
      <c r="A68" s="71"/>
      <c r="B68" s="25" t="s">
        <v>17</v>
      </c>
      <c r="C68" s="26">
        <v>117.5</v>
      </c>
      <c r="D68" s="26">
        <v>182.2</v>
      </c>
      <c r="E68" s="28">
        <f t="shared" si="3"/>
        <v>64.699999999999989</v>
      </c>
      <c r="F68" s="51">
        <v>64.7</v>
      </c>
      <c r="G68" s="22" t="s">
        <v>66</v>
      </c>
      <c r="H68" s="11"/>
    </row>
    <row r="69" spans="1:9" x14ac:dyDescent="0.25">
      <c r="A69" s="17" t="s">
        <v>47</v>
      </c>
      <c r="B69" s="18" t="s">
        <v>48</v>
      </c>
      <c r="C69" s="19">
        <f>SUM(C70:C76)</f>
        <v>311535.90000000002</v>
      </c>
      <c r="D69" s="19">
        <f>SUM(D70:D76)</f>
        <v>298904</v>
      </c>
      <c r="E69" s="19">
        <f>SUM(E70:E76)</f>
        <v>-12631.900000000023</v>
      </c>
      <c r="F69" s="57">
        <f>SUM(F71:F76)</f>
        <v>-12631.9</v>
      </c>
      <c r="G69" s="31"/>
      <c r="H69" s="21">
        <f>SUM(E69-F69)</f>
        <v>-2.3646862246096134E-11</v>
      </c>
    </row>
    <row r="70" spans="1:9" ht="27" x14ac:dyDescent="0.25">
      <c r="A70" s="69"/>
      <c r="B70" s="72" t="s">
        <v>49</v>
      </c>
      <c r="C70" s="66">
        <v>287235.90000000002</v>
      </c>
      <c r="D70" s="66">
        <f>283655.2-300.9-50.3</f>
        <v>283304</v>
      </c>
      <c r="E70" s="66">
        <f>D70-C70</f>
        <v>-3931.9000000000233</v>
      </c>
      <c r="F70" s="57"/>
      <c r="G70" s="22" t="s">
        <v>50</v>
      </c>
      <c r="H70" s="21"/>
    </row>
    <row r="71" spans="1:9" ht="67.5" x14ac:dyDescent="0.25">
      <c r="A71" s="70"/>
      <c r="B71" s="73"/>
      <c r="C71" s="68"/>
      <c r="D71" s="68"/>
      <c r="E71" s="68"/>
      <c r="F71" s="51">
        <v>200</v>
      </c>
      <c r="G71" s="37" t="s">
        <v>51</v>
      </c>
      <c r="H71" s="21"/>
    </row>
    <row r="72" spans="1:9" ht="27" x14ac:dyDescent="0.25">
      <c r="A72" s="70"/>
      <c r="B72" s="73"/>
      <c r="C72" s="68"/>
      <c r="D72" s="68"/>
      <c r="E72" s="68"/>
      <c r="F72" s="51">
        <v>590</v>
      </c>
      <c r="G72" s="37" t="s">
        <v>52</v>
      </c>
      <c r="H72" s="21"/>
    </row>
    <row r="73" spans="1:9" ht="27" x14ac:dyDescent="0.25">
      <c r="A73" s="70"/>
      <c r="B73" s="73"/>
      <c r="C73" s="68"/>
      <c r="D73" s="68"/>
      <c r="E73" s="68"/>
      <c r="F73" s="51"/>
      <c r="G73" s="37" t="s">
        <v>74</v>
      </c>
      <c r="H73" s="21"/>
    </row>
    <row r="74" spans="1:9" ht="27" x14ac:dyDescent="0.25">
      <c r="A74" s="70"/>
      <c r="B74" s="73"/>
      <c r="C74" s="68"/>
      <c r="D74" s="68"/>
      <c r="E74" s="68"/>
      <c r="F74" s="51">
        <v>-54.5</v>
      </c>
      <c r="G74" s="37" t="s">
        <v>75</v>
      </c>
      <c r="H74" s="21"/>
    </row>
    <row r="75" spans="1:9" ht="27" x14ac:dyDescent="0.25">
      <c r="A75" s="70"/>
      <c r="B75" s="73"/>
      <c r="C75" s="68"/>
      <c r="D75" s="68"/>
      <c r="E75" s="68"/>
      <c r="F75" s="51">
        <v>-4667.3999999999996</v>
      </c>
      <c r="G75" s="22" t="s">
        <v>76</v>
      </c>
      <c r="H75" s="21"/>
    </row>
    <row r="76" spans="1:9" ht="27" x14ac:dyDescent="0.25">
      <c r="A76" s="71"/>
      <c r="B76" s="25" t="s">
        <v>12</v>
      </c>
      <c r="C76" s="26">
        <v>24300</v>
      </c>
      <c r="D76" s="26">
        <v>15600</v>
      </c>
      <c r="E76" s="28">
        <f>D76-C76</f>
        <v>-8700</v>
      </c>
      <c r="F76" s="51">
        <v>-8700</v>
      </c>
      <c r="G76" s="37" t="s">
        <v>73</v>
      </c>
      <c r="H76" s="21"/>
    </row>
    <row r="77" spans="1:9" x14ac:dyDescent="0.25">
      <c r="A77" s="17" t="s">
        <v>53</v>
      </c>
      <c r="B77" s="18" t="s">
        <v>54</v>
      </c>
      <c r="C77" s="19">
        <f>C78+C80+ C81+C82+C84+C83</f>
        <v>1254729.2</v>
      </c>
      <c r="D77" s="19">
        <f>D78+D80+D81+D82+D84+D83</f>
        <v>1224262.1000000001</v>
      </c>
      <c r="E77" s="19">
        <f t="shared" si="3"/>
        <v>-30467.09999999986</v>
      </c>
      <c r="F77" s="55">
        <f>SUM(F78:F84)</f>
        <v>-30467.1</v>
      </c>
      <c r="G77" s="31"/>
      <c r="H77" s="21">
        <f t="shared" ref="H77" si="4">SUM(E77-F77)</f>
        <v>1.3824319466948509E-10</v>
      </c>
    </row>
    <row r="78" spans="1:9" ht="67.5" x14ac:dyDescent="0.25">
      <c r="A78" s="69"/>
      <c r="B78" s="81" t="s">
        <v>55</v>
      </c>
      <c r="C78" s="66">
        <v>1042016.7</v>
      </c>
      <c r="D78" s="66">
        <f>903091.4+142225.3</f>
        <v>1045316.7</v>
      </c>
      <c r="E78" s="66">
        <f>D78-C78</f>
        <v>3300</v>
      </c>
      <c r="F78" s="51">
        <f>1000+2300</f>
        <v>3300</v>
      </c>
      <c r="G78" s="31" t="s">
        <v>92</v>
      </c>
      <c r="H78" s="21"/>
      <c r="I78" s="60"/>
    </row>
    <row r="79" spans="1:9" ht="19.5" customHeight="1" x14ac:dyDescent="0.25">
      <c r="A79" s="70"/>
      <c r="B79" s="86"/>
      <c r="C79" s="67"/>
      <c r="D79" s="67"/>
      <c r="E79" s="67"/>
      <c r="F79" s="51"/>
      <c r="G79" s="36"/>
      <c r="H79" s="21"/>
    </row>
    <row r="80" spans="1:9" x14ac:dyDescent="0.25">
      <c r="A80" s="70"/>
      <c r="B80" s="45" t="s">
        <v>44</v>
      </c>
      <c r="C80" s="26">
        <v>80939</v>
      </c>
      <c r="D80" s="26">
        <v>80939</v>
      </c>
      <c r="E80" s="28">
        <f t="shared" ref="E80:E84" si="5">D80-C80</f>
        <v>0</v>
      </c>
      <c r="F80" s="51"/>
      <c r="G80" s="37"/>
      <c r="H80" s="21"/>
    </row>
    <row r="81" spans="1:8" x14ac:dyDescent="0.25">
      <c r="A81" s="70"/>
      <c r="B81" s="47" t="s">
        <v>12</v>
      </c>
      <c r="C81" s="28">
        <v>97490.3</v>
      </c>
      <c r="D81" s="28">
        <v>97490.3</v>
      </c>
      <c r="E81" s="28">
        <f t="shared" si="5"/>
        <v>0</v>
      </c>
      <c r="F81" s="51"/>
      <c r="G81" s="37"/>
      <c r="H81" s="21"/>
    </row>
    <row r="82" spans="1:8" x14ac:dyDescent="0.25">
      <c r="A82" s="70"/>
      <c r="B82" s="25" t="s">
        <v>49</v>
      </c>
      <c r="C82" s="26"/>
      <c r="D82" s="26"/>
      <c r="E82" s="28">
        <f t="shared" si="5"/>
        <v>0</v>
      </c>
      <c r="F82" s="51"/>
      <c r="G82" s="36"/>
      <c r="H82" s="21"/>
    </row>
    <row r="83" spans="1:8" ht="30" x14ac:dyDescent="0.25">
      <c r="A83" s="70"/>
      <c r="B83" s="25" t="s">
        <v>56</v>
      </c>
      <c r="C83" s="26">
        <v>33983.199999999997</v>
      </c>
      <c r="D83" s="26">
        <f>4916.1-4700</f>
        <v>216.10000000000036</v>
      </c>
      <c r="E83" s="28">
        <f t="shared" si="5"/>
        <v>-33767.1</v>
      </c>
      <c r="F83" s="51">
        <f>-14425.2-14641.9-4700</f>
        <v>-33767.1</v>
      </c>
      <c r="G83" s="24" t="s">
        <v>97</v>
      </c>
      <c r="H83" s="21"/>
    </row>
    <row r="84" spans="1:8" x14ac:dyDescent="0.25">
      <c r="A84" s="71"/>
      <c r="B84" s="25" t="s">
        <v>39</v>
      </c>
      <c r="C84" s="26">
        <v>300</v>
      </c>
      <c r="D84" s="26">
        <v>300</v>
      </c>
      <c r="E84" s="28">
        <f t="shared" si="5"/>
        <v>0</v>
      </c>
      <c r="F84" s="51"/>
      <c r="G84" s="31"/>
      <c r="H84" s="46"/>
    </row>
    <row r="85" spans="1:8" x14ac:dyDescent="0.25">
      <c r="A85" s="17" t="s">
        <v>57</v>
      </c>
      <c r="B85" s="18" t="s">
        <v>58</v>
      </c>
      <c r="C85" s="19">
        <f>SUM(C86:C89)</f>
        <v>521012.8</v>
      </c>
      <c r="D85" s="19">
        <f>SUM(D86:D89)</f>
        <v>494225.8</v>
      </c>
      <c r="E85" s="19">
        <f>SUM(E86:E89)</f>
        <v>-26786.999999999985</v>
      </c>
      <c r="F85" s="57">
        <f>SUM(F86:F90)</f>
        <v>-26786.999999999996</v>
      </c>
      <c r="G85" s="31"/>
      <c r="H85" s="21">
        <f>SUM(E85-F85)</f>
        <v>1.0913936421275139E-11</v>
      </c>
    </row>
    <row r="86" spans="1:8" ht="40.5" x14ac:dyDescent="0.25">
      <c r="A86" s="84"/>
      <c r="B86" s="81" t="s">
        <v>59</v>
      </c>
      <c r="C86" s="66">
        <v>149446.79999999999</v>
      </c>
      <c r="D86" s="66">
        <f>116744.7-8510.1</f>
        <v>108234.59999999999</v>
      </c>
      <c r="E86" s="66">
        <f>D86-C86</f>
        <v>-41212.199999999997</v>
      </c>
      <c r="F86" s="51">
        <v>-32054.2</v>
      </c>
      <c r="G86" s="22" t="s">
        <v>60</v>
      </c>
      <c r="H86" s="21"/>
    </row>
    <row r="87" spans="1:8" ht="40.5" x14ac:dyDescent="0.25">
      <c r="A87" s="85"/>
      <c r="B87" s="82"/>
      <c r="C87" s="68"/>
      <c r="D87" s="68"/>
      <c r="E87" s="68"/>
      <c r="F87" s="51">
        <v>-9158</v>
      </c>
      <c r="G87" s="22" t="s">
        <v>61</v>
      </c>
      <c r="H87" s="21"/>
    </row>
    <row r="88" spans="1:8" x14ac:dyDescent="0.25">
      <c r="A88" s="85"/>
      <c r="B88" s="25" t="s">
        <v>44</v>
      </c>
      <c r="C88" s="26">
        <v>3869</v>
      </c>
      <c r="D88" s="26">
        <v>3869</v>
      </c>
      <c r="E88" s="26">
        <f t="shared" ref="E88" si="6">D88-C88</f>
        <v>0</v>
      </c>
      <c r="F88" s="51"/>
      <c r="G88" s="22"/>
      <c r="H88" s="21"/>
    </row>
    <row r="89" spans="1:8" ht="27" x14ac:dyDescent="0.25">
      <c r="A89" s="85"/>
      <c r="B89" s="72" t="s">
        <v>39</v>
      </c>
      <c r="C89" s="66">
        <v>367697</v>
      </c>
      <c r="D89" s="66">
        <f>430138.2-47296.5-31.2-688.3</f>
        <v>382122.2</v>
      </c>
      <c r="E89" s="26">
        <f>D89-C89</f>
        <v>14425.200000000012</v>
      </c>
      <c r="F89" s="51">
        <v>14425.2</v>
      </c>
      <c r="G89" s="22" t="s">
        <v>62</v>
      </c>
      <c r="H89" s="21"/>
    </row>
    <row r="90" spans="1:8" hidden="1" x14ac:dyDescent="0.25">
      <c r="A90" s="85"/>
      <c r="B90" s="73"/>
      <c r="C90" s="68"/>
      <c r="D90" s="68"/>
      <c r="E90" s="26"/>
      <c r="F90" s="51"/>
      <c r="G90" s="37"/>
      <c r="H90" s="21"/>
    </row>
    <row r="91" spans="1:8" x14ac:dyDescent="0.25">
      <c r="A91" s="48"/>
      <c r="B91" s="49" t="s">
        <v>63</v>
      </c>
      <c r="C91" s="19">
        <f>C6+C19+C21+C33+C49+C53+C69+C77+C85</f>
        <v>8962124.0999999996</v>
      </c>
      <c r="D91" s="19">
        <f>D6+D19+D21+D33+D49+D53+D69+D77+D85</f>
        <v>8962124.1000000015</v>
      </c>
      <c r="E91" s="19">
        <f>D91-C91</f>
        <v>0</v>
      </c>
      <c r="F91" s="55">
        <f>F6+F19+F21+F33+F49+F53+F69+F77+F85</f>
        <v>0</v>
      </c>
      <c r="G91" s="50"/>
      <c r="H91" s="21">
        <f t="shared" ref="H91" si="7">SUM(E91-F91)</f>
        <v>0</v>
      </c>
    </row>
  </sheetData>
  <mergeCells count="54">
    <mergeCell ref="F59:F60"/>
    <mergeCell ref="G59:G60"/>
    <mergeCell ref="A2:G2"/>
    <mergeCell ref="A50:A52"/>
    <mergeCell ref="B50:B51"/>
    <mergeCell ref="C50:C51"/>
    <mergeCell ref="D50:D51"/>
    <mergeCell ref="E50:E51"/>
    <mergeCell ref="B14:B17"/>
    <mergeCell ref="C14:C17"/>
    <mergeCell ref="D14:D17"/>
    <mergeCell ref="E14:E17"/>
    <mergeCell ref="E34:E47"/>
    <mergeCell ref="A7:A17"/>
    <mergeCell ref="B7:B12"/>
    <mergeCell ref="C7:C12"/>
    <mergeCell ref="A86:A90"/>
    <mergeCell ref="A70:A76"/>
    <mergeCell ref="B70:B75"/>
    <mergeCell ref="C70:C75"/>
    <mergeCell ref="B86:B87"/>
    <mergeCell ref="C86:C87"/>
    <mergeCell ref="B78:B79"/>
    <mergeCell ref="C78:C79"/>
    <mergeCell ref="D86:D87"/>
    <mergeCell ref="E86:E87"/>
    <mergeCell ref="B89:B90"/>
    <mergeCell ref="C89:C90"/>
    <mergeCell ref="D89:D90"/>
    <mergeCell ref="D7:D12"/>
    <mergeCell ref="E7:E12"/>
    <mergeCell ref="A22:A32"/>
    <mergeCell ref="B22:B32"/>
    <mergeCell ref="C22:C32"/>
    <mergeCell ref="D22:D32"/>
    <mergeCell ref="E22:E32"/>
    <mergeCell ref="A34:A48"/>
    <mergeCell ref="B34:B47"/>
    <mergeCell ref="C34:C47"/>
    <mergeCell ref="D34:D47"/>
    <mergeCell ref="D78:D79"/>
    <mergeCell ref="E78:E79"/>
    <mergeCell ref="D70:D75"/>
    <mergeCell ref="E70:E75"/>
    <mergeCell ref="A54:A68"/>
    <mergeCell ref="B54:B57"/>
    <mergeCell ref="C54:C57"/>
    <mergeCell ref="D54:D57"/>
    <mergeCell ref="E54:E57"/>
    <mergeCell ref="B58:B63"/>
    <mergeCell ref="C58:C63"/>
    <mergeCell ref="D58:D63"/>
    <mergeCell ref="E58:E63"/>
    <mergeCell ref="A78:A84"/>
  </mergeCells>
  <pageMargins left="0.59055118110236227" right="0" top="0" bottom="0" header="0.31496062992125984" footer="0.31496062992125984"/>
  <pageSetup paperSize="9" scale="74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 5</vt:lpstr>
      <vt:lpstr>'прилож 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2024-06-14T04:24:37Z</cp:lastPrinted>
  <dcterms:created xsi:type="dcterms:W3CDTF">2023-11-13T10:17:57Z</dcterms:created>
  <dcterms:modified xsi:type="dcterms:W3CDTF">2024-10-04T06:35:31Z</dcterms:modified>
</cp:coreProperties>
</file>