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4245" activeTab="4"/>
  </bookViews>
  <sheets>
    <sheet name="функцион." sheetId="1" r:id="rId1"/>
    <sheet name="ведомствен." sheetId="2" r:id="rId2"/>
    <sheet name="Заимствов." sheetId="3" r:id="rId3"/>
    <sheet name="Источники" sheetId="4" r:id="rId4"/>
    <sheet name="Лист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<sst xmlns="http://schemas.openxmlformats.org/spreadsheetml/2006/main" count="8059" uniqueCount="888">
  <si>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</si>
  <si>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</si>
  <si>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</si>
  <si>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</si>
  <si>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</si>
  <si>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</si>
  <si>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</si>
  <si>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</si>
  <si>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</si>
  <si>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</si>
  <si>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</si>
  <si>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</si>
  <si>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</si>
  <si>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</si>
  <si>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</si>
  <si>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</si>
  <si>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</si>
  <si>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Программа "Поддержка и развитие малого предпринимательства  Миасского городского округа на 2009-2011гг."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</si>
  <si>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</si>
  <si>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</si>
  <si>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</si>
  <si>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</si>
  <si>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</si>
  <si>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</si>
  <si>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</si>
  <si>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</si>
  <si>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</si>
  <si>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</si>
  <si>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</si>
  <si>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</si>
  <si>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</si>
  <si>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</si>
  <si>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</si>
  <si>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</si>
  <si>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</si>
  <si>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</si>
  <si>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</si>
  <si>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</si>
  <si>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</si>
  <si>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</si>
  <si>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</si>
  <si>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</si>
  <si>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</si>
  <si>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</si>
  <si>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</si>
  <si>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</si>
  <si>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</si>
  <si>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</si>
  <si>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</si>
  <si>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</si>
  <si>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</si>
  <si>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</si>
  <si>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</si>
  <si>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</si>
  <si>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</si>
  <si>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</si>
  <si>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</si>
  <si>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</si>
  <si>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</si>
  <si>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</si>
  <si>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</si>
  <si>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</si>
  <si>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</si>
  <si>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</si>
  <si>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</si>
  <si>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</si>
  <si>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</si>
  <si>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</si>
  <si>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</si>
  <si>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</si>
  <si>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</si>
  <si>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</si>
  <si>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по ремонту кровель жилого фонда</t>
  </si>
  <si>
    <t>410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</si>
  <si>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</si>
  <si>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</si>
  <si>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</si>
  <si>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</si>
  <si>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</si>
  <si>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</si>
  <si>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</si>
  <si>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</si>
  <si>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</si>
  <si>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</si>
  <si>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</si>
  <si>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</si>
  <si>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</si>
  <si>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</si>
  <si>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</si>
  <si>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</si>
  <si>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</si>
  <si>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</si>
  <si>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</si>
  <si>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</si>
  <si>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</si>
  <si>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</si>
  <si>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</si>
  <si>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</si>
  <si>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</si>
  <si>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</si>
  <si>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</si>
  <si>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</si>
  <si>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</si>
  <si>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</si>
  <si>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</si>
  <si>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</si>
  <si>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</si>
  <si>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</si>
  <si>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</si>
  <si>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</si>
  <si>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</si>
  <si>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</si>
  <si>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</si>
  <si>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</si>
  <si>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</si>
  <si>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</si>
  <si>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</si>
  <si>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</si>
  <si>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</si>
  <si>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</si>
  <si>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</si>
  <si>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</si>
  <si>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</si>
  <si>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</si>
  <si>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</si>
  <si>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</si>
  <si>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</si>
  <si>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</si>
  <si>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</si>
  <si>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</si>
  <si>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</si>
  <si>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</si>
  <si>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</si>
  <si>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</si>
  <si>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</si>
  <si>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</si>
  <si>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</si>
  <si>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</si>
  <si>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</si>
  <si>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</si>
  <si>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</si>
  <si>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</si>
  <si>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</si>
  <si>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</si>
  <si>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</si>
  <si>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</si>
  <si>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</si>
  <si>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</si>
  <si>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</si>
  <si>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</si>
  <si>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</si>
  <si>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</si>
  <si>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</si>
  <si>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</si>
  <si>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</si>
  <si>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</si>
  <si>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</si>
  <si>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</si>
  <si>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</si>
  <si>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</si>
  <si>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</si>
  <si>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</si>
  <si>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</si>
  <si>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</si>
  <si>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</si>
  <si>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</si>
  <si>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</si>
  <si>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</si>
  <si>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</si>
  <si>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</si>
  <si>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</si>
  <si>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</si>
  <si>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</si>
  <si>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</si>
  <si>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</si>
  <si>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</si>
  <si>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</si>
  <si>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</si>
  <si>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</si>
  <si>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</si>
  <si>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</si>
  <si>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</si>
  <si>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</si>
  <si>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</si>
  <si>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</si>
  <si>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</si>
  <si>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</si>
  <si>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</si>
  <si>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</si>
  <si>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</si>
  <si>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</si>
  <si>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</si>
  <si>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</si>
  <si>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</si>
  <si>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</si>
  <si>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</si>
  <si>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</si>
  <si>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</si>
  <si>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</si>
  <si>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</si>
  <si>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</si>
  <si>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</si>
  <si>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</si>
  <si>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 xml:space="preserve">Программа муниципальных внутренних заимствований </t>
  </si>
  <si>
    <t>на 2010 год</t>
  </si>
  <si>
    <t>1. Источники внутренних заимствований</t>
  </si>
  <si>
    <t>тыс.руб.</t>
  </si>
  <si>
    <t>Сумма,                 2010г.</t>
  </si>
  <si>
    <t>Бюджетные кредиты от других бюджетов бюджетной  системы Российской Федерации, в том числе</t>
  </si>
  <si>
    <t>привлечение</t>
  </si>
  <si>
    <t xml:space="preserve"> - </t>
  </si>
  <si>
    <t>погашение</t>
  </si>
  <si>
    <t>Кредиты кредитных организаций в валюте  Российской Федерации, в том числе</t>
  </si>
  <si>
    <t>ИТОГО заимствований, в том числе</t>
  </si>
  <si>
    <t xml:space="preserve">Источники 
внутреннего финансирования дефицита бюджета Миасского  городского округа 
на 2010 год  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</si>
  <si>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</si>
  <si>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</si>
  <si>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</si>
  <si>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</si>
  <si>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</si>
  <si>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</si>
  <si>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</si>
  <si>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</si>
  <si>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</si>
  <si>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Другие вопросы в области культуры, кинематографии, средств массовой информации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</si>
  <si>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</si>
  <si>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</si>
  <si>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</si>
  <si>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</si>
  <si>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</si>
  <si>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</si>
  <si>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</si>
  <si>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</si>
  <si>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</si>
  <si>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</si>
  <si>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</si>
  <si>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</si>
  <si>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</si>
  <si>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</si>
  <si>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</si>
  <si>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</si>
  <si>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</si>
  <si>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</si>
  <si>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</si>
  <si>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</si>
  <si>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</si>
  <si>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</si>
  <si>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</si>
  <si>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</si>
  <si>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</si>
  <si>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</si>
  <si>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</si>
  <si>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</si>
  <si>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</si>
  <si>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01  06  04  00  04  0000  810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</si>
  <si>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</si>
  <si>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</si>
  <si>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</si>
  <si>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</si>
  <si>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</si>
  <si>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</si>
  <si>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</si>
  <si>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</si>
  <si>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</si>
  <si>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</si>
  <si>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</si>
  <si>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</si>
  <si>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</si>
  <si>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</si>
  <si>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</si>
  <si>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</si>
  <si>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</si>
  <si>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</si>
  <si>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</si>
  <si>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</si>
  <si>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</si>
  <si>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</si>
  <si>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</si>
  <si>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</si>
  <si>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</si>
  <si>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</si>
  <si>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</si>
  <si>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</si>
  <si>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</si>
  <si>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</si>
  <si>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</si>
  <si>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</si>
  <si>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</si>
  <si>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</si>
  <si>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</si>
  <si>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</si>
  <si>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</si>
  <si>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</si>
  <si>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</si>
  <si>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</si>
  <si>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</si>
  <si>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</si>
  <si>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</si>
  <si>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</si>
  <si>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</si>
  <si>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</si>
  <si>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</si>
  <si>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</si>
  <si>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</si>
  <si>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</si>
  <si>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</si>
  <si>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</si>
  <si>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</si>
  <si>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</si>
  <si>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</si>
  <si>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</si>
  <si>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</si>
  <si>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</si>
  <si>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</si>
  <si>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</si>
  <si>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</si>
  <si>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</si>
  <si>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</si>
  <si>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</si>
  <si>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</si>
  <si>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</si>
  <si>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</si>
  <si>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</si>
  <si>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</si>
  <si>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</si>
  <si>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</si>
  <si>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</si>
  <si>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</si>
  <si>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</si>
  <si>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</si>
  <si>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</si>
  <si>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</si>
  <si>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</si>
  <si>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</si>
  <si>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</si>
  <si>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</si>
  <si>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</si>
  <si>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</si>
  <si>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от 26.11.2010 г. №7 </t>
  </si>
  <si>
    <t xml:space="preserve">от 26.11.2010 г. №7  </t>
  </si>
  <si>
    <t xml:space="preserve">от 26.11.10г. №7 </t>
  </si>
  <si>
    <t xml:space="preserve">от26.11.2010 г. №7                 № 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</si>
  <si>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</si>
  <si>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</si>
  <si>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</si>
  <si>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</si>
  <si>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</si>
  <si>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</si>
  <si>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</si>
  <si>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</si>
  <si>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</si>
  <si>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</si>
  <si>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</si>
  <si>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</si>
  <si>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</si>
  <si>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</si>
  <si>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</si>
  <si>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</si>
  <si>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</si>
  <si>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</si>
  <si>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</si>
  <si>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</si>
  <si>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</si>
  <si>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</si>
  <si>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 xml:space="preserve">НП "Образование" в МГО на 2009-2010гг. </t>
  </si>
  <si>
    <t>795 17 44</t>
  </si>
  <si>
    <t>Культура, кинематография, средства массовой информации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</si>
  <si>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</si>
  <si>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</si>
  <si>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</si>
  <si>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</si>
  <si>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</si>
  <si>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</si>
  <si>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</si>
  <si>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</si>
  <si>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</si>
  <si>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</si>
  <si>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</si>
  <si>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</si>
  <si>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</si>
  <si>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</si>
  <si>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</si>
  <si>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</si>
  <si>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</si>
  <si>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</si>
  <si>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</si>
  <si>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</si>
  <si>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</si>
  <si>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</si>
  <si>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</si>
  <si>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Муниципальная целевая программа "Безопасность учреждений культуры" на 2010-2012 годы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</si>
  <si>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</si>
  <si>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</si>
  <si>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</si>
  <si>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</si>
  <si>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447</t>
  </si>
  <si>
    <t>Здравоохранение, физическая культура и спорт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</si>
  <si>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</si>
  <si>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</si>
  <si>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</si>
  <si>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</si>
  <si>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</si>
  <si>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</si>
  <si>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</si>
  <si>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</si>
  <si>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</si>
  <si>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</si>
  <si>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</si>
  <si>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</si>
  <si>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</si>
  <si>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</si>
  <si>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</si>
  <si>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</si>
  <si>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</si>
  <si>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</si>
  <si>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</si>
  <si>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</si>
  <si>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</si>
  <si>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</si>
  <si>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</si>
  <si>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</si>
  <si>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</si>
  <si>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</si>
  <si>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</si>
  <si>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</si>
  <si>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</si>
  <si>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</si>
  <si>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</si>
  <si>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Другие вопросы в области здравоохранения, физической культуры и спорта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</si>
  <si>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</si>
  <si>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</si>
  <si>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</si>
  <si>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</si>
  <si>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</si>
  <si>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</si>
  <si>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</si>
  <si>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</si>
  <si>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</si>
  <si>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</si>
  <si>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</si>
  <si>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</si>
  <si>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</si>
  <si>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</si>
  <si>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</si>
  <si>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</si>
  <si>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</si>
  <si>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</si>
  <si>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</si>
  <si>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</si>
  <si>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</si>
  <si>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</si>
  <si>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</si>
  <si>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</si>
  <si>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>Учреждения социального обслуживания населения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</si>
  <si>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</si>
  <si>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</si>
  <si>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</si>
  <si>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</si>
  <si>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</si>
  <si>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</si>
  <si>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</si>
  <si>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</si>
  <si>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</si>
  <si>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</si>
  <si>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</si>
  <si>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</si>
  <si>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</si>
  <si>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</si>
  <si>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</si>
  <si>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</si>
  <si>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</si>
  <si>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</si>
  <si>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</si>
  <si>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</si>
  <si>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</si>
  <si>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</si>
  <si>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</si>
  <si>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</si>
  <si>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</si>
  <si>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</si>
  <si>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</si>
  <si>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</si>
  <si>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</si>
  <si>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</si>
  <si>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(другие меры социальной поддержки граждан, имеющих звание "Ветеран труда Челябинской области"))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</si>
  <si>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</si>
  <si>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</si>
  <si>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</si>
  <si>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Приложение 4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</si>
  <si>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</si>
  <si>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</si>
  <si>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</si>
  <si>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Управление по физической культуре, спорту, туризму, молодежной политике и связям со средствами массовой информации Администрации МГО</t>
  </si>
  <si>
    <t>287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</si>
  <si>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</si>
  <si>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</si>
  <si>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</si>
  <si>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</si>
  <si>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</si>
  <si>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</si>
  <si>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</si>
  <si>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</si>
  <si>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</si>
  <si>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</si>
  <si>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</si>
  <si>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</si>
  <si>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</si>
  <si>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</si>
  <si>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</si>
  <si>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</si>
  <si>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</si>
  <si>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</si>
  <si>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</si>
  <si>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</si>
  <si>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</si>
  <si>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</si>
  <si>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</si>
  <si>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</si>
  <si>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на проведение отдельных мероприятий по другим видам транспорта</t>
  </si>
  <si>
    <t xml:space="preserve">04 </t>
  </si>
  <si>
    <t>Реализация мер социальной поддержки отдельных категорий граждан</t>
  </si>
  <si>
    <t>505 55 00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</si>
  <si>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</si>
  <si>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</si>
  <si>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</si>
  <si>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</si>
  <si>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</t>
  </si>
  <si>
    <t>505 55 23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</si>
  <si>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</si>
  <si>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</si>
  <si>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</si>
  <si>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</si>
  <si>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</si>
  <si>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</si>
  <si>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</si>
  <si>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</si>
  <si>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</si>
  <si>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</si>
  <si>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</si>
  <si>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</t>
  </si>
  <si>
    <t>505 55 33</t>
  </si>
  <si>
    <t>505 55 34</t>
  </si>
  <si>
    <t>505 99 72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</si>
  <si>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</si>
  <si>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</si>
  <si>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</si>
  <si>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</si>
  <si>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</si>
  <si>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</si>
  <si>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</si>
  <si>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</si>
  <si>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</si>
  <si>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</si>
  <si>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</si>
  <si>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</si>
  <si>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</si>
  <si>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</si>
  <si>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</si>
  <si>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на 2010 год</t>
  </si>
  <si>
    <t>795 00 65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</si>
  <si>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</si>
  <si>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</si>
  <si>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</si>
  <si>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</si>
  <si>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</si>
  <si>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</si>
  <si>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</si>
  <si>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</si>
  <si>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</si>
  <si>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</si>
  <si>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</si>
  <si>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</si>
  <si>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</si>
  <si>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</si>
  <si>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</si>
  <si>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</si>
  <si>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</si>
  <si>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</si>
  <si>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</si>
  <si>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</si>
  <si>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</si>
  <si>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</si>
  <si>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</si>
  <si>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</si>
  <si>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</si>
  <si>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</si>
  <si>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</si>
  <si>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</si>
  <si>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</si>
  <si>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</si>
  <si>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</si>
  <si>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</si>
  <si>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</si>
  <si>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Реформирование региональных и муниципальных финансов</t>
  </si>
  <si>
    <t>518 00 00</t>
  </si>
  <si>
    <t>Реформирование муниципальных финансов</t>
  </si>
  <si>
    <t>518 02 00</t>
  </si>
  <si>
    <t>Обеспечение выплаты заработной платы работникам бюджетных учреждений в соответствии с федеральным законодательством о минимальном размере оплаты труда, в связи с реформированием системы оплаты труда работников муниципальных бюджетных учреждений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</si>
  <si>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</si>
  <si>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</si>
  <si>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</si>
  <si>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</si>
  <si>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</si>
  <si>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</si>
  <si>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</si>
  <si>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</si>
  <si>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</si>
  <si>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</si>
  <si>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Приложение 1</t>
  </si>
  <si>
    <t>Приложение 2</t>
  </si>
  <si>
    <t>к  решению Собрания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</si>
  <si>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</si>
  <si>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</si>
  <si>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</si>
  <si>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</si>
  <si>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</si>
  <si>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</si>
  <si>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</si>
  <si>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</si>
  <si>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</si>
  <si>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</si>
  <si>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</si>
  <si>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</si>
  <si>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</si>
  <si>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</si>
  <si>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</si>
  <si>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НА 2010 ГОД</t>
  </si>
  <si>
    <t>Главные распорядители, наименование БК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</si>
  <si>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</si>
  <si>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</si>
  <si>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</si>
  <si>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</si>
  <si>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</si>
  <si>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</si>
  <si>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</si>
  <si>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</si>
  <si>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Обеспечение деятельности финансовых, налоговых и таможенных органов и органов надзора</t>
  </si>
  <si>
    <t>Воинские формирования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</si>
  <si>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</si>
  <si>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</si>
  <si>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</si>
  <si>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423 00 00</t>
  </si>
  <si>
    <t>Областная целевая программа "Развитие дошкольного образования в Челябинской области" на 2006-2010 годы</t>
  </si>
  <si>
    <t>Здравоохранение, физическая культура  и спорт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</si>
  <si>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</si>
  <si>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</si>
  <si>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</si>
  <si>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</si>
  <si>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</si>
  <si>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</si>
  <si>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</si>
  <si>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</si>
  <si>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</si>
  <si>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</si>
  <si>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</si>
  <si>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</si>
  <si>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</si>
  <si>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</si>
  <si>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</si>
  <si>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</si>
  <si>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</si>
  <si>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</si>
  <si>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</si>
  <si>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</si>
  <si>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МУ МГО "Образование"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</si>
  <si>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</si>
  <si>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</si>
  <si>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</si>
  <si>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</si>
  <si>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</si>
  <si>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</si>
  <si>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МУ  "Управление культуры" МГО</t>
  </si>
  <si>
    <t>289</t>
  </si>
  <si>
    <t xml:space="preserve">Муниципальная целевая программа "Безопасность учреждений культуры" на 2010-2012 годы </t>
  </si>
  <si>
    <t>МУ "Управление здравоохранения"</t>
  </si>
  <si>
    <t>290</t>
  </si>
  <si>
    <t xml:space="preserve">522 00 00 </t>
  </si>
  <si>
    <t>455</t>
  </si>
  <si>
    <t>Другие вопросы в области здравоохранения, физической культуры  и спорта</t>
  </si>
  <si>
    <t>Программа "Профилактика клещевого энцефалита в Миасском городском округе на 2010-2012 г.г."</t>
  </si>
  <si>
    <t>к решению Собрания</t>
  </si>
  <si>
    <t xml:space="preserve">депутатов Миасского </t>
  </si>
  <si>
    <t>на 2010 год                 (тыс. руб.)</t>
  </si>
  <si>
    <t>Приложение 3</t>
  </si>
  <si>
    <t>городского округа</t>
  </si>
  <si>
    <t>РАСПРЕДЕЛЕНИЕ БЮДЖЕТНЫХ АССИГНОВАНИЙ НА 2010 ГОД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</si>
  <si>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</si>
  <si>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</si>
  <si>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</si>
  <si>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</si>
  <si>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</si>
  <si>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</si>
  <si>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</si>
  <si>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</si>
  <si>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</si>
  <si>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</si>
  <si>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</si>
  <si>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</si>
  <si>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</si>
  <si>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2010 год  (тыс. руб.)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</si>
  <si>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</si>
  <si>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</si>
  <si>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</si>
  <si>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</si>
  <si>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</si>
  <si>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</si>
  <si>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</si>
  <si>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</si>
  <si>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</si>
  <si>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</si>
  <si>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</si>
  <si>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</si>
  <si>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</si>
  <si>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</si>
  <si>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</si>
  <si>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</si>
  <si>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</si>
  <si>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</si>
  <si>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</si>
  <si>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</si>
  <si>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</si>
  <si>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</si>
  <si>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</si>
  <si>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</si>
  <si>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</si>
  <si>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</si>
  <si>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</si>
  <si>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</si>
  <si>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</si>
  <si>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</si>
  <si>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</si>
  <si>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</si>
  <si>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</si>
  <si>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</si>
  <si>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</si>
  <si>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</si>
  <si>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</si>
  <si>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</si>
  <si>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</si>
  <si>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</si>
  <si>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</si>
  <si>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</si>
  <si>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</si>
  <si>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</si>
  <si>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</si>
  <si>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</si>
  <si>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</si>
  <si>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</si>
  <si>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</si>
  <si>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</si>
  <si>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</si>
  <si>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</si>
  <si>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</si>
  <si>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</si>
  <si>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</si>
  <si>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</si>
  <si>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</si>
  <si>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</si>
  <si>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</si>
  <si>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</si>
  <si>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</si>
  <si>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</si>
  <si>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</si>
  <si>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</si>
  <si>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</si>
  <si>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</si>
  <si>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</si>
  <si>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</si>
  <si>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</si>
  <si>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</si>
  <si>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795 00 10</t>
  </si>
  <si>
    <t>Судебная система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</si>
  <si>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</si>
  <si>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</si>
  <si>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</si>
  <si>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</si>
  <si>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</si>
  <si>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</si>
  <si>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</si>
  <si>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</si>
  <si>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</si>
  <si>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</si>
  <si>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</si>
  <si>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</si>
  <si>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</si>
  <si>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</si>
  <si>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</si>
  <si>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</si>
  <si>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</si>
  <si>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</si>
  <si>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</si>
  <si>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</si>
  <si>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</si>
  <si>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</si>
  <si>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</si>
  <si>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</si>
  <si>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</si>
  <si>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</si>
  <si>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</si>
  <si>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</si>
  <si>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</si>
  <si>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</si>
  <si>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</si>
  <si>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</si>
  <si>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</si>
  <si>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</si>
  <si>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</si>
  <si>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</si>
  <si>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</si>
  <si>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</si>
  <si>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</si>
  <si>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</si>
  <si>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</si>
  <si>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</si>
  <si>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</si>
  <si>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</si>
  <si>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</si>
  <si>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</si>
  <si>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</si>
  <si>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</si>
  <si>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</si>
  <si>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</si>
  <si>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</si>
  <si>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</si>
  <si>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</si>
  <si>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</si>
  <si>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</si>
  <si>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</si>
  <si>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</si>
  <si>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</si>
  <si>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</si>
  <si>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</si>
  <si>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</si>
  <si>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</si>
  <si>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</si>
  <si>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</si>
  <si>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</si>
  <si>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</si>
  <si>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</si>
  <si>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</si>
  <si>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</si>
  <si>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</si>
  <si>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</si>
  <si>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</si>
  <si>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</si>
  <si>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</si>
  <si>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</si>
  <si>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</si>
  <si>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</si>
  <si>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</si>
  <si>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</si>
  <si>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</si>
  <si>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Комплексная программа профилактики правонарушений и усиления борьбы с преступностью на территории МГО на 2009-2010гг.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</si>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</sst>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4" fillId="0" borderId="5" xfId="0" applyFont="1" applyBorder="1" applyAlignment="1">
      <alignment/>
    </xf>
    <xf numFmtId="49" fontId="5" fillId="0" borderId="6" xfId="0" applyNumberFormat="1" applyFont="1" applyBorder="1" applyAlignment="1">
      <alignment vertical="justify"/>
    </xf>
    <xf numFmtId="0" fontId="5" fillId="0" borderId="7" xfId="0" applyFont="1" applyBorder="1" applyAlignment="1">
      <alignment vertical="justify"/>
    </xf>
    <xf numFmtId="0" fontId="5" fillId="0" borderId="8" xfId="0" applyFont="1" applyBorder="1" applyAlignment="1">
      <alignment vertical="justify"/>
    </xf>
    <xf numFmtId="0" fontId="0" fillId="0" borderId="9" xfId="0" applyFill="1" applyBorder="1" applyAlignment="1">
      <alignment horizontal="center" vertical="justify"/>
    </xf>
    <xf numFmtId="0" fontId="6" fillId="0" borderId="10" xfId="0" applyFont="1" applyBorder="1" applyAlignment="1">
      <alignment vertical="justify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vertical="justify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vertical="justify"/>
    </xf>
    <xf numFmtId="49" fontId="4" fillId="0" borderId="15" xfId="0" applyNumberFormat="1" applyFont="1" applyBorder="1" applyAlignment="1">
      <alignment horizontal="left"/>
    </xf>
    <xf numFmtId="0" fontId="0" fillId="2" borderId="0" xfId="0" applyFill="1" applyAlignment="1">
      <alignment/>
    </xf>
    <xf numFmtId="0" fontId="4" fillId="0" borderId="14" xfId="0" applyFont="1" applyBorder="1" applyAlignment="1">
      <alignment vertical="justify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vertical="justify"/>
    </xf>
    <xf numFmtId="49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6" fillId="0" borderId="14" xfId="0" applyFont="1" applyBorder="1" applyAlignment="1">
      <alignment vertical="justify"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left" vertical="justify"/>
    </xf>
    <xf numFmtId="49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/>
    </xf>
    <xf numFmtId="49" fontId="4" fillId="2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4" fillId="0" borderId="14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49" fontId="6" fillId="0" borderId="15" xfId="0" applyNumberFormat="1" applyFont="1" applyFill="1" applyBorder="1" applyAlignment="1">
      <alignment/>
    </xf>
    <xf numFmtId="49" fontId="6" fillId="2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9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justify" wrapText="1"/>
    </xf>
    <xf numFmtId="49" fontId="10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9" fillId="0" borderId="16" xfId="0" applyNumberFormat="1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left" vertical="top" wrapText="1"/>
    </xf>
    <xf numFmtId="164" fontId="12" fillId="0" borderId="1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wrapText="1"/>
    </xf>
    <xf numFmtId="164" fontId="4" fillId="0" borderId="17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vertical="justify" wrapText="1"/>
    </xf>
    <xf numFmtId="49" fontId="9" fillId="0" borderId="15" xfId="0" applyNumberFormat="1" applyFont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justify" wrapText="1"/>
    </xf>
    <xf numFmtId="49" fontId="13" fillId="0" borderId="15" xfId="0" applyNumberFormat="1" applyFont="1" applyBorder="1" applyAlignment="1">
      <alignment horizontal="justify" vertical="top" wrapText="1"/>
    </xf>
    <xf numFmtId="0" fontId="9" fillId="0" borderId="14" xfId="0" applyFont="1" applyBorder="1" applyAlignment="1">
      <alignment horizontal="left" wrapText="1"/>
    </xf>
    <xf numFmtId="49" fontId="9" fillId="0" borderId="15" xfId="0" applyNumberFormat="1" applyFont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2" borderId="14" xfId="0" applyFont="1" applyFill="1" applyBorder="1" applyAlignment="1">
      <alignment vertical="justify"/>
    </xf>
    <xf numFmtId="49" fontId="4" fillId="2" borderId="15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vertical="justify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49" fontId="10" fillId="0" borderId="15" xfId="0" applyNumberFormat="1" applyFont="1" applyBorder="1" applyAlignment="1">
      <alignment/>
    </xf>
    <xf numFmtId="49" fontId="10" fillId="0" borderId="16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6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165" fontId="7" fillId="0" borderId="17" xfId="0" applyNumberFormat="1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4" xfId="0" applyNumberFormat="1" applyFont="1" applyBorder="1" applyAlignment="1">
      <alignment horizontal="left" wrapText="1"/>
    </xf>
    <xf numFmtId="49" fontId="14" fillId="2" borderId="15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2" borderId="0" xfId="0" applyFont="1" applyFill="1" applyAlignment="1">
      <alignment/>
    </xf>
    <xf numFmtId="49" fontId="10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0" borderId="14" xfId="0" applyFont="1" applyBorder="1" applyAlignment="1">
      <alignment vertical="justify"/>
    </xf>
    <xf numFmtId="0" fontId="4" fillId="0" borderId="14" xfId="0" applyNumberFormat="1" applyFont="1" applyBorder="1" applyAlignment="1">
      <alignment vertical="justify"/>
    </xf>
    <xf numFmtId="49" fontId="4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vertical="justify"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6" xfId="0" applyFont="1" applyBorder="1" applyAlignment="1">
      <alignment vertical="justify"/>
    </xf>
    <xf numFmtId="49" fontId="6" fillId="0" borderId="7" xfId="0" applyNumberFormat="1" applyFont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49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164" fontId="3" fillId="0" borderId="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 vertical="justify" wrapText="1"/>
    </xf>
    <xf numFmtId="49" fontId="0" fillId="0" borderId="25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164" fontId="7" fillId="0" borderId="4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 vertical="justify" wrapText="1"/>
    </xf>
    <xf numFmtId="49" fontId="0" fillId="0" borderId="26" xfId="0" applyNumberFormat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49" fontId="0" fillId="0" borderId="1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4" fillId="0" borderId="10" xfId="0" applyFont="1" applyBorder="1" applyAlignment="1">
      <alignment horizontal="left" vertical="justify" wrapText="1"/>
    </xf>
    <xf numFmtId="165" fontId="7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7" fillId="0" borderId="17" xfId="0" applyFont="1" applyFill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49" fontId="0" fillId="0" borderId="21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vertical="justify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0" xfId="0" applyFont="1" applyBorder="1" applyAlignment="1">
      <alignment vertical="justify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49" fontId="5" fillId="0" borderId="20" xfId="0" applyNumberFormat="1" applyFont="1" applyBorder="1" applyAlignment="1">
      <alignment vertical="justify"/>
    </xf>
    <xf numFmtId="0" fontId="5" fillId="0" borderId="38" xfId="0" applyFont="1" applyBorder="1" applyAlignment="1">
      <alignment vertical="justify"/>
    </xf>
    <xf numFmtId="0" fontId="5" fillId="0" borderId="39" xfId="0" applyFont="1" applyBorder="1" applyAlignment="1">
      <alignment vertical="justify"/>
    </xf>
    <xf numFmtId="0" fontId="6" fillId="0" borderId="40" xfId="0" applyFont="1" applyBorder="1" applyAlignment="1">
      <alignment vertical="justify"/>
    </xf>
    <xf numFmtId="49" fontId="6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164" fontId="3" fillId="0" borderId="4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justify"/>
    </xf>
    <xf numFmtId="49" fontId="6" fillId="0" borderId="1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vertical="justify"/>
    </xf>
    <xf numFmtId="0" fontId="4" fillId="0" borderId="16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2" borderId="15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 vertical="justify"/>
    </xf>
    <xf numFmtId="49" fontId="9" fillId="0" borderId="16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0" fillId="0" borderId="43" xfId="0" applyFont="1" applyBorder="1" applyAlignment="1">
      <alignment horizontal="left" wrapText="1"/>
    </xf>
    <xf numFmtId="49" fontId="0" fillId="0" borderId="44" xfId="0" applyNumberFormat="1" applyBorder="1" applyAlignment="1">
      <alignment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2" borderId="0" xfId="0" applyNumberForma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2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7">
      <alignment/>
      <protection/>
    </xf>
    <xf numFmtId="0" fontId="0" fillId="0" borderId="0" xfId="17" applyFont="1">
      <alignment/>
      <protection/>
    </xf>
    <xf numFmtId="0" fontId="7" fillId="0" borderId="0" xfId="17" applyFont="1">
      <alignment/>
      <protection/>
    </xf>
    <xf numFmtId="0" fontId="3" fillId="0" borderId="0" xfId="17" applyFont="1">
      <alignment/>
      <protection/>
    </xf>
    <xf numFmtId="0" fontId="7" fillId="0" borderId="1" xfId="17" applyFont="1" applyBorder="1">
      <alignment/>
      <protection/>
    </xf>
    <xf numFmtId="0" fontId="7" fillId="0" borderId="24" xfId="17" applyFont="1" applyBorder="1" applyAlignment="1">
      <alignment horizontal="center" vertical="justify"/>
      <protection/>
    </xf>
    <xf numFmtId="0" fontId="7" fillId="0" borderId="46" xfId="17" applyFont="1" applyBorder="1" applyAlignment="1">
      <alignment vertical="center"/>
      <protection/>
    </xf>
    <xf numFmtId="165" fontId="7" fillId="0" borderId="42" xfId="17" applyNumberFormat="1" applyFont="1" applyBorder="1" applyAlignment="1">
      <alignment horizontal="center" vertical="center"/>
      <protection/>
    </xf>
    <xf numFmtId="0" fontId="7" fillId="0" borderId="47" xfId="17" applyFont="1" applyBorder="1" applyAlignment="1">
      <alignment horizontal="center" vertical="center"/>
      <protection/>
    </xf>
    <xf numFmtId="0" fontId="7" fillId="0" borderId="48" xfId="17" applyFont="1" applyBorder="1" applyAlignment="1">
      <alignment horizontal="center"/>
      <protection/>
    </xf>
    <xf numFmtId="165" fontId="7" fillId="0" borderId="17" xfId="17" applyNumberFormat="1" applyFont="1" applyBorder="1" applyAlignment="1">
      <alignment horizontal="center" vertical="center"/>
      <protection/>
    </xf>
    <xf numFmtId="0" fontId="7" fillId="0" borderId="49" xfId="17" applyFont="1" applyBorder="1" applyAlignment="1">
      <alignment horizontal="center" vertical="center"/>
      <protection/>
    </xf>
    <xf numFmtId="0" fontId="7" fillId="0" borderId="50" xfId="17" applyFont="1" applyBorder="1" applyAlignment="1">
      <alignment horizontal="center"/>
      <protection/>
    </xf>
    <xf numFmtId="0" fontId="7" fillId="0" borderId="24" xfId="17" applyFont="1" applyBorder="1" applyAlignment="1">
      <alignment horizontal="left" vertical="justify"/>
      <protection/>
    </xf>
    <xf numFmtId="165" fontId="7" fillId="0" borderId="24" xfId="17" applyNumberFormat="1" applyFont="1" applyBorder="1" applyAlignment="1">
      <alignment horizontal="center" vertical="center"/>
      <protection/>
    </xf>
    <xf numFmtId="0" fontId="7" fillId="0" borderId="51" xfId="17" applyFont="1" applyBorder="1" applyAlignment="1">
      <alignment wrapText="1"/>
      <protection/>
    </xf>
    <xf numFmtId="0" fontId="7" fillId="0" borderId="52" xfId="17" applyFont="1" applyBorder="1" applyAlignment="1">
      <alignment horizontal="center" vertical="center"/>
      <protection/>
    </xf>
    <xf numFmtId="0" fontId="7" fillId="0" borderId="53" xfId="17" applyFont="1" applyBorder="1" applyAlignment="1">
      <alignment horizontal="center"/>
      <protection/>
    </xf>
    <xf numFmtId="165" fontId="7" fillId="0" borderId="23" xfId="17" applyNumberFormat="1" applyFont="1" applyBorder="1" applyAlignment="1">
      <alignment horizontal="center" vertical="center"/>
      <protection/>
    </xf>
    <xf numFmtId="165" fontId="7" fillId="0" borderId="54" xfId="17" applyNumberFormat="1" applyFont="1" applyBorder="1" applyAlignment="1">
      <alignment horizontal="center" vertical="center"/>
      <protection/>
    </xf>
    <xf numFmtId="0" fontId="7" fillId="0" borderId="24" xfId="17" applyFont="1" applyBorder="1">
      <alignment/>
      <protection/>
    </xf>
    <xf numFmtId="0" fontId="7" fillId="0" borderId="51" xfId="17" applyFont="1" applyBorder="1" applyAlignment="1">
      <alignment horizontal="center"/>
      <protection/>
    </xf>
    <xf numFmtId="165" fontId="7" fillId="0" borderId="33" xfId="17" applyNumberFormat="1" applyFont="1" applyBorder="1" applyAlignment="1">
      <alignment horizontal="center" vertical="center"/>
      <protection/>
    </xf>
    <xf numFmtId="0" fontId="21" fillId="0" borderId="15" xfId="0" applyFont="1" applyBorder="1" applyAlignment="1">
      <alignment vertical="center" wrapText="1"/>
    </xf>
    <xf numFmtId="0" fontId="7" fillId="0" borderId="15" xfId="18" applyFont="1" applyBorder="1" applyAlignment="1">
      <alignment vertical="justify"/>
      <protection/>
    </xf>
    <xf numFmtId="0" fontId="12" fillId="0" borderId="15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left" vertical="justify" wrapText="1"/>
    </xf>
    <xf numFmtId="0" fontId="12" fillId="0" borderId="19" xfId="0" applyFont="1" applyBorder="1" applyAlignment="1">
      <alignment horizontal="left" vertical="justify" wrapText="1" readingOrder="1"/>
    </xf>
    <xf numFmtId="0" fontId="12" fillId="0" borderId="55" xfId="0" applyFont="1" applyBorder="1" applyAlignment="1">
      <alignment horizontal="left" vertical="justify" wrapText="1"/>
    </xf>
    <xf numFmtId="0" fontId="12" fillId="0" borderId="15" xfId="0" applyFont="1" applyBorder="1" applyAlignment="1">
      <alignment vertical="center" wrapText="1"/>
    </xf>
    <xf numFmtId="49" fontId="21" fillId="0" borderId="15" xfId="0" applyNumberFormat="1" applyFont="1" applyBorder="1" applyAlignment="1">
      <alignment horizontal="left" vertical="justify"/>
    </xf>
    <xf numFmtId="0" fontId="12" fillId="0" borderId="15" xfId="0" applyFont="1" applyBorder="1" applyAlignment="1">
      <alignment vertical="justify"/>
    </xf>
    <xf numFmtId="0" fontId="12" fillId="0" borderId="15" xfId="0" applyNumberFormat="1" applyFont="1" applyBorder="1" applyAlignment="1">
      <alignment vertical="justify"/>
    </xf>
    <xf numFmtId="0" fontId="12" fillId="0" borderId="15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65" fontId="7" fillId="0" borderId="13" xfId="17" applyNumberFormat="1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left" wrapText="1"/>
      <protection/>
    </xf>
    <xf numFmtId="49" fontId="1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164" fontId="18" fillId="0" borderId="15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49" fontId="9" fillId="0" borderId="15" xfId="0" applyNumberFormat="1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vertical="center" wrapText="1"/>
    </xf>
    <xf numFmtId="164" fontId="22" fillId="0" borderId="15" xfId="0" applyNumberFormat="1" applyFont="1" applyBorder="1" applyAlignment="1">
      <alignment vertical="center" wrapText="1"/>
    </xf>
    <xf numFmtId="49" fontId="18" fillId="0" borderId="15" xfId="0" applyNumberFormat="1" applyFont="1" applyBorder="1" applyAlignment="1">
      <alignment horizontal="left" vertical="center"/>
    </xf>
    <xf numFmtId="164" fontId="18" fillId="0" borderId="15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left" vertical="center"/>
    </xf>
    <xf numFmtId="164" fontId="9" fillId="0" borderId="15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17" fillId="0" borderId="0" xfId="0" applyFont="1" applyAlignment="1">
      <alignment horizontal="center" vertical="justify" wrapText="1"/>
    </xf>
    <xf numFmtId="0" fontId="18" fillId="0" borderId="2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бюджет на 2008 год 1" xfId="17"/>
    <cellStyle name="Обычный_Источник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41">
          <cell r="F141" t="str">
            <v>003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586">
          <cell r="F586" t="str">
            <v>908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5"/>
  <sheetViews>
    <sheetView workbookViewId="0" topLeftCell="A20">
      <selection activeCell="K6" sqref="K6"/>
    </sheetView>
  </sheetViews>
  <sheetFormatPr defaultColWidth="9.125" defaultRowHeight="12.75"/>
  <cols>
    <col min="1" max="1" width="60.625" style="0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625" style="3" customWidth="1"/>
    <col min="8" max="8" width="6.125" style="3" hidden="1" customWidth="1"/>
    <col min="9" max="9" width="9.875" style="3" hidden="1" customWidth="1"/>
    <col min="10" max="10" width="12.25390625" style="228" hidden="1" customWidth="1"/>
  </cols>
  <sheetData>
    <row r="1" spans="6:7" ht="12.75">
      <c r="F1" s="2" t="s">
        <v>608</v>
      </c>
      <c r="G1" s="225"/>
    </row>
    <row r="2" spans="6:7" ht="12.75">
      <c r="F2" s="4" t="s">
        <v>680</v>
      </c>
      <c r="G2" s="225"/>
    </row>
    <row r="3" spans="6:7" ht="12" customHeight="1">
      <c r="F3" s="4" t="s">
        <v>681</v>
      </c>
      <c r="G3" s="225"/>
    </row>
    <row r="4" spans="6:7" ht="16.5" customHeight="1">
      <c r="F4" s="4" t="s">
        <v>684</v>
      </c>
      <c r="G4" s="225"/>
    </row>
    <row r="5" spans="6:9" ht="12" customHeight="1">
      <c r="F5" s="301" t="s">
        <v>339</v>
      </c>
      <c r="G5" s="301"/>
      <c r="H5" s="6"/>
      <c r="I5" s="6"/>
    </row>
    <row r="6" spans="2:6" ht="12.75">
      <c r="B6" s="7" t="s">
        <v>685</v>
      </c>
      <c r="F6" s="4"/>
    </row>
    <row r="7" spans="2:6" ht="12.75">
      <c r="B7" s="7" t="s">
        <v>686</v>
      </c>
      <c r="F7" s="8"/>
    </row>
    <row r="8" spans="2:6" ht="12.75">
      <c r="B8" s="7" t="s">
        <v>687</v>
      </c>
      <c r="F8" s="8"/>
    </row>
    <row r="9" ht="12.75">
      <c r="B9" s="9" t="s">
        <v>688</v>
      </c>
    </row>
    <row r="10" spans="2:9" ht="15.75" customHeight="1" thickBot="1">
      <c r="B10" s="10"/>
      <c r="G10" s="6"/>
      <c r="H10" s="6"/>
      <c r="I10" s="6"/>
    </row>
    <row r="11" spans="1:9" ht="15" thickBot="1">
      <c r="A11" s="11" t="s">
        <v>689</v>
      </c>
      <c r="B11" s="12" t="s">
        <v>690</v>
      </c>
      <c r="C11" s="13"/>
      <c r="D11" s="14"/>
      <c r="E11" s="14"/>
      <c r="F11" s="14"/>
      <c r="G11" s="15" t="s">
        <v>691</v>
      </c>
      <c r="H11" s="15" t="s">
        <v>692</v>
      </c>
      <c r="I11" s="15" t="s">
        <v>693</v>
      </c>
    </row>
    <row r="12" spans="1:9" ht="39.75" customHeight="1" thickBot="1">
      <c r="A12" s="16"/>
      <c r="B12" s="17" t="s">
        <v>694</v>
      </c>
      <c r="C12" s="18" t="s">
        <v>695</v>
      </c>
      <c r="D12" s="18" t="s">
        <v>696</v>
      </c>
      <c r="E12" s="18" t="s">
        <v>697</v>
      </c>
      <c r="F12" s="19" t="s">
        <v>698</v>
      </c>
      <c r="G12" s="20" t="s">
        <v>699</v>
      </c>
      <c r="H12" s="20" t="s">
        <v>700</v>
      </c>
      <c r="I12" s="20" t="s">
        <v>701</v>
      </c>
    </row>
    <row r="13" spans="1:10" s="26" customFormat="1" ht="15.75">
      <c r="A13" s="21" t="s">
        <v>702</v>
      </c>
      <c r="B13" s="22"/>
      <c r="C13" s="23" t="s">
        <v>703</v>
      </c>
      <c r="D13" s="23"/>
      <c r="E13" s="23"/>
      <c r="F13" s="24"/>
      <c r="G13" s="25">
        <f>SUM(G14+G18+G51+G68+G71+G89+G93+G85+G79)</f>
        <v>142387.10000000003</v>
      </c>
      <c r="H13" s="25">
        <f>SUM(H14+H18+H51+H68+H71+H89+H93+H85+H79)</f>
        <v>90646.20000000001</v>
      </c>
      <c r="I13" s="25">
        <f>SUM(H13/G13*100)</f>
        <v>63.66180644173524</v>
      </c>
      <c r="J13" s="229"/>
    </row>
    <row r="14" spans="1:9" ht="28.5">
      <c r="A14" s="27" t="s">
        <v>704</v>
      </c>
      <c r="B14" s="28"/>
      <c r="C14" s="29" t="s">
        <v>703</v>
      </c>
      <c r="D14" s="29" t="s">
        <v>705</v>
      </c>
      <c r="E14" s="29"/>
      <c r="F14" s="30"/>
      <c r="G14" s="31">
        <f>SUM(G15)</f>
        <v>1266.5</v>
      </c>
      <c r="H14" s="31">
        <f>SUM(H15)</f>
        <v>983.5</v>
      </c>
      <c r="I14" s="31">
        <f>SUM(H14/G14*100)</f>
        <v>77.65495459928938</v>
      </c>
    </row>
    <row r="15" spans="1:9" ht="41.25" customHeight="1">
      <c r="A15" s="32" t="s">
        <v>706</v>
      </c>
      <c r="B15" s="28"/>
      <c r="C15" s="29" t="s">
        <v>703</v>
      </c>
      <c r="D15" s="29" t="s">
        <v>705</v>
      </c>
      <c r="E15" s="29" t="s">
        <v>707</v>
      </c>
      <c r="F15" s="30"/>
      <c r="G15" s="31">
        <f>SUM(G17:G17)</f>
        <v>1266.5</v>
      </c>
      <c r="H15" s="31">
        <f>SUM(H17:H17)</f>
        <v>983.5</v>
      </c>
      <c r="I15" s="31">
        <f aca="true" t="shared" si="0" ref="I15:I78">SUM(H15/G15*100)</f>
        <v>77.65495459928938</v>
      </c>
    </row>
    <row r="16" spans="1:9" ht="16.5" customHeight="1">
      <c r="A16" s="32" t="s">
        <v>708</v>
      </c>
      <c r="B16" s="28"/>
      <c r="C16" s="29" t="s">
        <v>703</v>
      </c>
      <c r="D16" s="29" t="s">
        <v>705</v>
      </c>
      <c r="E16" s="29" t="s">
        <v>709</v>
      </c>
      <c r="F16" s="30"/>
      <c r="G16" s="31">
        <f>SUM(G17)</f>
        <v>1266.5</v>
      </c>
      <c r="H16" s="31">
        <f>SUM(H17)</f>
        <v>983.5</v>
      </c>
      <c r="I16" s="31">
        <f t="shared" si="0"/>
        <v>77.65495459928938</v>
      </c>
    </row>
    <row r="17" spans="1:10" ht="19.5" customHeight="1">
      <c r="A17" s="32" t="s">
        <v>710</v>
      </c>
      <c r="B17" s="28"/>
      <c r="C17" s="29" t="s">
        <v>703</v>
      </c>
      <c r="D17" s="29" t="s">
        <v>705</v>
      </c>
      <c r="E17" s="29" t="s">
        <v>709</v>
      </c>
      <c r="F17" s="30" t="s">
        <v>711</v>
      </c>
      <c r="G17" s="31">
        <v>1266.5</v>
      </c>
      <c r="H17" s="31">
        <v>983.5</v>
      </c>
      <c r="I17" s="31">
        <f t="shared" si="0"/>
        <v>77.65495459928938</v>
      </c>
      <c r="J17" s="228">
        <f>SUM('ведомствен.'!G16)</f>
        <v>1266.4999999999998</v>
      </c>
    </row>
    <row r="18" spans="1:9" ht="44.25" customHeight="1">
      <c r="A18" s="32" t="s">
        <v>712</v>
      </c>
      <c r="B18" s="28"/>
      <c r="C18" s="29" t="s">
        <v>703</v>
      </c>
      <c r="D18" s="29" t="s">
        <v>713</v>
      </c>
      <c r="E18" s="29"/>
      <c r="F18" s="30"/>
      <c r="G18" s="31">
        <f>SUM(G19)</f>
        <v>13178.1</v>
      </c>
      <c r="H18" s="31">
        <f>SUM(H19)</f>
        <v>8231.8</v>
      </c>
      <c r="I18" s="31">
        <f t="shared" si="0"/>
        <v>62.46575758265607</v>
      </c>
    </row>
    <row r="19" spans="1:9" ht="42.75" customHeight="1">
      <c r="A19" s="32" t="s">
        <v>706</v>
      </c>
      <c r="B19" s="28"/>
      <c r="C19" s="29" t="s">
        <v>703</v>
      </c>
      <c r="D19" s="29" t="s">
        <v>713</v>
      </c>
      <c r="E19" s="29" t="s">
        <v>707</v>
      </c>
      <c r="F19" s="33"/>
      <c r="G19" s="31">
        <f>SUM(G20+G22)</f>
        <v>13178.1</v>
      </c>
      <c r="H19" s="31">
        <f>SUM(H20+H22)</f>
        <v>8231.8</v>
      </c>
      <c r="I19" s="31">
        <f t="shared" si="0"/>
        <v>62.46575758265607</v>
      </c>
    </row>
    <row r="20" spans="1:9" ht="15">
      <c r="A20" s="32" t="s">
        <v>714</v>
      </c>
      <c r="B20" s="28"/>
      <c r="C20" s="29" t="s">
        <v>715</v>
      </c>
      <c r="D20" s="29" t="s">
        <v>713</v>
      </c>
      <c r="E20" s="29" t="s">
        <v>716</v>
      </c>
      <c r="F20" s="33"/>
      <c r="G20" s="31">
        <f>SUM(G21)</f>
        <v>13015</v>
      </c>
      <c r="H20" s="31">
        <f>SUM(H21)</f>
        <v>8068.7</v>
      </c>
      <c r="I20" s="31">
        <f t="shared" si="0"/>
        <v>61.995389934690735</v>
      </c>
    </row>
    <row r="21" spans="1:10" ht="19.5" customHeight="1">
      <c r="A21" s="32" t="s">
        <v>710</v>
      </c>
      <c r="B21" s="28"/>
      <c r="C21" s="29" t="s">
        <v>703</v>
      </c>
      <c r="D21" s="29" t="s">
        <v>713</v>
      </c>
      <c r="E21" s="29" t="s">
        <v>716</v>
      </c>
      <c r="F21" s="30" t="s">
        <v>711</v>
      </c>
      <c r="G21" s="31">
        <v>13015</v>
      </c>
      <c r="H21" s="31">
        <v>8068.7</v>
      </c>
      <c r="I21" s="31">
        <f t="shared" si="0"/>
        <v>61.995389934690735</v>
      </c>
      <c r="J21" s="228">
        <f>SUM('ведомствен.'!G20)</f>
        <v>13015</v>
      </c>
    </row>
    <row r="22" spans="1:9" ht="28.5" customHeight="1">
      <c r="A22" s="32" t="s">
        <v>717</v>
      </c>
      <c r="B22" s="28"/>
      <c r="C22" s="29" t="s">
        <v>715</v>
      </c>
      <c r="D22" s="29" t="s">
        <v>713</v>
      </c>
      <c r="E22" s="29" t="s">
        <v>718</v>
      </c>
      <c r="F22" s="30"/>
      <c r="G22" s="31">
        <f>SUM(G23)</f>
        <v>163.10000000000002</v>
      </c>
      <c r="H22" s="31">
        <f>SUM(H23)</f>
        <v>163.10000000000002</v>
      </c>
      <c r="I22" s="31">
        <f t="shared" si="0"/>
        <v>100</v>
      </c>
    </row>
    <row r="23" spans="1:10" ht="21.75" customHeight="1">
      <c r="A23" s="32" t="s">
        <v>710</v>
      </c>
      <c r="B23" s="28"/>
      <c r="C23" s="29" t="s">
        <v>715</v>
      </c>
      <c r="D23" s="29" t="s">
        <v>713</v>
      </c>
      <c r="E23" s="29" t="s">
        <v>718</v>
      </c>
      <c r="F23" s="30" t="s">
        <v>711</v>
      </c>
      <c r="G23" s="31">
        <f>913.5-750.4</f>
        <v>163.10000000000002</v>
      </c>
      <c r="H23" s="31">
        <f>913.5-750.4</f>
        <v>163.10000000000002</v>
      </c>
      <c r="I23" s="31">
        <f t="shared" si="0"/>
        <v>100</v>
      </c>
      <c r="J23" s="228">
        <f>SUM('ведомствен.'!G22)</f>
        <v>163.1</v>
      </c>
    </row>
    <row r="24" spans="1:9" ht="15" customHeight="1" hidden="1">
      <c r="A24" s="32" t="s">
        <v>719</v>
      </c>
      <c r="B24" s="28"/>
      <c r="C24" s="29" t="s">
        <v>703</v>
      </c>
      <c r="D24" s="29" t="s">
        <v>720</v>
      </c>
      <c r="E24" s="29"/>
      <c r="F24" s="33"/>
      <c r="G24" s="31">
        <f>SUM(G25)</f>
        <v>0</v>
      </c>
      <c r="H24" s="31">
        <f>SUM(H25)</f>
        <v>0</v>
      </c>
      <c r="I24" s="31" t="e">
        <f t="shared" si="0"/>
        <v>#DIV/0!</v>
      </c>
    </row>
    <row r="25" spans="1:9" ht="28.5" customHeight="1" hidden="1">
      <c r="A25" s="32" t="s">
        <v>721</v>
      </c>
      <c r="B25" s="28"/>
      <c r="C25" s="29" t="s">
        <v>703</v>
      </c>
      <c r="D25" s="29" t="s">
        <v>720</v>
      </c>
      <c r="E25" s="29" t="s">
        <v>722</v>
      </c>
      <c r="F25" s="34"/>
      <c r="G25" s="31">
        <f>SUM(G26)</f>
        <v>0</v>
      </c>
      <c r="H25" s="31">
        <f>SUM(H26)</f>
        <v>0</v>
      </c>
      <c r="I25" s="31" t="e">
        <f t="shared" si="0"/>
        <v>#DIV/0!</v>
      </c>
    </row>
    <row r="26" spans="1:9" ht="15" customHeight="1" hidden="1">
      <c r="A26" s="32" t="s">
        <v>723</v>
      </c>
      <c r="B26" s="28"/>
      <c r="C26" s="29" t="s">
        <v>703</v>
      </c>
      <c r="D26" s="29" t="s">
        <v>720</v>
      </c>
      <c r="E26" s="29" t="s">
        <v>722</v>
      </c>
      <c r="F26" s="34" t="s">
        <v>724</v>
      </c>
      <c r="G26" s="31"/>
      <c r="H26" s="31"/>
      <c r="I26" s="31" t="e">
        <f t="shared" si="0"/>
        <v>#DIV/0!</v>
      </c>
    </row>
    <row r="27" spans="1:10" s="37" customFormat="1" ht="15" customHeight="1" hidden="1">
      <c r="A27" s="35" t="s">
        <v>725</v>
      </c>
      <c r="B27" s="36"/>
      <c r="C27" s="29" t="s">
        <v>726</v>
      </c>
      <c r="D27" s="29"/>
      <c r="E27" s="29"/>
      <c r="F27" s="30"/>
      <c r="G27" s="31">
        <f aca="true" t="shared" si="1" ref="G27:H29">SUM(G28)</f>
        <v>0</v>
      </c>
      <c r="H27" s="31">
        <f t="shared" si="1"/>
        <v>0</v>
      </c>
      <c r="I27" s="31" t="e">
        <f t="shared" si="0"/>
        <v>#DIV/0!</v>
      </c>
      <c r="J27" s="230"/>
    </row>
    <row r="28" spans="1:10" s="37" customFormat="1" ht="15" customHeight="1" hidden="1">
      <c r="A28" s="32" t="s">
        <v>727</v>
      </c>
      <c r="B28" s="36"/>
      <c r="C28" s="29" t="s">
        <v>726</v>
      </c>
      <c r="D28" s="29" t="s">
        <v>726</v>
      </c>
      <c r="E28" s="29"/>
      <c r="F28" s="30"/>
      <c r="G28" s="31">
        <f t="shared" si="1"/>
        <v>0</v>
      </c>
      <c r="H28" s="31">
        <f t="shared" si="1"/>
        <v>0</v>
      </c>
      <c r="I28" s="31" t="e">
        <f t="shared" si="0"/>
        <v>#DIV/0!</v>
      </c>
      <c r="J28" s="230"/>
    </row>
    <row r="29" spans="1:10" s="37" customFormat="1" ht="28.5" customHeight="1" hidden="1">
      <c r="A29" s="32" t="s">
        <v>728</v>
      </c>
      <c r="B29" s="36"/>
      <c r="C29" s="29" t="s">
        <v>726</v>
      </c>
      <c r="D29" s="29" t="s">
        <v>726</v>
      </c>
      <c r="E29" s="29" t="s">
        <v>729</v>
      </c>
      <c r="F29" s="30"/>
      <c r="G29" s="31">
        <f t="shared" si="1"/>
        <v>0</v>
      </c>
      <c r="H29" s="31">
        <f t="shared" si="1"/>
        <v>0</v>
      </c>
      <c r="I29" s="31" t="e">
        <f t="shared" si="0"/>
        <v>#DIV/0!</v>
      </c>
      <c r="J29" s="230"/>
    </row>
    <row r="30" spans="1:10" s="37" customFormat="1" ht="15" customHeight="1" hidden="1">
      <c r="A30" s="32" t="s">
        <v>730</v>
      </c>
      <c r="B30" s="36"/>
      <c r="C30" s="29" t="s">
        <v>726</v>
      </c>
      <c r="D30" s="29" t="s">
        <v>726</v>
      </c>
      <c r="E30" s="29" t="s">
        <v>729</v>
      </c>
      <c r="F30" s="30" t="s">
        <v>731</v>
      </c>
      <c r="G30" s="31"/>
      <c r="H30" s="31"/>
      <c r="I30" s="31" t="e">
        <f t="shared" si="0"/>
        <v>#DIV/0!</v>
      </c>
      <c r="J30" s="230"/>
    </row>
    <row r="31" spans="1:10" s="37" customFormat="1" ht="15" customHeight="1" hidden="1">
      <c r="A31" s="38" t="s">
        <v>725</v>
      </c>
      <c r="B31" s="39"/>
      <c r="C31" s="40" t="s">
        <v>726</v>
      </c>
      <c r="D31" s="29"/>
      <c r="E31" s="29"/>
      <c r="F31" s="30"/>
      <c r="G31" s="31">
        <f aca="true" t="shared" si="2" ref="G31:H33">SUM(G32)</f>
        <v>0</v>
      </c>
      <c r="H31" s="31">
        <f t="shared" si="2"/>
        <v>0</v>
      </c>
      <c r="I31" s="31" t="e">
        <f t="shared" si="0"/>
        <v>#DIV/0!</v>
      </c>
      <c r="J31" s="230"/>
    </row>
    <row r="32" spans="1:10" s="37" customFormat="1" ht="15" customHeight="1" hidden="1">
      <c r="A32" s="32" t="s">
        <v>727</v>
      </c>
      <c r="B32" s="36"/>
      <c r="C32" s="29" t="s">
        <v>726</v>
      </c>
      <c r="D32" s="29" t="s">
        <v>726</v>
      </c>
      <c r="E32" s="29"/>
      <c r="F32" s="30"/>
      <c r="G32" s="31">
        <f t="shared" si="2"/>
        <v>0</v>
      </c>
      <c r="H32" s="31">
        <f t="shared" si="2"/>
        <v>0</v>
      </c>
      <c r="I32" s="31" t="e">
        <f t="shared" si="0"/>
        <v>#DIV/0!</v>
      </c>
      <c r="J32" s="230"/>
    </row>
    <row r="33" spans="1:10" s="37" customFormat="1" ht="28.5" customHeight="1" hidden="1">
      <c r="A33" s="32" t="s">
        <v>728</v>
      </c>
      <c r="B33" s="36"/>
      <c r="C33" s="29" t="s">
        <v>726</v>
      </c>
      <c r="D33" s="29" t="s">
        <v>726</v>
      </c>
      <c r="E33" s="29" t="s">
        <v>729</v>
      </c>
      <c r="F33" s="30"/>
      <c r="G33" s="31">
        <f t="shared" si="2"/>
        <v>0</v>
      </c>
      <c r="H33" s="31">
        <f t="shared" si="2"/>
        <v>0</v>
      </c>
      <c r="I33" s="31" t="e">
        <f t="shared" si="0"/>
        <v>#DIV/0!</v>
      </c>
      <c r="J33" s="230"/>
    </row>
    <row r="34" spans="1:10" s="37" customFormat="1" ht="15" customHeight="1" hidden="1">
      <c r="A34" s="32" t="s">
        <v>730</v>
      </c>
      <c r="B34" s="36"/>
      <c r="C34" s="29" t="s">
        <v>726</v>
      </c>
      <c r="D34" s="29" t="s">
        <v>726</v>
      </c>
      <c r="E34" s="29" t="s">
        <v>729</v>
      </c>
      <c r="F34" s="30" t="s">
        <v>731</v>
      </c>
      <c r="G34" s="31"/>
      <c r="H34" s="31"/>
      <c r="I34" s="31" t="e">
        <f t="shared" si="0"/>
        <v>#DIV/0!</v>
      </c>
      <c r="J34" s="230"/>
    </row>
    <row r="35" spans="1:10" s="41" customFormat="1" ht="15" customHeight="1" hidden="1">
      <c r="A35" s="32"/>
      <c r="B35" s="36"/>
      <c r="C35" s="29"/>
      <c r="D35" s="29"/>
      <c r="E35" s="29"/>
      <c r="F35" s="30"/>
      <c r="G35" s="31"/>
      <c r="H35" s="31"/>
      <c r="I35" s="31" t="e">
        <f t="shared" si="0"/>
        <v>#DIV/0!</v>
      </c>
      <c r="J35" s="231"/>
    </row>
    <row r="36" spans="1:9" ht="42.75" customHeight="1" hidden="1">
      <c r="A36" s="32" t="s">
        <v>732</v>
      </c>
      <c r="B36" s="28"/>
      <c r="C36" s="29" t="s">
        <v>703</v>
      </c>
      <c r="D36" s="29" t="s">
        <v>720</v>
      </c>
      <c r="E36" s="29" t="s">
        <v>733</v>
      </c>
      <c r="F36" s="30"/>
      <c r="G36" s="31">
        <f>SUM(G37)</f>
        <v>0</v>
      </c>
      <c r="H36" s="31">
        <f>SUM(H37)</f>
        <v>0</v>
      </c>
      <c r="I36" s="31" t="e">
        <f t="shared" si="0"/>
        <v>#DIV/0!</v>
      </c>
    </row>
    <row r="37" spans="1:9" ht="42.75" customHeight="1" hidden="1">
      <c r="A37" s="32" t="s">
        <v>734</v>
      </c>
      <c r="B37" s="28"/>
      <c r="C37" s="29" t="s">
        <v>703</v>
      </c>
      <c r="D37" s="29" t="s">
        <v>720</v>
      </c>
      <c r="E37" s="29" t="s">
        <v>733</v>
      </c>
      <c r="F37" s="30" t="s">
        <v>735</v>
      </c>
      <c r="G37" s="31"/>
      <c r="H37" s="31"/>
      <c r="I37" s="31" t="e">
        <f t="shared" si="0"/>
        <v>#DIV/0!</v>
      </c>
    </row>
    <row r="38" spans="1:9" ht="14.25" customHeight="1" hidden="1">
      <c r="A38" s="42" t="s">
        <v>736</v>
      </c>
      <c r="B38" s="28"/>
      <c r="C38" s="29" t="s">
        <v>737</v>
      </c>
      <c r="D38" s="29"/>
      <c r="E38" s="29"/>
      <c r="F38" s="33"/>
      <c r="G38" s="31">
        <f>SUM(G42+G39)</f>
        <v>0</v>
      </c>
      <c r="H38" s="31">
        <f>SUM(H42+H39)</f>
        <v>0</v>
      </c>
      <c r="I38" s="31" t="e">
        <f t="shared" si="0"/>
        <v>#DIV/0!</v>
      </c>
    </row>
    <row r="39" spans="1:9" ht="15" customHeight="1" hidden="1">
      <c r="A39" s="42" t="s">
        <v>738</v>
      </c>
      <c r="B39" s="28"/>
      <c r="C39" s="29" t="s">
        <v>737</v>
      </c>
      <c r="D39" s="29" t="s">
        <v>739</v>
      </c>
      <c r="E39" s="29"/>
      <c r="F39" s="33"/>
      <c r="G39" s="31">
        <f>SUM(G40)</f>
        <v>0</v>
      </c>
      <c r="H39" s="31">
        <f>SUM(H40)</f>
        <v>0</v>
      </c>
      <c r="I39" s="31" t="e">
        <f t="shared" si="0"/>
        <v>#DIV/0!</v>
      </c>
    </row>
    <row r="40" spans="1:9" ht="15" customHeight="1" hidden="1">
      <c r="A40" s="27" t="s">
        <v>740</v>
      </c>
      <c r="B40" s="28"/>
      <c r="C40" s="29" t="s">
        <v>737</v>
      </c>
      <c r="D40" s="29" t="s">
        <v>739</v>
      </c>
      <c r="E40" s="29" t="s">
        <v>741</v>
      </c>
      <c r="F40" s="30"/>
      <c r="G40" s="31">
        <f>SUM(G41)</f>
        <v>0</v>
      </c>
      <c r="H40" s="31">
        <f>SUM(H41)</f>
        <v>0</v>
      </c>
      <c r="I40" s="31" t="e">
        <f t="shared" si="0"/>
        <v>#DIV/0!</v>
      </c>
    </row>
    <row r="41" spans="1:9" ht="15" customHeight="1" hidden="1">
      <c r="A41" s="27" t="s">
        <v>742</v>
      </c>
      <c r="B41" s="28"/>
      <c r="C41" s="29" t="s">
        <v>737</v>
      </c>
      <c r="D41" s="29" t="s">
        <v>739</v>
      </c>
      <c r="E41" s="29" t="s">
        <v>741</v>
      </c>
      <c r="F41" s="30" t="s">
        <v>743</v>
      </c>
      <c r="G41" s="31"/>
      <c r="H41" s="31"/>
      <c r="I41" s="31" t="e">
        <f t="shared" si="0"/>
        <v>#DIV/0!</v>
      </c>
    </row>
    <row r="42" spans="1:9" ht="14.25" customHeight="1" hidden="1">
      <c r="A42" s="43" t="s">
        <v>744</v>
      </c>
      <c r="B42" s="44"/>
      <c r="C42" s="45" t="s">
        <v>737</v>
      </c>
      <c r="D42" s="45" t="s">
        <v>745</v>
      </c>
      <c r="E42" s="45"/>
      <c r="F42" s="33"/>
      <c r="G42" s="31">
        <f>SUM(G43+G45)</f>
        <v>0</v>
      </c>
      <c r="H42" s="31">
        <f>SUM(H43+H45)</f>
        <v>0</v>
      </c>
      <c r="I42" s="31" t="e">
        <f t="shared" si="0"/>
        <v>#DIV/0!</v>
      </c>
    </row>
    <row r="43" spans="1:9" ht="28.5" customHeight="1" hidden="1">
      <c r="A43" s="42" t="s">
        <v>746</v>
      </c>
      <c r="B43" s="28"/>
      <c r="C43" s="29" t="s">
        <v>737</v>
      </c>
      <c r="D43" s="29" t="s">
        <v>745</v>
      </c>
      <c r="E43" s="29" t="s">
        <v>747</v>
      </c>
      <c r="F43" s="33"/>
      <c r="G43" s="31">
        <f>SUM(G44)</f>
        <v>0</v>
      </c>
      <c r="H43" s="31">
        <f>SUM(H44)</f>
        <v>0</v>
      </c>
      <c r="I43" s="31" t="e">
        <f t="shared" si="0"/>
        <v>#DIV/0!</v>
      </c>
    </row>
    <row r="44" spans="1:9" ht="15" customHeight="1" hidden="1">
      <c r="A44" s="42" t="s">
        <v>748</v>
      </c>
      <c r="B44" s="28"/>
      <c r="C44" s="29" t="s">
        <v>737</v>
      </c>
      <c r="D44" s="29" t="s">
        <v>745</v>
      </c>
      <c r="E44" s="29" t="s">
        <v>747</v>
      </c>
      <c r="F44" s="33" t="s">
        <v>749</v>
      </c>
      <c r="G44" s="31"/>
      <c r="H44" s="31"/>
      <c r="I44" s="31" t="e">
        <f t="shared" si="0"/>
        <v>#DIV/0!</v>
      </c>
    </row>
    <row r="45" spans="1:9" ht="15" customHeight="1" hidden="1">
      <c r="A45" s="43" t="s">
        <v>750</v>
      </c>
      <c r="B45" s="44"/>
      <c r="C45" s="45" t="s">
        <v>737</v>
      </c>
      <c r="D45" s="45" t="s">
        <v>745</v>
      </c>
      <c r="E45" s="45" t="s">
        <v>751</v>
      </c>
      <c r="F45" s="33"/>
      <c r="G45" s="31">
        <f>SUM(G46)</f>
        <v>0</v>
      </c>
      <c r="H45" s="31">
        <f>SUM(H46)</f>
        <v>0</v>
      </c>
      <c r="I45" s="31" t="e">
        <f t="shared" si="0"/>
        <v>#DIV/0!</v>
      </c>
    </row>
    <row r="46" spans="1:9" ht="15" customHeight="1" hidden="1">
      <c r="A46" s="43" t="s">
        <v>752</v>
      </c>
      <c r="B46" s="44"/>
      <c r="C46" s="45" t="s">
        <v>737</v>
      </c>
      <c r="D46" s="45" t="s">
        <v>745</v>
      </c>
      <c r="E46" s="45" t="s">
        <v>751</v>
      </c>
      <c r="F46" s="33" t="s">
        <v>753</v>
      </c>
      <c r="G46" s="31"/>
      <c r="H46" s="31"/>
      <c r="I46" s="31" t="e">
        <f t="shared" si="0"/>
        <v>#DIV/0!</v>
      </c>
    </row>
    <row r="47" spans="1:9" ht="15" customHeight="1" hidden="1">
      <c r="A47" s="38" t="s">
        <v>725</v>
      </c>
      <c r="B47" s="39"/>
      <c r="C47" s="40" t="s">
        <v>726</v>
      </c>
      <c r="D47" s="29"/>
      <c r="E47" s="29"/>
      <c r="F47" s="30"/>
      <c r="G47" s="31">
        <f aca="true" t="shared" si="3" ref="G47:H49">SUM(G48)</f>
        <v>0</v>
      </c>
      <c r="H47" s="31">
        <f t="shared" si="3"/>
        <v>0</v>
      </c>
      <c r="I47" s="31" t="e">
        <f t="shared" si="0"/>
        <v>#DIV/0!</v>
      </c>
    </row>
    <row r="48" spans="1:9" ht="15" customHeight="1" hidden="1">
      <c r="A48" s="32" t="s">
        <v>727</v>
      </c>
      <c r="B48" s="36"/>
      <c r="C48" s="29" t="s">
        <v>726</v>
      </c>
      <c r="D48" s="29" t="s">
        <v>726</v>
      </c>
      <c r="E48" s="29"/>
      <c r="F48" s="30"/>
      <c r="G48" s="31">
        <f t="shared" si="3"/>
        <v>0</v>
      </c>
      <c r="H48" s="31">
        <f t="shared" si="3"/>
        <v>0</v>
      </c>
      <c r="I48" s="31" t="e">
        <f t="shared" si="0"/>
        <v>#DIV/0!</v>
      </c>
    </row>
    <row r="49" spans="1:9" ht="28.5" customHeight="1" hidden="1">
      <c r="A49" s="32" t="s">
        <v>728</v>
      </c>
      <c r="B49" s="36"/>
      <c r="C49" s="29" t="s">
        <v>726</v>
      </c>
      <c r="D49" s="29" t="s">
        <v>726</v>
      </c>
      <c r="E49" s="29" t="s">
        <v>729</v>
      </c>
      <c r="F49" s="30"/>
      <c r="G49" s="31">
        <f t="shared" si="3"/>
        <v>0</v>
      </c>
      <c r="H49" s="31">
        <f t="shared" si="3"/>
        <v>0</v>
      </c>
      <c r="I49" s="31" t="e">
        <f t="shared" si="0"/>
        <v>#DIV/0!</v>
      </c>
    </row>
    <row r="50" spans="1:9" ht="14.25" customHeight="1" hidden="1">
      <c r="A50" s="32" t="s">
        <v>730</v>
      </c>
      <c r="B50" s="36"/>
      <c r="C50" s="29" t="s">
        <v>726</v>
      </c>
      <c r="D50" s="29" t="s">
        <v>726</v>
      </c>
      <c r="E50" s="29" t="s">
        <v>729</v>
      </c>
      <c r="F50" s="30" t="s">
        <v>731</v>
      </c>
      <c r="G50" s="31"/>
      <c r="H50" s="31"/>
      <c r="I50" s="31" t="e">
        <f t="shared" si="0"/>
        <v>#DIV/0!</v>
      </c>
    </row>
    <row r="51" spans="1:9" ht="44.25" customHeight="1">
      <c r="A51" s="32" t="s">
        <v>754</v>
      </c>
      <c r="B51" s="28"/>
      <c r="C51" s="29" t="s">
        <v>703</v>
      </c>
      <c r="D51" s="29" t="s">
        <v>737</v>
      </c>
      <c r="E51" s="29"/>
      <c r="F51" s="30"/>
      <c r="G51" s="31">
        <f>SUM(G52)+G63+G61</f>
        <v>79915.00000000001</v>
      </c>
      <c r="H51" s="31">
        <f>SUM(H52)+H63+H61</f>
        <v>52319.90000000001</v>
      </c>
      <c r="I51" s="31">
        <f t="shared" si="0"/>
        <v>65.4694362760433</v>
      </c>
    </row>
    <row r="52" spans="1:9" ht="45.75" customHeight="1">
      <c r="A52" s="32" t="s">
        <v>706</v>
      </c>
      <c r="B52" s="28"/>
      <c r="C52" s="29" t="s">
        <v>703</v>
      </c>
      <c r="D52" s="29" t="s">
        <v>737</v>
      </c>
      <c r="E52" s="29" t="s">
        <v>707</v>
      </c>
      <c r="F52" s="33"/>
      <c r="G52" s="31">
        <f>SUM(G53+G59)</f>
        <v>79384.20000000001</v>
      </c>
      <c r="H52" s="31">
        <f>SUM(H53+H59)</f>
        <v>51899.200000000004</v>
      </c>
      <c r="I52" s="31">
        <f t="shared" si="0"/>
        <v>65.37724131502239</v>
      </c>
    </row>
    <row r="53" spans="1:9" ht="15">
      <c r="A53" s="32" t="s">
        <v>714</v>
      </c>
      <c r="B53" s="28"/>
      <c r="C53" s="29" t="s">
        <v>703</v>
      </c>
      <c r="D53" s="29" t="s">
        <v>737</v>
      </c>
      <c r="E53" s="29" t="s">
        <v>716</v>
      </c>
      <c r="F53" s="33"/>
      <c r="G53" s="31">
        <f>SUM(G54:G54+G55+G57+G58)+G56</f>
        <v>78317.40000000001</v>
      </c>
      <c r="H53" s="31">
        <f>SUM(H54:H54+H55+H57+H58)+H56</f>
        <v>51161.8</v>
      </c>
      <c r="I53" s="31">
        <f t="shared" si="0"/>
        <v>65.32622380211805</v>
      </c>
    </row>
    <row r="54" spans="1:10" ht="15">
      <c r="A54" s="32" t="s">
        <v>710</v>
      </c>
      <c r="B54" s="28"/>
      <c r="C54" s="29" t="s">
        <v>703</v>
      </c>
      <c r="D54" s="29" t="s">
        <v>737</v>
      </c>
      <c r="E54" s="29" t="s">
        <v>716</v>
      </c>
      <c r="F54" s="30" t="s">
        <v>711</v>
      </c>
      <c r="G54" s="31">
        <v>77460.6</v>
      </c>
      <c r="H54" s="31">
        <v>50612.1</v>
      </c>
      <c r="I54" s="31">
        <f t="shared" si="0"/>
        <v>65.33915306620398</v>
      </c>
      <c r="J54" s="228">
        <f>SUM('ведомствен.'!G50+'ведомствен.'!G620+'ведомствен.'!G687)</f>
        <v>77460.6</v>
      </c>
    </row>
    <row r="55" spans="1:10" ht="42.75">
      <c r="A55" s="32" t="s">
        <v>755</v>
      </c>
      <c r="B55" s="28"/>
      <c r="C55" s="29" t="s">
        <v>703</v>
      </c>
      <c r="D55" s="29" t="s">
        <v>737</v>
      </c>
      <c r="E55" s="29" t="s">
        <v>756</v>
      </c>
      <c r="F55" s="30" t="s">
        <v>711</v>
      </c>
      <c r="G55" s="31">
        <f>717.9+21.1</f>
        <v>739</v>
      </c>
      <c r="H55" s="31">
        <v>507.8</v>
      </c>
      <c r="I55" s="31">
        <f t="shared" si="0"/>
        <v>68.71447902571042</v>
      </c>
      <c r="J55" s="228">
        <f>SUM('ведомствен.'!G51)</f>
        <v>739</v>
      </c>
    </row>
    <row r="56" spans="1:9" ht="57" customHeight="1" hidden="1">
      <c r="A56" s="32" t="s">
        <v>757</v>
      </c>
      <c r="B56" s="28"/>
      <c r="C56" s="29" t="s">
        <v>703</v>
      </c>
      <c r="D56" s="29" t="s">
        <v>737</v>
      </c>
      <c r="E56" s="29" t="s">
        <v>758</v>
      </c>
      <c r="F56" s="30" t="s">
        <v>711</v>
      </c>
      <c r="G56" s="31"/>
      <c r="H56" s="31"/>
      <c r="I56" s="31" t="e">
        <f t="shared" si="0"/>
        <v>#DIV/0!</v>
      </c>
    </row>
    <row r="57" spans="1:10" ht="56.25" customHeight="1">
      <c r="A57" s="32" t="s">
        <v>759</v>
      </c>
      <c r="B57" s="28"/>
      <c r="C57" s="29" t="s">
        <v>703</v>
      </c>
      <c r="D57" s="29" t="s">
        <v>737</v>
      </c>
      <c r="E57" s="29" t="s">
        <v>760</v>
      </c>
      <c r="F57" s="30" t="s">
        <v>711</v>
      </c>
      <c r="G57" s="31">
        <v>42</v>
      </c>
      <c r="H57" s="31">
        <v>41.9</v>
      </c>
      <c r="I57" s="31">
        <f t="shared" si="0"/>
        <v>99.76190476190476</v>
      </c>
      <c r="J57" s="228">
        <f>SUM('ведомствен.'!G53)</f>
        <v>42</v>
      </c>
    </row>
    <row r="58" spans="1:10" ht="44.25" customHeight="1">
      <c r="A58" s="32" t="s">
        <v>761</v>
      </c>
      <c r="B58" s="28"/>
      <c r="C58" s="29" t="s">
        <v>703</v>
      </c>
      <c r="D58" s="29" t="s">
        <v>737</v>
      </c>
      <c r="E58" s="29" t="s">
        <v>762</v>
      </c>
      <c r="F58" s="30" t="s">
        <v>711</v>
      </c>
      <c r="G58" s="31">
        <v>75.8</v>
      </c>
      <c r="H58" s="31"/>
      <c r="I58" s="31">
        <f t="shared" si="0"/>
        <v>0</v>
      </c>
      <c r="J58" s="228">
        <f>SUM('ведомствен.'!G55)</f>
        <v>75.8</v>
      </c>
    </row>
    <row r="59" spans="1:9" ht="28.5">
      <c r="A59" s="32" t="s">
        <v>763</v>
      </c>
      <c r="B59" s="28"/>
      <c r="C59" s="29" t="s">
        <v>715</v>
      </c>
      <c r="D59" s="29" t="s">
        <v>737</v>
      </c>
      <c r="E59" s="29" t="s">
        <v>764</v>
      </c>
      <c r="F59" s="33"/>
      <c r="G59" s="31">
        <f>SUM(G60)</f>
        <v>1066.8</v>
      </c>
      <c r="H59" s="31">
        <f>SUM(H60)</f>
        <v>737.4</v>
      </c>
      <c r="I59" s="31">
        <f t="shared" si="0"/>
        <v>69.12260967379078</v>
      </c>
    </row>
    <row r="60" spans="1:10" ht="16.5" customHeight="1">
      <c r="A60" s="32" t="s">
        <v>710</v>
      </c>
      <c r="B60" s="28"/>
      <c r="C60" s="29" t="s">
        <v>703</v>
      </c>
      <c r="D60" s="29" t="s">
        <v>737</v>
      </c>
      <c r="E60" s="29" t="s">
        <v>764</v>
      </c>
      <c r="F60" s="30" t="s">
        <v>711</v>
      </c>
      <c r="G60" s="31">
        <f>1066.8-224.1+224.1+220.8-220.8</f>
        <v>1066.8</v>
      </c>
      <c r="H60" s="31">
        <v>737.4</v>
      </c>
      <c r="I60" s="31">
        <f t="shared" si="0"/>
        <v>69.12260967379078</v>
      </c>
      <c r="J60" s="228">
        <f>SUM('ведомствен.'!G57)</f>
        <v>1066.8</v>
      </c>
    </row>
    <row r="61" spans="1:9" ht="16.5" customHeight="1">
      <c r="A61" s="32" t="s">
        <v>765</v>
      </c>
      <c r="B61" s="28"/>
      <c r="C61" s="29" t="s">
        <v>703</v>
      </c>
      <c r="D61" s="29" t="s">
        <v>737</v>
      </c>
      <c r="E61" s="29" t="s">
        <v>766</v>
      </c>
      <c r="F61" s="30"/>
      <c r="G61" s="31">
        <f>SUM(G62)</f>
        <v>264.8</v>
      </c>
      <c r="H61" s="31">
        <f>SUM(H62)</f>
        <v>264.8</v>
      </c>
      <c r="I61" s="31">
        <f t="shared" si="0"/>
        <v>100</v>
      </c>
    </row>
    <row r="62" spans="1:10" ht="16.5" customHeight="1">
      <c r="A62" s="32" t="s">
        <v>710</v>
      </c>
      <c r="B62" s="28"/>
      <c r="C62" s="29" t="s">
        <v>703</v>
      </c>
      <c r="D62" s="29" t="s">
        <v>737</v>
      </c>
      <c r="E62" s="29" t="s">
        <v>766</v>
      </c>
      <c r="F62" s="30" t="s">
        <v>711</v>
      </c>
      <c r="G62" s="31">
        <v>264.8</v>
      </c>
      <c r="H62" s="31">
        <v>264.8</v>
      </c>
      <c r="I62" s="31">
        <f t="shared" si="0"/>
        <v>100</v>
      </c>
      <c r="J62" s="228">
        <f>SUM('ведомствен.'!G59)</f>
        <v>264.8</v>
      </c>
    </row>
    <row r="63" spans="1:9" ht="20.25" customHeight="1">
      <c r="A63" s="42" t="s">
        <v>767</v>
      </c>
      <c r="B63" s="28"/>
      <c r="C63" s="29" t="s">
        <v>703</v>
      </c>
      <c r="D63" s="29" t="s">
        <v>737</v>
      </c>
      <c r="E63" s="29" t="s">
        <v>768</v>
      </c>
      <c r="F63" s="33"/>
      <c r="G63" s="31">
        <f>SUM(G64)</f>
        <v>266</v>
      </c>
      <c r="H63" s="31">
        <f>SUM(H64)</f>
        <v>155.9</v>
      </c>
      <c r="I63" s="31">
        <f t="shared" si="0"/>
        <v>58.609022556390975</v>
      </c>
    </row>
    <row r="64" spans="1:9" ht="20.25" customHeight="1">
      <c r="A64" s="32" t="s">
        <v>710</v>
      </c>
      <c r="B64" s="28"/>
      <c r="C64" s="29" t="s">
        <v>703</v>
      </c>
      <c r="D64" s="29" t="s">
        <v>737</v>
      </c>
      <c r="E64" s="29" t="s">
        <v>768</v>
      </c>
      <c r="F64" s="33" t="s">
        <v>711</v>
      </c>
      <c r="G64" s="31">
        <f>SUM(G65:G66)</f>
        <v>266</v>
      </c>
      <c r="H64" s="31">
        <f>SUM(H65:H66)</f>
        <v>155.9</v>
      </c>
      <c r="I64" s="31">
        <f t="shared" si="0"/>
        <v>58.609022556390975</v>
      </c>
    </row>
    <row r="65" spans="1:10" ht="20.25" customHeight="1">
      <c r="A65" s="27" t="s">
        <v>769</v>
      </c>
      <c r="B65" s="28"/>
      <c r="C65" s="29" t="s">
        <v>703</v>
      </c>
      <c r="D65" s="29" t="s">
        <v>737</v>
      </c>
      <c r="E65" s="29" t="s">
        <v>770</v>
      </c>
      <c r="F65" s="33" t="s">
        <v>711</v>
      </c>
      <c r="G65" s="31">
        <f>255.9+10.1</f>
        <v>266</v>
      </c>
      <c r="H65" s="31">
        <v>155.9</v>
      </c>
      <c r="I65" s="31">
        <f t="shared" si="0"/>
        <v>58.609022556390975</v>
      </c>
      <c r="J65" s="228">
        <f>SUM('ведомствен.'!G62)</f>
        <v>266</v>
      </c>
    </row>
    <row r="66" spans="1:9" ht="20.25" customHeight="1" hidden="1">
      <c r="A66" s="27"/>
      <c r="B66" s="28"/>
      <c r="C66" s="29"/>
      <c r="D66" s="29"/>
      <c r="E66" s="29"/>
      <c r="F66" s="30"/>
      <c r="G66" s="31"/>
      <c r="H66" s="31"/>
      <c r="I66" s="31" t="e">
        <f t="shared" si="0"/>
        <v>#DIV/0!</v>
      </c>
    </row>
    <row r="67" spans="1:9" ht="20.25" customHeight="1" hidden="1">
      <c r="A67" s="27"/>
      <c r="B67" s="28"/>
      <c r="C67" s="29"/>
      <c r="D67" s="29"/>
      <c r="E67" s="29"/>
      <c r="F67" s="30"/>
      <c r="G67" s="31"/>
      <c r="H67" s="31"/>
      <c r="I67" s="31" t="e">
        <f t="shared" si="0"/>
        <v>#DIV/0!</v>
      </c>
    </row>
    <row r="68" spans="1:9" ht="13.5" customHeight="1" hidden="1">
      <c r="A68" s="32" t="s">
        <v>771</v>
      </c>
      <c r="B68" s="28"/>
      <c r="C68" s="29" t="s">
        <v>703</v>
      </c>
      <c r="D68" s="29" t="s">
        <v>772</v>
      </c>
      <c r="E68" s="29"/>
      <c r="F68" s="33"/>
      <c r="G68" s="31">
        <f>SUM(G69)</f>
        <v>0</v>
      </c>
      <c r="H68" s="31">
        <f>SUM(H69)</f>
        <v>0</v>
      </c>
      <c r="I68" s="31" t="e">
        <f t="shared" si="0"/>
        <v>#DIV/0!</v>
      </c>
    </row>
    <row r="69" spans="1:9" ht="22.5" customHeight="1" hidden="1">
      <c r="A69" s="46" t="s">
        <v>773</v>
      </c>
      <c r="B69" s="28"/>
      <c r="C69" s="29" t="s">
        <v>703</v>
      </c>
      <c r="D69" s="29" t="s">
        <v>772</v>
      </c>
      <c r="E69" s="29" t="s">
        <v>774</v>
      </c>
      <c r="F69" s="33"/>
      <c r="G69" s="31">
        <f>SUM(G70)</f>
        <v>0</v>
      </c>
      <c r="H69" s="31">
        <f>SUM(H70)</f>
        <v>0</v>
      </c>
      <c r="I69" s="31" t="e">
        <f t="shared" si="0"/>
        <v>#DIV/0!</v>
      </c>
    </row>
    <row r="70" spans="1:9" ht="30.75" customHeight="1" hidden="1">
      <c r="A70" s="32" t="s">
        <v>710</v>
      </c>
      <c r="B70" s="28"/>
      <c r="C70" s="29" t="s">
        <v>703</v>
      </c>
      <c r="D70" s="29" t="s">
        <v>772</v>
      </c>
      <c r="E70" s="29" t="s">
        <v>774</v>
      </c>
      <c r="F70" s="30" t="s">
        <v>711</v>
      </c>
      <c r="G70" s="31">
        <f>SUM('[1]Ведомств.'!F83)</f>
        <v>0</v>
      </c>
      <c r="H70" s="31">
        <f>SUM('[1]Ведомств.'!G83)</f>
        <v>0</v>
      </c>
      <c r="I70" s="31" t="e">
        <f t="shared" si="0"/>
        <v>#DIV/0!</v>
      </c>
    </row>
    <row r="71" spans="1:10" s="37" customFormat="1" ht="42.75">
      <c r="A71" s="27" t="s">
        <v>775</v>
      </c>
      <c r="B71" s="28"/>
      <c r="C71" s="29" t="s">
        <v>703</v>
      </c>
      <c r="D71" s="29" t="s">
        <v>776</v>
      </c>
      <c r="E71" s="29"/>
      <c r="F71" s="30"/>
      <c r="G71" s="31">
        <f>SUM(G72)</f>
        <v>17754.9</v>
      </c>
      <c r="H71" s="31">
        <f>SUM(H72)</f>
        <v>12415.9</v>
      </c>
      <c r="I71" s="31">
        <f t="shared" si="0"/>
        <v>69.92942793257072</v>
      </c>
      <c r="J71" s="230"/>
    </row>
    <row r="72" spans="1:10" s="37" customFormat="1" ht="46.5" customHeight="1">
      <c r="A72" s="27" t="s">
        <v>706</v>
      </c>
      <c r="B72" s="28"/>
      <c r="C72" s="29" t="s">
        <v>703</v>
      </c>
      <c r="D72" s="29" t="s">
        <v>776</v>
      </c>
      <c r="E72" s="29" t="s">
        <v>707</v>
      </c>
      <c r="F72" s="30"/>
      <c r="G72" s="31">
        <f>SUM(G73+G77)</f>
        <v>17754.9</v>
      </c>
      <c r="H72" s="31">
        <f>SUM(H73+H77)</f>
        <v>12415.9</v>
      </c>
      <c r="I72" s="31">
        <f t="shared" si="0"/>
        <v>69.92942793257072</v>
      </c>
      <c r="J72" s="230"/>
    </row>
    <row r="73" spans="1:10" s="37" customFormat="1" ht="15" customHeight="1">
      <c r="A73" s="27" t="s">
        <v>714</v>
      </c>
      <c r="B73" s="28"/>
      <c r="C73" s="29" t="s">
        <v>703</v>
      </c>
      <c r="D73" s="29" t="s">
        <v>776</v>
      </c>
      <c r="E73" s="29" t="s">
        <v>716</v>
      </c>
      <c r="F73" s="30"/>
      <c r="G73" s="31">
        <f>SUM(G74+G75)</f>
        <v>17036.5</v>
      </c>
      <c r="H73" s="31">
        <f>SUM(H74+H75)</f>
        <v>11864.3</v>
      </c>
      <c r="I73" s="31">
        <f t="shared" si="0"/>
        <v>69.6404777976697</v>
      </c>
      <c r="J73" s="230"/>
    </row>
    <row r="74" spans="1:10" s="37" customFormat="1" ht="14.25" customHeight="1">
      <c r="A74" s="32" t="s">
        <v>710</v>
      </c>
      <c r="B74" s="28"/>
      <c r="C74" s="29" t="s">
        <v>715</v>
      </c>
      <c r="D74" s="29" t="s">
        <v>776</v>
      </c>
      <c r="E74" s="29" t="s">
        <v>716</v>
      </c>
      <c r="F74" s="34" t="s">
        <v>711</v>
      </c>
      <c r="G74" s="31">
        <v>3749.9</v>
      </c>
      <c r="H74" s="31">
        <v>2278</v>
      </c>
      <c r="I74" s="31">
        <f t="shared" si="0"/>
        <v>60.74828662097656</v>
      </c>
      <c r="J74" s="230">
        <f>SUM('ведомствен.'!G42+'ведомствен.'!G437)</f>
        <v>3749.8999999999996</v>
      </c>
    </row>
    <row r="75" spans="1:9" ht="28.5">
      <c r="A75" s="32" t="s">
        <v>777</v>
      </c>
      <c r="B75" s="28"/>
      <c r="C75" s="29" t="s">
        <v>715</v>
      </c>
      <c r="D75" s="29" t="s">
        <v>776</v>
      </c>
      <c r="E75" s="29" t="s">
        <v>778</v>
      </c>
      <c r="F75" s="30"/>
      <c r="G75" s="31">
        <f>SUM(G76)</f>
        <v>13286.6</v>
      </c>
      <c r="H75" s="31">
        <f>SUM(H76)</f>
        <v>9586.3</v>
      </c>
      <c r="I75" s="31">
        <f t="shared" si="0"/>
        <v>72.1501362274773</v>
      </c>
    </row>
    <row r="76" spans="1:10" s="47" customFormat="1" ht="15">
      <c r="A76" s="32" t="s">
        <v>710</v>
      </c>
      <c r="B76" s="28"/>
      <c r="C76" s="29" t="s">
        <v>715</v>
      </c>
      <c r="D76" s="29" t="s">
        <v>776</v>
      </c>
      <c r="E76" s="29" t="s">
        <v>778</v>
      </c>
      <c r="F76" s="34" t="s">
        <v>711</v>
      </c>
      <c r="G76" s="31">
        <f>12938.6+348</f>
        <v>13286.6</v>
      </c>
      <c r="H76" s="31">
        <v>9586.3</v>
      </c>
      <c r="I76" s="31">
        <f t="shared" si="0"/>
        <v>72.1501362274773</v>
      </c>
      <c r="J76" s="230">
        <f>SUM('ведомствен.'!G439)</f>
        <v>13286.6</v>
      </c>
    </row>
    <row r="77" spans="1:9" ht="28.5">
      <c r="A77" s="27" t="s">
        <v>779</v>
      </c>
      <c r="B77" s="28"/>
      <c r="C77" s="29" t="s">
        <v>715</v>
      </c>
      <c r="D77" s="29" t="s">
        <v>776</v>
      </c>
      <c r="E77" s="29" t="s">
        <v>780</v>
      </c>
      <c r="F77" s="34"/>
      <c r="G77" s="31">
        <f>SUM(G78)</f>
        <v>718.4</v>
      </c>
      <c r="H77" s="31">
        <f>SUM(H78)</f>
        <v>551.6</v>
      </c>
      <c r="I77" s="31">
        <f t="shared" si="0"/>
        <v>76.78173719376392</v>
      </c>
    </row>
    <row r="78" spans="1:10" ht="14.25" customHeight="1">
      <c r="A78" s="32" t="s">
        <v>710</v>
      </c>
      <c r="B78" s="28"/>
      <c r="C78" s="29" t="s">
        <v>715</v>
      </c>
      <c r="D78" s="29" t="s">
        <v>776</v>
      </c>
      <c r="E78" s="29" t="s">
        <v>780</v>
      </c>
      <c r="F78" s="30" t="s">
        <v>711</v>
      </c>
      <c r="G78" s="31">
        <v>718.4</v>
      </c>
      <c r="H78" s="31">
        <v>551.6</v>
      </c>
      <c r="I78" s="31">
        <f t="shared" si="0"/>
        <v>76.78173719376392</v>
      </c>
      <c r="J78" s="228">
        <f>SUM('ведомствен.'!G44)</f>
        <v>718.4</v>
      </c>
    </row>
    <row r="79" spans="1:9" ht="14.25" customHeight="1">
      <c r="A79" s="48" t="s">
        <v>781</v>
      </c>
      <c r="B79" s="44"/>
      <c r="C79" s="45" t="s">
        <v>703</v>
      </c>
      <c r="D79" s="45" t="s">
        <v>726</v>
      </c>
      <c r="E79" s="45"/>
      <c r="F79" s="33"/>
      <c r="G79" s="31">
        <f>SUM(G80)</f>
        <v>4219.8</v>
      </c>
      <c r="H79" s="31">
        <f>SUM(H80)</f>
        <v>4219.8</v>
      </c>
      <c r="I79" s="31">
        <f aca="true" t="shared" si="4" ref="I79:I142">SUM(H79/G79*100)</f>
        <v>100</v>
      </c>
    </row>
    <row r="80" spans="1:9" ht="14.25" customHeight="1">
      <c r="A80" s="48" t="s">
        <v>781</v>
      </c>
      <c r="B80" s="44"/>
      <c r="C80" s="45" t="s">
        <v>703</v>
      </c>
      <c r="D80" s="45" t="s">
        <v>726</v>
      </c>
      <c r="E80" s="45" t="s">
        <v>782</v>
      </c>
      <c r="F80" s="33"/>
      <c r="G80" s="31">
        <f>SUM(G81+G83)</f>
        <v>4219.8</v>
      </c>
      <c r="H80" s="31">
        <f>SUM(H81+H83)</f>
        <v>4219.8</v>
      </c>
      <c r="I80" s="31">
        <f t="shared" si="4"/>
        <v>100</v>
      </c>
    </row>
    <row r="81" spans="1:9" ht="28.5" customHeight="1">
      <c r="A81" s="27" t="s">
        <v>783</v>
      </c>
      <c r="B81" s="44"/>
      <c r="C81" s="45" t="s">
        <v>703</v>
      </c>
      <c r="D81" s="45" t="s">
        <v>726</v>
      </c>
      <c r="E81" s="45" t="s">
        <v>784</v>
      </c>
      <c r="F81" s="33"/>
      <c r="G81" s="31">
        <f>SUM(G82:G82)</f>
        <v>2142.4</v>
      </c>
      <c r="H81" s="31">
        <f>SUM(H82:H82)</f>
        <v>2142.4</v>
      </c>
      <c r="I81" s="31">
        <f t="shared" si="4"/>
        <v>100</v>
      </c>
    </row>
    <row r="82" spans="1:10" ht="14.25" customHeight="1">
      <c r="A82" s="32" t="s">
        <v>710</v>
      </c>
      <c r="B82" s="44"/>
      <c r="C82" s="45" t="s">
        <v>703</v>
      </c>
      <c r="D82" s="45" t="s">
        <v>726</v>
      </c>
      <c r="E82" s="45" t="s">
        <v>784</v>
      </c>
      <c r="F82" s="33" t="s">
        <v>711</v>
      </c>
      <c r="G82" s="31">
        <v>2142.4</v>
      </c>
      <c r="H82" s="31">
        <v>2142.4</v>
      </c>
      <c r="I82" s="31">
        <f t="shared" si="4"/>
        <v>100</v>
      </c>
      <c r="J82" s="228">
        <f>SUM('ведомствен.'!G73)</f>
        <v>2142.4</v>
      </c>
    </row>
    <row r="83" spans="1:9" ht="15">
      <c r="A83" s="32" t="s">
        <v>785</v>
      </c>
      <c r="B83" s="44"/>
      <c r="C83" s="45" t="s">
        <v>703</v>
      </c>
      <c r="D83" s="45" t="s">
        <v>726</v>
      </c>
      <c r="E83" s="45" t="s">
        <v>786</v>
      </c>
      <c r="F83" s="33"/>
      <c r="G83" s="31">
        <f>SUM(G84)</f>
        <v>2077.4</v>
      </c>
      <c r="H83" s="31">
        <f>SUM(H84)</f>
        <v>2077.4</v>
      </c>
      <c r="I83" s="31">
        <f t="shared" si="4"/>
        <v>100</v>
      </c>
    </row>
    <row r="84" spans="1:10" ht="15">
      <c r="A84" s="32" t="s">
        <v>710</v>
      </c>
      <c r="B84" s="44"/>
      <c r="C84" s="45" t="s">
        <v>703</v>
      </c>
      <c r="D84" s="45" t="s">
        <v>726</v>
      </c>
      <c r="E84" s="45" t="s">
        <v>786</v>
      </c>
      <c r="F84" s="33" t="s">
        <v>711</v>
      </c>
      <c r="G84" s="31">
        <v>2077.4</v>
      </c>
      <c r="H84" s="31">
        <v>2077.4</v>
      </c>
      <c r="I84" s="31">
        <f t="shared" si="4"/>
        <v>100</v>
      </c>
      <c r="J84" s="228">
        <f>SUM('ведомствен.'!G75)</f>
        <v>2077.4</v>
      </c>
    </row>
    <row r="85" spans="1:9" ht="15">
      <c r="A85" s="32" t="s">
        <v>787</v>
      </c>
      <c r="B85" s="28"/>
      <c r="C85" s="29" t="s">
        <v>703</v>
      </c>
      <c r="D85" s="29" t="s">
        <v>745</v>
      </c>
      <c r="E85" s="29"/>
      <c r="F85" s="34"/>
      <c r="G85" s="31">
        <f>SUM(G86)</f>
        <v>6635.5</v>
      </c>
      <c r="H85" s="31">
        <f>SUM(H86)</f>
        <v>5048</v>
      </c>
      <c r="I85" s="31">
        <f t="shared" si="4"/>
        <v>76.07565368095848</v>
      </c>
    </row>
    <row r="86" spans="1:9" ht="15">
      <c r="A86" s="32" t="s">
        <v>788</v>
      </c>
      <c r="B86" s="28"/>
      <c r="C86" s="29" t="s">
        <v>703</v>
      </c>
      <c r="D86" s="29" t="s">
        <v>745</v>
      </c>
      <c r="E86" s="29" t="s">
        <v>789</v>
      </c>
      <c r="F86" s="34"/>
      <c r="G86" s="31">
        <f>SUM(G88)</f>
        <v>6635.5</v>
      </c>
      <c r="H86" s="31">
        <f>SUM(H88)</f>
        <v>5048</v>
      </c>
      <c r="I86" s="31">
        <f t="shared" si="4"/>
        <v>76.07565368095848</v>
      </c>
    </row>
    <row r="87" spans="1:9" ht="15">
      <c r="A87" s="32" t="s">
        <v>790</v>
      </c>
      <c r="B87" s="28"/>
      <c r="C87" s="29" t="s">
        <v>703</v>
      </c>
      <c r="D87" s="29" t="s">
        <v>745</v>
      </c>
      <c r="E87" s="29" t="s">
        <v>791</v>
      </c>
      <c r="F87" s="34"/>
      <c r="G87" s="31">
        <f>SUM(G88)</f>
        <v>6635.5</v>
      </c>
      <c r="H87" s="31">
        <f>SUM(H88)</f>
        <v>5048</v>
      </c>
      <c r="I87" s="31">
        <f t="shared" si="4"/>
        <v>76.07565368095848</v>
      </c>
    </row>
    <row r="88" spans="1:10" ht="15">
      <c r="A88" s="32" t="s">
        <v>792</v>
      </c>
      <c r="B88" s="28"/>
      <c r="C88" s="29" t="s">
        <v>703</v>
      </c>
      <c r="D88" s="29" t="s">
        <v>745</v>
      </c>
      <c r="E88" s="29" t="s">
        <v>791</v>
      </c>
      <c r="F88" s="34" t="s">
        <v>793</v>
      </c>
      <c r="G88" s="31">
        <v>6635.5</v>
      </c>
      <c r="H88" s="31">
        <v>5048</v>
      </c>
      <c r="I88" s="31">
        <f t="shared" si="4"/>
        <v>76.07565368095848</v>
      </c>
      <c r="J88" s="228">
        <f>SUM('ведомствен.'!G443)</f>
        <v>6635.5</v>
      </c>
    </row>
    <row r="89" spans="1:10" s="37" customFormat="1" ht="15">
      <c r="A89" s="27" t="s">
        <v>794</v>
      </c>
      <c r="B89" s="28"/>
      <c r="C89" s="29" t="s">
        <v>703</v>
      </c>
      <c r="D89" s="29" t="s">
        <v>795</v>
      </c>
      <c r="E89" s="29"/>
      <c r="F89" s="30"/>
      <c r="G89" s="31">
        <f>SUM(G90)</f>
        <v>1075.8</v>
      </c>
      <c r="H89" s="31">
        <f>SUM(H90)</f>
        <v>0</v>
      </c>
      <c r="I89" s="31">
        <f t="shared" si="4"/>
        <v>0</v>
      </c>
      <c r="J89" s="230"/>
    </row>
    <row r="90" spans="1:10" s="37" customFormat="1" ht="15">
      <c r="A90" s="27" t="s">
        <v>794</v>
      </c>
      <c r="B90" s="28"/>
      <c r="C90" s="29" t="s">
        <v>703</v>
      </c>
      <c r="D90" s="29" t="s">
        <v>795</v>
      </c>
      <c r="E90" s="29" t="s">
        <v>796</v>
      </c>
      <c r="F90" s="30"/>
      <c r="G90" s="31">
        <f>SUM(G92)</f>
        <v>1075.8</v>
      </c>
      <c r="H90" s="31">
        <f>SUM(H92)</f>
        <v>0</v>
      </c>
      <c r="I90" s="31">
        <f t="shared" si="4"/>
        <v>0</v>
      </c>
      <c r="J90" s="230"/>
    </row>
    <row r="91" spans="1:10" s="37" customFormat="1" ht="15">
      <c r="A91" s="27" t="s">
        <v>765</v>
      </c>
      <c r="B91" s="28"/>
      <c r="C91" s="29" t="s">
        <v>703</v>
      </c>
      <c r="D91" s="29" t="s">
        <v>795</v>
      </c>
      <c r="E91" s="29" t="s">
        <v>766</v>
      </c>
      <c r="F91" s="30"/>
      <c r="G91" s="31">
        <f>SUM(G92)</f>
        <v>1075.8</v>
      </c>
      <c r="H91" s="31">
        <f>SUM(H92)</f>
        <v>0</v>
      </c>
      <c r="I91" s="31">
        <f t="shared" si="4"/>
        <v>0</v>
      </c>
      <c r="J91" s="230"/>
    </row>
    <row r="92" spans="1:10" s="37" customFormat="1" ht="15.75" customHeight="1">
      <c r="A92" s="43" t="s">
        <v>797</v>
      </c>
      <c r="B92" s="44"/>
      <c r="C92" s="29" t="s">
        <v>703</v>
      </c>
      <c r="D92" s="29" t="s">
        <v>795</v>
      </c>
      <c r="E92" s="29" t="s">
        <v>766</v>
      </c>
      <c r="F92" s="33" t="s">
        <v>793</v>
      </c>
      <c r="G92" s="31">
        <v>1075.8</v>
      </c>
      <c r="H92" s="31"/>
      <c r="I92" s="31">
        <f t="shared" si="4"/>
        <v>0</v>
      </c>
      <c r="J92" s="228">
        <f>SUM('ведомствен.'!G447)</f>
        <v>1075.8000000000006</v>
      </c>
    </row>
    <row r="93" spans="1:9" ht="14.25" customHeight="1">
      <c r="A93" s="32" t="s">
        <v>719</v>
      </c>
      <c r="B93" s="28"/>
      <c r="C93" s="29" t="s">
        <v>703</v>
      </c>
      <c r="D93" s="29" t="s">
        <v>798</v>
      </c>
      <c r="E93" s="29"/>
      <c r="F93" s="33"/>
      <c r="G93" s="31">
        <f>SUM(G94+G107+G110+G113+G116+G119+G99+G104)</f>
        <v>18341.500000000004</v>
      </c>
      <c r="H93" s="31">
        <f>SUM(H94+H107+H110+H113+H116+H119+H99+H104)</f>
        <v>7427.299999999999</v>
      </c>
      <c r="I93" s="31">
        <f t="shared" si="4"/>
        <v>40.494506992339765</v>
      </c>
    </row>
    <row r="94" spans="1:9" ht="21" customHeight="1">
      <c r="A94" s="27" t="s">
        <v>799</v>
      </c>
      <c r="B94" s="28"/>
      <c r="C94" s="29" t="s">
        <v>703</v>
      </c>
      <c r="D94" s="29" t="s">
        <v>798</v>
      </c>
      <c r="E94" s="29" t="s">
        <v>800</v>
      </c>
      <c r="F94" s="30"/>
      <c r="G94" s="31">
        <f>SUM(G95+G97)</f>
        <v>7535.7</v>
      </c>
      <c r="H94" s="31">
        <f>SUM(H95+H97)</f>
        <v>2749.5</v>
      </c>
      <c r="I94" s="31">
        <f t="shared" si="4"/>
        <v>36.48632509255942</v>
      </c>
    </row>
    <row r="95" spans="1:9" ht="27.75" customHeight="1">
      <c r="A95" s="27" t="s">
        <v>801</v>
      </c>
      <c r="B95" s="28"/>
      <c r="C95" s="29" t="s">
        <v>703</v>
      </c>
      <c r="D95" s="29" t="s">
        <v>798</v>
      </c>
      <c r="E95" s="29" t="s">
        <v>802</v>
      </c>
      <c r="F95" s="30"/>
      <c r="G95" s="31">
        <f>SUM(G96)</f>
        <v>6776.3</v>
      </c>
      <c r="H95" s="31">
        <f>SUM(H96)</f>
        <v>2749.5</v>
      </c>
      <c r="I95" s="31">
        <f t="shared" si="4"/>
        <v>40.575240175316914</v>
      </c>
    </row>
    <row r="96" spans="1:10" ht="18.75" customHeight="1">
      <c r="A96" s="32" t="s">
        <v>710</v>
      </c>
      <c r="B96" s="28"/>
      <c r="C96" s="29" t="s">
        <v>703</v>
      </c>
      <c r="D96" s="29" t="s">
        <v>798</v>
      </c>
      <c r="E96" s="29" t="s">
        <v>802</v>
      </c>
      <c r="F96" s="30" t="s">
        <v>711</v>
      </c>
      <c r="G96" s="31">
        <f>6752.8+23.5</f>
        <v>6776.3</v>
      </c>
      <c r="H96" s="31">
        <v>2749.5</v>
      </c>
      <c r="I96" s="31">
        <f t="shared" si="4"/>
        <v>40.575240175316914</v>
      </c>
      <c r="J96" s="228">
        <f>SUM('ведомствен.'!G79)</f>
        <v>6776.3</v>
      </c>
    </row>
    <row r="97" spans="1:9" ht="27" customHeight="1">
      <c r="A97" s="32" t="s">
        <v>803</v>
      </c>
      <c r="B97" s="28"/>
      <c r="C97" s="29" t="s">
        <v>703</v>
      </c>
      <c r="D97" s="29" t="s">
        <v>798</v>
      </c>
      <c r="E97" s="29" t="s">
        <v>804</v>
      </c>
      <c r="F97" s="30"/>
      <c r="G97" s="31">
        <f>SUM(G98)</f>
        <v>759.4</v>
      </c>
      <c r="H97" s="31">
        <f>SUM(H98)</f>
        <v>0</v>
      </c>
      <c r="I97" s="31">
        <f t="shared" si="4"/>
        <v>0</v>
      </c>
    </row>
    <row r="98" spans="1:10" ht="18.75" customHeight="1">
      <c r="A98" s="32" t="s">
        <v>710</v>
      </c>
      <c r="B98" s="28"/>
      <c r="C98" s="29" t="s">
        <v>703</v>
      </c>
      <c r="D98" s="29" t="s">
        <v>798</v>
      </c>
      <c r="E98" s="29" t="s">
        <v>804</v>
      </c>
      <c r="F98" s="30" t="s">
        <v>711</v>
      </c>
      <c r="G98" s="31">
        <v>759.4</v>
      </c>
      <c r="H98" s="31"/>
      <c r="I98" s="31">
        <f t="shared" si="4"/>
        <v>0</v>
      </c>
      <c r="J98" s="228">
        <f>SUM('ведомствен.'!G81)</f>
        <v>759.4</v>
      </c>
    </row>
    <row r="99" spans="1:9" ht="44.25" customHeight="1">
      <c r="A99" s="27" t="s">
        <v>706</v>
      </c>
      <c r="B99" s="28"/>
      <c r="C99" s="29" t="s">
        <v>703</v>
      </c>
      <c r="D99" s="29" t="s">
        <v>798</v>
      </c>
      <c r="E99" s="29" t="s">
        <v>707</v>
      </c>
      <c r="F99" s="30"/>
      <c r="G99" s="31">
        <f>SUM(G102+G101)</f>
        <v>1094.7</v>
      </c>
      <c r="H99" s="31">
        <f>SUM(H102+H101)</f>
        <v>836.4</v>
      </c>
      <c r="I99" s="31">
        <f t="shared" si="4"/>
        <v>76.40449438202246</v>
      </c>
    </row>
    <row r="100" spans="1:9" ht="18.75" customHeight="1" hidden="1">
      <c r="A100" s="27" t="s">
        <v>714</v>
      </c>
      <c r="B100" s="28"/>
      <c r="C100" s="29" t="s">
        <v>703</v>
      </c>
      <c r="D100" s="29" t="s">
        <v>798</v>
      </c>
      <c r="E100" s="29" t="s">
        <v>716</v>
      </c>
      <c r="F100" s="30"/>
      <c r="G100" s="31">
        <f>SUM(G101)</f>
        <v>0</v>
      </c>
      <c r="H100" s="31">
        <f>SUM(H101)</f>
        <v>0</v>
      </c>
      <c r="I100" s="31" t="e">
        <f t="shared" si="4"/>
        <v>#DIV/0!</v>
      </c>
    </row>
    <row r="101" spans="1:9" ht="22.5" customHeight="1" hidden="1">
      <c r="A101" s="32" t="s">
        <v>710</v>
      </c>
      <c r="B101" s="28"/>
      <c r="C101" s="29" t="s">
        <v>703</v>
      </c>
      <c r="D101" s="29" t="s">
        <v>798</v>
      </c>
      <c r="E101" s="29" t="s">
        <v>716</v>
      </c>
      <c r="F101" s="34" t="s">
        <v>711</v>
      </c>
      <c r="G101" s="31"/>
      <c r="H101" s="31"/>
      <c r="I101" s="31" t="e">
        <f t="shared" si="4"/>
        <v>#DIV/0!</v>
      </c>
    </row>
    <row r="102" spans="1:9" ht="18" customHeight="1">
      <c r="A102" s="32" t="s">
        <v>805</v>
      </c>
      <c r="B102" s="28"/>
      <c r="C102" s="29" t="s">
        <v>703</v>
      </c>
      <c r="D102" s="29" t="s">
        <v>798</v>
      </c>
      <c r="E102" s="29" t="s">
        <v>806</v>
      </c>
      <c r="F102" s="33"/>
      <c r="G102" s="31">
        <f>SUM(G103)</f>
        <v>1094.7</v>
      </c>
      <c r="H102" s="31">
        <f>SUM(H103)</f>
        <v>836.4</v>
      </c>
      <c r="I102" s="31">
        <f t="shared" si="4"/>
        <v>76.40449438202246</v>
      </c>
    </row>
    <row r="103" spans="1:10" ht="17.25" customHeight="1">
      <c r="A103" s="49" t="s">
        <v>807</v>
      </c>
      <c r="B103" s="28"/>
      <c r="C103" s="29" t="s">
        <v>703</v>
      </c>
      <c r="D103" s="29" t="s">
        <v>798</v>
      </c>
      <c r="E103" s="29" t="s">
        <v>806</v>
      </c>
      <c r="F103" s="33" t="s">
        <v>808</v>
      </c>
      <c r="G103" s="31">
        <f>1094.8-0.1</f>
        <v>1094.7</v>
      </c>
      <c r="H103" s="31">
        <v>836.4</v>
      </c>
      <c r="I103" s="31">
        <f t="shared" si="4"/>
        <v>76.40449438202246</v>
      </c>
      <c r="J103" s="228">
        <f>SUM('ведомствен.'!G84)</f>
        <v>1094.7000000000003</v>
      </c>
    </row>
    <row r="104" spans="1:9" ht="21.75" customHeight="1">
      <c r="A104" s="27" t="s">
        <v>794</v>
      </c>
      <c r="B104" s="28"/>
      <c r="C104" s="29" t="s">
        <v>703</v>
      </c>
      <c r="D104" s="29" t="s">
        <v>798</v>
      </c>
      <c r="E104" s="29" t="s">
        <v>796</v>
      </c>
      <c r="F104" s="30"/>
      <c r="G104" s="31">
        <f>SUM(G106)</f>
        <v>730.7</v>
      </c>
      <c r="H104" s="31">
        <f>SUM(H106)</f>
        <v>536.9</v>
      </c>
      <c r="I104" s="31">
        <f t="shared" si="4"/>
        <v>73.47748734090598</v>
      </c>
    </row>
    <row r="105" spans="1:9" ht="22.5" customHeight="1">
      <c r="A105" s="27" t="s">
        <v>765</v>
      </c>
      <c r="B105" s="28"/>
      <c r="C105" s="29" t="s">
        <v>703</v>
      </c>
      <c r="D105" s="29" t="s">
        <v>798</v>
      </c>
      <c r="E105" s="29" t="s">
        <v>766</v>
      </c>
      <c r="F105" s="30"/>
      <c r="G105" s="31">
        <f>SUM(G106)</f>
        <v>730.7</v>
      </c>
      <c r="H105" s="31">
        <f>SUM(H106)</f>
        <v>536.9</v>
      </c>
      <c r="I105" s="31">
        <f t="shared" si="4"/>
        <v>73.47748734090598</v>
      </c>
    </row>
    <row r="106" spans="1:10" ht="25.5" customHeight="1">
      <c r="A106" s="32" t="s">
        <v>710</v>
      </c>
      <c r="B106" s="28"/>
      <c r="C106" s="29" t="s">
        <v>703</v>
      </c>
      <c r="D106" s="29" t="s">
        <v>798</v>
      </c>
      <c r="E106" s="29" t="s">
        <v>766</v>
      </c>
      <c r="F106" s="30" t="s">
        <v>711</v>
      </c>
      <c r="G106" s="31">
        <v>730.7</v>
      </c>
      <c r="H106" s="31">
        <f>423.2+113.7</f>
        <v>536.9</v>
      </c>
      <c r="I106" s="31">
        <f t="shared" si="4"/>
        <v>73.47748734090598</v>
      </c>
      <c r="J106" s="228">
        <f>SUM('ведомствен.'!G87)</f>
        <v>730.7</v>
      </c>
    </row>
    <row r="107" spans="1:9" ht="42.75">
      <c r="A107" s="46" t="s">
        <v>809</v>
      </c>
      <c r="B107" s="28"/>
      <c r="C107" s="29" t="s">
        <v>703</v>
      </c>
      <c r="D107" s="29" t="s">
        <v>798</v>
      </c>
      <c r="E107" s="29" t="s">
        <v>733</v>
      </c>
      <c r="F107" s="30"/>
      <c r="G107" s="31">
        <f>SUM(G108)</f>
        <v>2159</v>
      </c>
      <c r="H107" s="31">
        <f>SUM(H108)</f>
        <v>917.7</v>
      </c>
      <c r="I107" s="31">
        <f t="shared" si="4"/>
        <v>42.50578971746179</v>
      </c>
    </row>
    <row r="108" spans="1:9" ht="42.75">
      <c r="A108" s="46" t="s">
        <v>734</v>
      </c>
      <c r="B108" s="28"/>
      <c r="C108" s="29" t="s">
        <v>703</v>
      </c>
      <c r="D108" s="29" t="s">
        <v>798</v>
      </c>
      <c r="E108" s="29" t="s">
        <v>810</v>
      </c>
      <c r="F108" s="30"/>
      <c r="G108" s="31">
        <f>SUM(G109)</f>
        <v>2159</v>
      </c>
      <c r="H108" s="31">
        <f>SUM(H109)</f>
        <v>917.7</v>
      </c>
      <c r="I108" s="31">
        <f t="shared" si="4"/>
        <v>42.50578971746179</v>
      </c>
    </row>
    <row r="109" spans="1:10" ht="15">
      <c r="A109" s="32" t="s">
        <v>710</v>
      </c>
      <c r="B109" s="28"/>
      <c r="C109" s="29" t="s">
        <v>703</v>
      </c>
      <c r="D109" s="29" t="s">
        <v>798</v>
      </c>
      <c r="E109" s="29" t="s">
        <v>810</v>
      </c>
      <c r="F109" s="30" t="s">
        <v>711</v>
      </c>
      <c r="G109" s="31">
        <v>2159</v>
      </c>
      <c r="H109" s="31">
        <v>917.7</v>
      </c>
      <c r="I109" s="31">
        <f t="shared" si="4"/>
        <v>42.50578971746179</v>
      </c>
      <c r="J109" s="228">
        <f>SUM('ведомствен.'!G90)+'ведомствен.'!G622</f>
        <v>2159</v>
      </c>
    </row>
    <row r="110" spans="1:9" ht="28.5">
      <c r="A110" s="32" t="s">
        <v>721</v>
      </c>
      <c r="B110" s="28"/>
      <c r="C110" s="29" t="s">
        <v>703</v>
      </c>
      <c r="D110" s="29" t="s">
        <v>798</v>
      </c>
      <c r="E110" s="29" t="s">
        <v>722</v>
      </c>
      <c r="F110" s="34"/>
      <c r="G110" s="31">
        <f>SUM(G111)</f>
        <v>2947.2</v>
      </c>
      <c r="H110" s="31">
        <f>SUM(H111)</f>
        <v>1069.4</v>
      </c>
      <c r="I110" s="31">
        <f t="shared" si="4"/>
        <v>36.285287730727475</v>
      </c>
    </row>
    <row r="111" spans="1:9" ht="15">
      <c r="A111" s="32" t="s">
        <v>723</v>
      </c>
      <c r="B111" s="28"/>
      <c r="C111" s="29" t="s">
        <v>703</v>
      </c>
      <c r="D111" s="29" t="s">
        <v>798</v>
      </c>
      <c r="E111" s="29" t="s">
        <v>811</v>
      </c>
      <c r="F111" s="34"/>
      <c r="G111" s="31">
        <f>SUM(G112)</f>
        <v>2947.2</v>
      </c>
      <c r="H111" s="31">
        <f>SUM(H112)</f>
        <v>1069.4</v>
      </c>
      <c r="I111" s="31">
        <f t="shared" si="4"/>
        <v>36.285287730727475</v>
      </c>
    </row>
    <row r="112" spans="1:10" ht="15.75" customHeight="1">
      <c r="A112" s="32" t="s">
        <v>710</v>
      </c>
      <c r="B112" s="28"/>
      <c r="C112" s="29" t="s">
        <v>703</v>
      </c>
      <c r="D112" s="29" t="s">
        <v>798</v>
      </c>
      <c r="E112" s="29" t="s">
        <v>811</v>
      </c>
      <c r="F112" s="34" t="s">
        <v>711</v>
      </c>
      <c r="G112" s="31">
        <f>1480.1+595.2+82.6+10+570+357.1+57.5-276.8+71.5</f>
        <v>2947.2</v>
      </c>
      <c r="H112" s="31">
        <v>1069.4</v>
      </c>
      <c r="I112" s="31">
        <f t="shared" si="4"/>
        <v>36.285287730727475</v>
      </c>
      <c r="J112" s="228">
        <f>SUM('ведомствен.'!G24+'ведомствен.'!G91+'ведомствен.'!G449+'ведомствен.'!G625+'ведомствен.'!G690)</f>
        <v>2947.2</v>
      </c>
    </row>
    <row r="113" spans="1:9" ht="31.5" customHeight="1" hidden="1">
      <c r="A113" s="43" t="s">
        <v>812</v>
      </c>
      <c r="B113" s="28"/>
      <c r="C113" s="29" t="s">
        <v>703</v>
      </c>
      <c r="D113" s="29" t="s">
        <v>798</v>
      </c>
      <c r="E113" s="29" t="s">
        <v>751</v>
      </c>
      <c r="F113" s="30"/>
      <c r="G113" s="31">
        <f>SUM(G115)</f>
        <v>0</v>
      </c>
      <c r="H113" s="31">
        <f>SUM(H115)</f>
        <v>0</v>
      </c>
      <c r="I113" s="31" t="e">
        <f t="shared" si="4"/>
        <v>#DIV/0!</v>
      </c>
    </row>
    <row r="114" spans="1:9" ht="31.5" customHeight="1" hidden="1">
      <c r="A114" s="43" t="s">
        <v>813</v>
      </c>
      <c r="B114" s="28"/>
      <c r="C114" s="29" t="s">
        <v>703</v>
      </c>
      <c r="D114" s="29" t="s">
        <v>798</v>
      </c>
      <c r="E114" s="29" t="s">
        <v>814</v>
      </c>
      <c r="F114" s="30"/>
      <c r="G114" s="31">
        <f>SUM(G115)</f>
        <v>0</v>
      </c>
      <c r="H114" s="31">
        <f>SUM(H115)</f>
        <v>0</v>
      </c>
      <c r="I114" s="31" t="e">
        <f t="shared" si="4"/>
        <v>#DIV/0!</v>
      </c>
    </row>
    <row r="115" spans="1:9" ht="18" customHeight="1" hidden="1">
      <c r="A115" s="43" t="s">
        <v>815</v>
      </c>
      <c r="B115" s="28"/>
      <c r="C115" s="29" t="s">
        <v>703</v>
      </c>
      <c r="D115" s="29" t="s">
        <v>798</v>
      </c>
      <c r="E115" s="29" t="s">
        <v>814</v>
      </c>
      <c r="F115" s="30" t="s">
        <v>816</v>
      </c>
      <c r="G115" s="31"/>
      <c r="H115" s="31"/>
      <c r="I115" s="31" t="e">
        <f t="shared" si="4"/>
        <v>#DIV/0!</v>
      </c>
    </row>
    <row r="116" spans="1:9" ht="31.5" customHeight="1">
      <c r="A116" s="27" t="s">
        <v>817</v>
      </c>
      <c r="B116" s="28"/>
      <c r="C116" s="29" t="s">
        <v>703</v>
      </c>
      <c r="D116" s="29" t="s">
        <v>798</v>
      </c>
      <c r="E116" s="45" t="s">
        <v>818</v>
      </c>
      <c r="F116" s="33"/>
      <c r="G116" s="31">
        <f>SUM(G117)</f>
        <v>1874.2</v>
      </c>
      <c r="H116" s="31">
        <f>SUM(H117)</f>
        <v>1317.4</v>
      </c>
      <c r="I116" s="31">
        <f t="shared" si="4"/>
        <v>70.29132429836731</v>
      </c>
    </row>
    <row r="117" spans="1:9" ht="18" customHeight="1">
      <c r="A117" s="32" t="s">
        <v>805</v>
      </c>
      <c r="B117" s="28"/>
      <c r="C117" s="29" t="s">
        <v>703</v>
      </c>
      <c r="D117" s="29" t="s">
        <v>798</v>
      </c>
      <c r="E117" s="45" t="s">
        <v>819</v>
      </c>
      <c r="F117" s="33"/>
      <c r="G117" s="31">
        <f>SUM(G118)</f>
        <v>1874.2</v>
      </c>
      <c r="H117" s="31">
        <f>SUM(H118)</f>
        <v>1317.4</v>
      </c>
      <c r="I117" s="31">
        <f t="shared" si="4"/>
        <v>70.29132429836731</v>
      </c>
    </row>
    <row r="118" spans="1:10" ht="17.25" customHeight="1">
      <c r="A118" s="49" t="s">
        <v>807</v>
      </c>
      <c r="B118" s="28"/>
      <c r="C118" s="29" t="s">
        <v>703</v>
      </c>
      <c r="D118" s="29" t="s">
        <v>798</v>
      </c>
      <c r="E118" s="45" t="s">
        <v>819</v>
      </c>
      <c r="F118" s="33" t="s">
        <v>808</v>
      </c>
      <c r="G118" s="31">
        <v>1874.2</v>
      </c>
      <c r="H118" s="31">
        <v>1317.4</v>
      </c>
      <c r="I118" s="31">
        <f t="shared" si="4"/>
        <v>70.29132429836731</v>
      </c>
      <c r="J118" s="228">
        <f>SUM('ведомствен.'!G97)</f>
        <v>1874.2</v>
      </c>
    </row>
    <row r="119" spans="1:9" ht="16.5" customHeight="1">
      <c r="A119" s="42" t="s">
        <v>767</v>
      </c>
      <c r="B119" s="28"/>
      <c r="C119" s="29" t="s">
        <v>703</v>
      </c>
      <c r="D119" s="29" t="s">
        <v>798</v>
      </c>
      <c r="E119" s="29" t="s">
        <v>768</v>
      </c>
      <c r="F119" s="34"/>
      <c r="G119" s="31">
        <f>SUM(G120)</f>
        <v>2000</v>
      </c>
      <c r="H119" s="31">
        <f>SUM(H120)</f>
        <v>0</v>
      </c>
      <c r="I119" s="31">
        <f t="shared" si="4"/>
        <v>0</v>
      </c>
    </row>
    <row r="120" spans="1:9" ht="16.5" customHeight="1">
      <c r="A120" s="32" t="s">
        <v>710</v>
      </c>
      <c r="B120" s="28"/>
      <c r="C120" s="29" t="s">
        <v>703</v>
      </c>
      <c r="D120" s="29" t="s">
        <v>798</v>
      </c>
      <c r="E120" s="29" t="s">
        <v>768</v>
      </c>
      <c r="F120" s="34" t="s">
        <v>711</v>
      </c>
      <c r="G120" s="31">
        <f>SUM(G121+G122)</f>
        <v>2000</v>
      </c>
      <c r="H120" s="31">
        <f>SUM(H121+H122)</f>
        <v>0</v>
      </c>
      <c r="I120" s="31">
        <f t="shared" si="4"/>
        <v>0</v>
      </c>
    </row>
    <row r="121" spans="1:10" ht="16.5" customHeight="1">
      <c r="A121" s="32" t="s">
        <v>820</v>
      </c>
      <c r="B121" s="28"/>
      <c r="C121" s="29" t="s">
        <v>703</v>
      </c>
      <c r="D121" s="29" t="s">
        <v>798</v>
      </c>
      <c r="E121" s="29" t="s">
        <v>821</v>
      </c>
      <c r="F121" s="34" t="s">
        <v>711</v>
      </c>
      <c r="G121" s="31">
        <v>2000</v>
      </c>
      <c r="H121" s="31"/>
      <c r="I121" s="31">
        <f t="shared" si="4"/>
        <v>0</v>
      </c>
      <c r="J121" s="228">
        <f>SUM('ведомствен.'!G100)</f>
        <v>2000</v>
      </c>
    </row>
    <row r="122" spans="1:9" ht="27.75" customHeight="1" hidden="1">
      <c r="A122" s="32" t="s">
        <v>822</v>
      </c>
      <c r="B122" s="28"/>
      <c r="C122" s="29" t="s">
        <v>703</v>
      </c>
      <c r="D122" s="29" t="s">
        <v>798</v>
      </c>
      <c r="E122" s="29" t="s">
        <v>823</v>
      </c>
      <c r="F122" s="34" t="s">
        <v>711</v>
      </c>
      <c r="G122" s="31"/>
      <c r="H122" s="31"/>
      <c r="I122" s="31" t="e">
        <f t="shared" si="4"/>
        <v>#DIV/0!</v>
      </c>
    </row>
    <row r="123" spans="1:10" s="26" customFormat="1" ht="30">
      <c r="A123" s="50" t="s">
        <v>824</v>
      </c>
      <c r="B123" s="51"/>
      <c r="C123" s="52" t="s">
        <v>713</v>
      </c>
      <c r="D123" s="52"/>
      <c r="E123" s="52"/>
      <c r="F123" s="53"/>
      <c r="G123" s="54">
        <f>SUM(G124+G147)+G165</f>
        <v>81430.5</v>
      </c>
      <c r="H123" s="54">
        <f>SUM(H124+H147)+H165</f>
        <v>52801.7</v>
      </c>
      <c r="I123" s="54">
        <f t="shared" si="4"/>
        <v>64.84265723531108</v>
      </c>
      <c r="J123" s="229"/>
    </row>
    <row r="124" spans="1:9" ht="15">
      <c r="A124" s="27" t="s">
        <v>825</v>
      </c>
      <c r="B124" s="28"/>
      <c r="C124" s="29" t="s">
        <v>713</v>
      </c>
      <c r="D124" s="29" t="s">
        <v>705</v>
      </c>
      <c r="E124" s="29"/>
      <c r="F124" s="33"/>
      <c r="G124" s="31">
        <f>SUM(G125)</f>
        <v>57979.799999999996</v>
      </c>
      <c r="H124" s="31">
        <f>SUM(H125)</f>
        <v>36922.5</v>
      </c>
      <c r="I124" s="31">
        <f t="shared" si="4"/>
        <v>63.68166154419298</v>
      </c>
    </row>
    <row r="125" spans="1:9" ht="15">
      <c r="A125" s="27" t="s">
        <v>825</v>
      </c>
      <c r="B125" s="28"/>
      <c r="C125" s="29" t="s">
        <v>713</v>
      </c>
      <c r="D125" s="29" t="s">
        <v>705</v>
      </c>
      <c r="E125" s="29"/>
      <c r="F125" s="30"/>
      <c r="G125" s="31">
        <f>SUM(G126+G143)</f>
        <v>57979.799999999996</v>
      </c>
      <c r="H125" s="31">
        <f>SUM(H126+H143)</f>
        <v>36922.5</v>
      </c>
      <c r="I125" s="31">
        <f t="shared" si="4"/>
        <v>63.68166154419298</v>
      </c>
    </row>
    <row r="126" spans="1:9" ht="26.25" customHeight="1">
      <c r="A126" s="46" t="s">
        <v>826</v>
      </c>
      <c r="B126" s="28"/>
      <c r="C126" s="29" t="s">
        <v>713</v>
      </c>
      <c r="D126" s="29" t="s">
        <v>705</v>
      </c>
      <c r="E126" s="55" t="s">
        <v>827</v>
      </c>
      <c r="F126" s="30"/>
      <c r="G126" s="31">
        <f>SUM(G127+G129+G131+G133+G136+G141)</f>
        <v>56579.799999999996</v>
      </c>
      <c r="H126" s="31">
        <f>SUM(H127+H129+H131+H133+H136+H141)</f>
        <v>36646.8</v>
      </c>
      <c r="I126" s="31">
        <f t="shared" si="4"/>
        <v>64.77011230156347</v>
      </c>
    </row>
    <row r="127" spans="1:9" ht="71.25">
      <c r="A127" s="46" t="s">
        <v>828</v>
      </c>
      <c r="B127" s="28"/>
      <c r="C127" s="29" t="s">
        <v>713</v>
      </c>
      <c r="D127" s="29" t="s">
        <v>705</v>
      </c>
      <c r="E127" s="55" t="s">
        <v>829</v>
      </c>
      <c r="F127" s="30"/>
      <c r="G127" s="31">
        <f>SUM(G128)</f>
        <v>5085</v>
      </c>
      <c r="H127" s="31">
        <f>SUM(H128)</f>
        <v>2461.2</v>
      </c>
      <c r="I127" s="31">
        <f t="shared" si="4"/>
        <v>48.40117994100295</v>
      </c>
    </row>
    <row r="128" spans="1:10" ht="42.75">
      <c r="A128" s="46" t="s">
        <v>830</v>
      </c>
      <c r="B128" s="28"/>
      <c r="C128" s="29" t="s">
        <v>713</v>
      </c>
      <c r="D128" s="29" t="s">
        <v>705</v>
      </c>
      <c r="E128" s="55" t="s">
        <v>829</v>
      </c>
      <c r="F128" s="30" t="s">
        <v>831</v>
      </c>
      <c r="G128" s="31">
        <v>5085</v>
      </c>
      <c r="H128" s="31">
        <v>2461.2</v>
      </c>
      <c r="I128" s="31">
        <f t="shared" si="4"/>
        <v>48.40117994100295</v>
      </c>
      <c r="J128" s="228">
        <f>SUM('ведомствен.'!G738)</f>
        <v>5085</v>
      </c>
    </row>
    <row r="129" spans="1:9" ht="15">
      <c r="A129" s="46" t="s">
        <v>832</v>
      </c>
      <c r="B129" s="28"/>
      <c r="C129" s="29" t="s">
        <v>713</v>
      </c>
      <c r="D129" s="29" t="s">
        <v>705</v>
      </c>
      <c r="E129" s="55" t="s">
        <v>833</v>
      </c>
      <c r="F129" s="30"/>
      <c r="G129" s="31">
        <f>SUM(G130)</f>
        <v>34465.7</v>
      </c>
      <c r="H129" s="31">
        <f>SUM(H130)</f>
        <v>25107.2</v>
      </c>
      <c r="I129" s="31">
        <f t="shared" si="4"/>
        <v>72.84691737002295</v>
      </c>
    </row>
    <row r="130" spans="1:10" ht="27.75" customHeight="1">
      <c r="A130" s="46" t="s">
        <v>830</v>
      </c>
      <c r="B130" s="28"/>
      <c r="C130" s="29" t="s">
        <v>713</v>
      </c>
      <c r="D130" s="29" t="s">
        <v>705</v>
      </c>
      <c r="E130" s="55" t="s">
        <v>833</v>
      </c>
      <c r="F130" s="30" t="s">
        <v>831</v>
      </c>
      <c r="G130" s="31">
        <v>34465.7</v>
      </c>
      <c r="H130" s="31">
        <v>25107.2</v>
      </c>
      <c r="I130" s="31">
        <f t="shared" si="4"/>
        <v>72.84691737002295</v>
      </c>
      <c r="J130" s="228">
        <f>SUM('ведомствен.'!G740)</f>
        <v>34465.7</v>
      </c>
    </row>
    <row r="131" spans="1:9" ht="28.5">
      <c r="A131" s="46" t="s">
        <v>834</v>
      </c>
      <c r="B131" s="28"/>
      <c r="C131" s="29" t="s">
        <v>713</v>
      </c>
      <c r="D131" s="29" t="s">
        <v>705</v>
      </c>
      <c r="E131" s="55" t="s">
        <v>835</v>
      </c>
      <c r="F131" s="30"/>
      <c r="G131" s="31">
        <f>SUM(G132)</f>
        <v>14141.6</v>
      </c>
      <c r="H131" s="31">
        <f>SUM(H132)</f>
        <v>7951.2</v>
      </c>
      <c r="I131" s="31">
        <f t="shared" si="4"/>
        <v>56.22560389206313</v>
      </c>
    </row>
    <row r="132" spans="1:10" ht="42.75">
      <c r="A132" s="46" t="s">
        <v>830</v>
      </c>
      <c r="B132" s="28"/>
      <c r="C132" s="29" t="s">
        <v>713</v>
      </c>
      <c r="D132" s="29" t="s">
        <v>705</v>
      </c>
      <c r="E132" s="55" t="s">
        <v>835</v>
      </c>
      <c r="F132" s="30" t="s">
        <v>831</v>
      </c>
      <c r="G132" s="31">
        <f>13541.6+600</f>
        <v>14141.6</v>
      </c>
      <c r="H132" s="31">
        <v>7951.2</v>
      </c>
      <c r="I132" s="31">
        <f t="shared" si="4"/>
        <v>56.22560389206313</v>
      </c>
      <c r="J132" s="228">
        <f>SUM('ведомствен.'!G742)</f>
        <v>14141.6</v>
      </c>
    </row>
    <row r="133" spans="1:9" ht="15">
      <c r="A133" s="46" t="s">
        <v>836</v>
      </c>
      <c r="B133" s="28"/>
      <c r="C133" s="29" t="s">
        <v>713</v>
      </c>
      <c r="D133" s="29" t="s">
        <v>705</v>
      </c>
      <c r="E133" s="55" t="s">
        <v>837</v>
      </c>
      <c r="F133" s="30"/>
      <c r="G133" s="31">
        <f>SUM(G134)</f>
        <v>97.5</v>
      </c>
      <c r="H133" s="31">
        <f>SUM(H134)</f>
        <v>73.1</v>
      </c>
      <c r="I133" s="31">
        <f t="shared" si="4"/>
        <v>74.97435897435896</v>
      </c>
    </row>
    <row r="134" spans="1:9" ht="28.5">
      <c r="A134" s="46" t="s">
        <v>838</v>
      </c>
      <c r="B134" s="28"/>
      <c r="C134" s="29" t="s">
        <v>713</v>
      </c>
      <c r="D134" s="29" t="s">
        <v>705</v>
      </c>
      <c r="E134" s="55" t="s">
        <v>839</v>
      </c>
      <c r="F134" s="30"/>
      <c r="G134" s="31">
        <f>SUM(G135)</f>
        <v>97.5</v>
      </c>
      <c r="H134" s="31">
        <f>SUM(H135)</f>
        <v>73.1</v>
      </c>
      <c r="I134" s="31">
        <f t="shared" si="4"/>
        <v>74.97435897435896</v>
      </c>
    </row>
    <row r="135" spans="1:10" ht="42.75">
      <c r="A135" s="46" t="s">
        <v>830</v>
      </c>
      <c r="B135" s="28"/>
      <c r="C135" s="29" t="s">
        <v>713</v>
      </c>
      <c r="D135" s="29" t="s">
        <v>705</v>
      </c>
      <c r="E135" s="55" t="s">
        <v>839</v>
      </c>
      <c r="F135" s="30" t="s">
        <v>831</v>
      </c>
      <c r="G135" s="31">
        <v>97.5</v>
      </c>
      <c r="H135" s="31">
        <v>73.1</v>
      </c>
      <c r="I135" s="31">
        <f t="shared" si="4"/>
        <v>74.97435897435896</v>
      </c>
      <c r="J135" s="228">
        <f>SUM('ведомствен.'!G745)</f>
        <v>97.5</v>
      </c>
    </row>
    <row r="136" spans="1:9" ht="15">
      <c r="A136" s="27" t="s">
        <v>840</v>
      </c>
      <c r="B136" s="28"/>
      <c r="C136" s="29" t="s">
        <v>841</v>
      </c>
      <c r="D136" s="29" t="s">
        <v>705</v>
      </c>
      <c r="E136" s="55" t="s">
        <v>842</v>
      </c>
      <c r="F136" s="30"/>
      <c r="G136" s="31">
        <f>SUM(G137+G139)</f>
        <v>1196.2</v>
      </c>
      <c r="H136" s="31">
        <f>SUM(H137+H139)</f>
        <v>66.8</v>
      </c>
      <c r="I136" s="31">
        <f t="shared" si="4"/>
        <v>5.58435044306972</v>
      </c>
    </row>
    <row r="137" spans="1:9" ht="28.5">
      <c r="A137" s="46" t="s">
        <v>843</v>
      </c>
      <c r="B137" s="28"/>
      <c r="C137" s="29" t="s">
        <v>841</v>
      </c>
      <c r="D137" s="29" t="s">
        <v>705</v>
      </c>
      <c r="E137" s="55" t="s">
        <v>844</v>
      </c>
      <c r="F137" s="30"/>
      <c r="G137" s="31">
        <f>SUM(G138)</f>
        <v>1060</v>
      </c>
      <c r="H137" s="31">
        <f>SUM(H138)</f>
        <v>0</v>
      </c>
      <c r="I137" s="31">
        <f t="shared" si="4"/>
        <v>0</v>
      </c>
    </row>
    <row r="138" spans="1:10" ht="42.75">
      <c r="A138" s="46" t="s">
        <v>830</v>
      </c>
      <c r="B138" s="28"/>
      <c r="C138" s="29" t="s">
        <v>841</v>
      </c>
      <c r="D138" s="29" t="s">
        <v>705</v>
      </c>
      <c r="E138" s="55" t="s">
        <v>844</v>
      </c>
      <c r="F138" s="30" t="s">
        <v>831</v>
      </c>
      <c r="G138" s="31">
        <v>1060</v>
      </c>
      <c r="H138" s="31"/>
      <c r="I138" s="31">
        <f t="shared" si="4"/>
        <v>0</v>
      </c>
      <c r="J138" s="228">
        <f>SUM('ведомствен.'!G748)</f>
        <v>1060</v>
      </c>
    </row>
    <row r="139" spans="1:9" ht="15">
      <c r="A139" s="46" t="s">
        <v>845</v>
      </c>
      <c r="B139" s="28"/>
      <c r="C139" s="29" t="s">
        <v>841</v>
      </c>
      <c r="D139" s="29" t="s">
        <v>705</v>
      </c>
      <c r="E139" s="55" t="s">
        <v>846</v>
      </c>
      <c r="F139" s="30"/>
      <c r="G139" s="31">
        <f>SUM(G140)</f>
        <v>136.2</v>
      </c>
      <c r="H139" s="31">
        <f>SUM(H140)</f>
        <v>66.8</v>
      </c>
      <c r="I139" s="31">
        <f t="shared" si="4"/>
        <v>49.04552129221733</v>
      </c>
    </row>
    <row r="140" spans="1:10" ht="42.75">
      <c r="A140" s="46" t="s">
        <v>830</v>
      </c>
      <c r="B140" s="28"/>
      <c r="C140" s="29" t="s">
        <v>841</v>
      </c>
      <c r="D140" s="29" t="s">
        <v>705</v>
      </c>
      <c r="E140" s="55" t="s">
        <v>846</v>
      </c>
      <c r="F140" s="30" t="s">
        <v>831</v>
      </c>
      <c r="G140" s="31">
        <v>136.2</v>
      </c>
      <c r="H140" s="31">
        <v>66.8</v>
      </c>
      <c r="I140" s="31">
        <f t="shared" si="4"/>
        <v>49.04552129221733</v>
      </c>
      <c r="J140" s="228">
        <f>SUM('ведомствен.'!G750)</f>
        <v>136.2</v>
      </c>
    </row>
    <row r="141" spans="1:9" ht="28.5">
      <c r="A141" s="27" t="s">
        <v>847</v>
      </c>
      <c r="B141" s="28"/>
      <c r="C141" s="29" t="s">
        <v>841</v>
      </c>
      <c r="D141" s="29" t="s">
        <v>705</v>
      </c>
      <c r="E141" s="55" t="s">
        <v>848</v>
      </c>
      <c r="F141" s="30"/>
      <c r="G141" s="31">
        <f>SUM(G142)</f>
        <v>1593.8</v>
      </c>
      <c r="H141" s="31">
        <f>SUM(H142)</f>
        <v>987.3</v>
      </c>
      <c r="I141" s="31">
        <f t="shared" si="4"/>
        <v>61.94629188103903</v>
      </c>
    </row>
    <row r="142" spans="1:10" ht="18.75" customHeight="1">
      <c r="A142" s="46" t="s">
        <v>849</v>
      </c>
      <c r="B142" s="28"/>
      <c r="C142" s="29" t="s">
        <v>841</v>
      </c>
      <c r="D142" s="29" t="s">
        <v>705</v>
      </c>
      <c r="E142" s="55" t="s">
        <v>848</v>
      </c>
      <c r="F142" s="30" t="s">
        <v>850</v>
      </c>
      <c r="G142" s="31">
        <v>1593.8</v>
      </c>
      <c r="H142" s="31">
        <v>987.3</v>
      </c>
      <c r="I142" s="31">
        <f t="shared" si="4"/>
        <v>61.94629188103903</v>
      </c>
      <c r="J142" s="228">
        <f>SUM('ведомствен.'!G752)</f>
        <v>1593.8</v>
      </c>
    </row>
    <row r="143" spans="1:9" ht="15">
      <c r="A143" s="56" t="s">
        <v>767</v>
      </c>
      <c r="B143" s="57"/>
      <c r="C143" s="57" t="s">
        <v>713</v>
      </c>
      <c r="D143" s="57" t="s">
        <v>705</v>
      </c>
      <c r="E143" s="58" t="s">
        <v>768</v>
      </c>
      <c r="F143" s="59"/>
      <c r="G143" s="31">
        <f>SUM(G144)</f>
        <v>1400</v>
      </c>
      <c r="H143" s="31">
        <f>SUM(H144)</f>
        <v>275.7</v>
      </c>
      <c r="I143" s="31">
        <f aca="true" t="shared" si="5" ref="I143:I210">SUM(H143/G143*100)</f>
        <v>19.692857142857143</v>
      </c>
    </row>
    <row r="144" spans="1:9" ht="42.75">
      <c r="A144" s="46" t="s">
        <v>830</v>
      </c>
      <c r="B144" s="60"/>
      <c r="C144" s="61" t="s">
        <v>713</v>
      </c>
      <c r="D144" s="61" t="s">
        <v>705</v>
      </c>
      <c r="E144" s="61" t="s">
        <v>851</v>
      </c>
      <c r="F144" s="62" t="s">
        <v>831</v>
      </c>
      <c r="G144" s="31">
        <f>SUM(G145)</f>
        <v>1400</v>
      </c>
      <c r="H144" s="31">
        <f>SUM(H145)</f>
        <v>275.7</v>
      </c>
      <c r="I144" s="31">
        <f t="shared" si="5"/>
        <v>19.692857142857143</v>
      </c>
    </row>
    <row r="145" spans="1:10" ht="42" customHeight="1">
      <c r="A145" s="38" t="s">
        <v>852</v>
      </c>
      <c r="B145" s="63"/>
      <c r="C145" s="61" t="s">
        <v>713</v>
      </c>
      <c r="D145" s="61" t="s">
        <v>705</v>
      </c>
      <c r="E145" s="61" t="s">
        <v>853</v>
      </c>
      <c r="F145" s="62" t="s">
        <v>831</v>
      </c>
      <c r="G145" s="64">
        <v>1400</v>
      </c>
      <c r="H145" s="64">
        <v>275.7</v>
      </c>
      <c r="I145" s="31">
        <f t="shared" si="5"/>
        <v>19.692857142857143</v>
      </c>
      <c r="J145" s="228">
        <f>SUM('ведомствен.'!G755)</f>
        <v>1400</v>
      </c>
    </row>
    <row r="146" spans="1:9" ht="42.75" customHeight="1" hidden="1">
      <c r="A146" s="38" t="s">
        <v>858</v>
      </c>
      <c r="B146" s="63"/>
      <c r="C146" s="61" t="s">
        <v>713</v>
      </c>
      <c r="D146" s="61" t="s">
        <v>705</v>
      </c>
      <c r="E146" s="61" t="s">
        <v>859</v>
      </c>
      <c r="F146" s="62" t="s">
        <v>831</v>
      </c>
      <c r="G146" s="64"/>
      <c r="H146" s="64"/>
      <c r="I146" s="31" t="e">
        <f t="shared" si="5"/>
        <v>#DIV/0!</v>
      </c>
    </row>
    <row r="147" spans="1:9" ht="45.75" customHeight="1">
      <c r="A147" s="46" t="s">
        <v>860</v>
      </c>
      <c r="B147" s="28"/>
      <c r="C147" s="45" t="s">
        <v>713</v>
      </c>
      <c r="D147" s="45" t="s">
        <v>861</v>
      </c>
      <c r="E147" s="45"/>
      <c r="F147" s="33"/>
      <c r="G147" s="31">
        <f>SUM(G151+G156+G159+G162)+G149</f>
        <v>23450.699999999997</v>
      </c>
      <c r="H147" s="31">
        <f>SUM(H151+H156+H159+H162)+H149</f>
        <v>15879.199999999997</v>
      </c>
      <c r="I147" s="31">
        <f t="shared" si="5"/>
        <v>67.71311730566678</v>
      </c>
    </row>
    <row r="148" spans="1:9" ht="18" customHeight="1" hidden="1">
      <c r="A148" s="27" t="s">
        <v>794</v>
      </c>
      <c r="B148" s="28"/>
      <c r="C148" s="45" t="s">
        <v>713</v>
      </c>
      <c r="D148" s="45" t="s">
        <v>861</v>
      </c>
      <c r="E148" s="45" t="s">
        <v>796</v>
      </c>
      <c r="F148" s="33"/>
      <c r="G148" s="31">
        <f>SUM(G149)</f>
        <v>0</v>
      </c>
      <c r="H148" s="31">
        <f>SUM(H149)</f>
        <v>0</v>
      </c>
      <c r="I148" s="31" t="e">
        <f t="shared" si="5"/>
        <v>#DIV/0!</v>
      </c>
    </row>
    <row r="149" spans="1:9" ht="18.75" customHeight="1" hidden="1">
      <c r="A149" s="27" t="s">
        <v>765</v>
      </c>
      <c r="B149" s="28"/>
      <c r="C149" s="45" t="s">
        <v>713</v>
      </c>
      <c r="D149" s="45" t="s">
        <v>861</v>
      </c>
      <c r="E149" s="45" t="s">
        <v>766</v>
      </c>
      <c r="F149" s="33"/>
      <c r="G149" s="31">
        <f>SUM(G150)</f>
        <v>0</v>
      </c>
      <c r="H149" s="31">
        <f>SUM(H150)</f>
        <v>0</v>
      </c>
      <c r="I149" s="31" t="e">
        <f t="shared" si="5"/>
        <v>#DIV/0!</v>
      </c>
    </row>
    <row r="150" spans="1:9" ht="18" customHeight="1" hidden="1">
      <c r="A150" s="32" t="s">
        <v>710</v>
      </c>
      <c r="B150" s="28"/>
      <c r="C150" s="45" t="s">
        <v>713</v>
      </c>
      <c r="D150" s="45" t="s">
        <v>861</v>
      </c>
      <c r="E150" s="45" t="s">
        <v>766</v>
      </c>
      <c r="F150" s="33" t="s">
        <v>711</v>
      </c>
      <c r="G150" s="31"/>
      <c r="H150" s="31"/>
      <c r="I150" s="31" t="e">
        <f t="shared" si="5"/>
        <v>#DIV/0!</v>
      </c>
    </row>
    <row r="151" spans="1:9" ht="30" customHeight="1">
      <c r="A151" s="46" t="s">
        <v>862</v>
      </c>
      <c r="B151" s="28"/>
      <c r="C151" s="45" t="s">
        <v>713</v>
      </c>
      <c r="D151" s="45" t="s">
        <v>861</v>
      </c>
      <c r="E151" s="45" t="s">
        <v>863</v>
      </c>
      <c r="F151" s="33"/>
      <c r="G151" s="31">
        <f>SUM(G152)+G154</f>
        <v>14223.4</v>
      </c>
      <c r="H151" s="31">
        <f>SUM(H152)+H154</f>
        <v>10264.099999999999</v>
      </c>
      <c r="I151" s="31">
        <f t="shared" si="5"/>
        <v>72.16347708705372</v>
      </c>
    </row>
    <row r="152" spans="1:9" ht="27" customHeight="1">
      <c r="A152" s="46" t="s">
        <v>864</v>
      </c>
      <c r="B152" s="28"/>
      <c r="C152" s="45" t="s">
        <v>713</v>
      </c>
      <c r="D152" s="45" t="s">
        <v>861</v>
      </c>
      <c r="E152" s="45" t="s">
        <v>865</v>
      </c>
      <c r="F152" s="33"/>
      <c r="G152" s="31">
        <f>SUM(G153)</f>
        <v>687</v>
      </c>
      <c r="H152" s="31">
        <f>SUM(H153)</f>
        <v>438.8</v>
      </c>
      <c r="I152" s="31">
        <f t="shared" si="5"/>
        <v>63.871906841339154</v>
      </c>
    </row>
    <row r="153" spans="1:10" ht="15">
      <c r="A153" s="32" t="s">
        <v>710</v>
      </c>
      <c r="B153" s="28"/>
      <c r="C153" s="45" t="s">
        <v>713</v>
      </c>
      <c r="D153" s="45" t="s">
        <v>861</v>
      </c>
      <c r="E153" s="45" t="s">
        <v>865</v>
      </c>
      <c r="F153" s="33" t="s">
        <v>711</v>
      </c>
      <c r="G153" s="31">
        <v>687</v>
      </c>
      <c r="H153" s="31">
        <v>438.8</v>
      </c>
      <c r="I153" s="31">
        <f t="shared" si="5"/>
        <v>63.871906841339154</v>
      </c>
      <c r="J153" s="228">
        <f>SUM('ведомствен.'!G114)</f>
        <v>687</v>
      </c>
    </row>
    <row r="154" spans="1:9" ht="28.5">
      <c r="A154" s="32" t="s">
        <v>872</v>
      </c>
      <c r="B154" s="28"/>
      <c r="C154" s="45" t="s">
        <v>713</v>
      </c>
      <c r="D154" s="45" t="s">
        <v>861</v>
      </c>
      <c r="E154" s="45" t="s">
        <v>873</v>
      </c>
      <c r="F154" s="33"/>
      <c r="G154" s="31">
        <f>SUM(G155)</f>
        <v>13536.4</v>
      </c>
      <c r="H154" s="31">
        <f>SUM(H155)</f>
        <v>9825.3</v>
      </c>
      <c r="I154" s="31">
        <f t="shared" si="5"/>
        <v>72.58429124434856</v>
      </c>
    </row>
    <row r="155" spans="1:10" ht="15">
      <c r="A155" s="32" t="s">
        <v>792</v>
      </c>
      <c r="B155" s="28"/>
      <c r="C155" s="45" t="s">
        <v>713</v>
      </c>
      <c r="D155" s="45" t="s">
        <v>861</v>
      </c>
      <c r="E155" s="45" t="s">
        <v>873</v>
      </c>
      <c r="F155" s="33" t="s">
        <v>793</v>
      </c>
      <c r="G155" s="31">
        <f>8000+2000+3536.4</f>
        <v>13536.4</v>
      </c>
      <c r="H155" s="31">
        <v>9825.3</v>
      </c>
      <c r="I155" s="31">
        <f t="shared" si="5"/>
        <v>72.58429124434856</v>
      </c>
      <c r="J155" s="228">
        <f>SUM('ведомствен.'!G116)</f>
        <v>13536.4</v>
      </c>
    </row>
    <row r="156" spans="1:9" ht="15">
      <c r="A156" s="46" t="s">
        <v>874</v>
      </c>
      <c r="B156" s="60"/>
      <c r="C156" s="60" t="s">
        <v>713</v>
      </c>
      <c r="D156" s="60" t="s">
        <v>861</v>
      </c>
      <c r="E156" s="60" t="s">
        <v>875</v>
      </c>
      <c r="F156" s="65"/>
      <c r="G156" s="31">
        <f>SUM(G157)</f>
        <v>300.5</v>
      </c>
      <c r="H156" s="31">
        <f>SUM(H157)</f>
        <v>227.3</v>
      </c>
      <c r="I156" s="31">
        <f t="shared" si="5"/>
        <v>75.6405990016639</v>
      </c>
    </row>
    <row r="157" spans="1:9" ht="28.5">
      <c r="A157" s="46" t="s">
        <v>876</v>
      </c>
      <c r="B157" s="60"/>
      <c r="C157" s="61" t="s">
        <v>713</v>
      </c>
      <c r="D157" s="61" t="s">
        <v>861</v>
      </c>
      <c r="E157" s="61" t="s">
        <v>877</v>
      </c>
      <c r="F157" s="62"/>
      <c r="G157" s="31">
        <f>SUM(G158)</f>
        <v>300.5</v>
      </c>
      <c r="H157" s="31">
        <f>SUM(H158)</f>
        <v>227.3</v>
      </c>
      <c r="I157" s="31">
        <f t="shared" si="5"/>
        <v>75.6405990016639</v>
      </c>
    </row>
    <row r="158" spans="1:10" ht="19.5" customHeight="1">
      <c r="A158" s="32" t="s">
        <v>710</v>
      </c>
      <c r="B158" s="60"/>
      <c r="C158" s="61" t="s">
        <v>713</v>
      </c>
      <c r="D158" s="61" t="s">
        <v>861</v>
      </c>
      <c r="E158" s="61" t="s">
        <v>877</v>
      </c>
      <c r="F158" s="62" t="s">
        <v>711</v>
      </c>
      <c r="G158" s="31">
        <f>320.5-20</f>
        <v>300.5</v>
      </c>
      <c r="H158" s="31">
        <v>227.3</v>
      </c>
      <c r="I158" s="31">
        <f t="shared" si="5"/>
        <v>75.6405990016639</v>
      </c>
      <c r="J158" s="228">
        <f>SUM('ведомствен.'!G119)</f>
        <v>300.5</v>
      </c>
    </row>
    <row r="159" spans="1:9" ht="51" customHeight="1">
      <c r="A159" s="27" t="s">
        <v>878</v>
      </c>
      <c r="B159" s="28"/>
      <c r="C159" s="45" t="s">
        <v>713</v>
      </c>
      <c r="D159" s="45" t="s">
        <v>861</v>
      </c>
      <c r="E159" s="45" t="s">
        <v>879</v>
      </c>
      <c r="F159" s="33"/>
      <c r="G159" s="31">
        <f>SUM(G160)</f>
        <v>8926.8</v>
      </c>
      <c r="H159" s="31">
        <f>SUM(H160)</f>
        <v>5387.8</v>
      </c>
      <c r="I159" s="31">
        <f t="shared" si="5"/>
        <v>60.355334498364485</v>
      </c>
    </row>
    <row r="160" spans="1:9" ht="21.75" customHeight="1">
      <c r="A160" s="27" t="s">
        <v>805</v>
      </c>
      <c r="B160" s="28"/>
      <c r="C160" s="45" t="s">
        <v>713</v>
      </c>
      <c r="D160" s="45" t="s">
        <v>861</v>
      </c>
      <c r="E160" s="45" t="s">
        <v>880</v>
      </c>
      <c r="F160" s="33"/>
      <c r="G160" s="31">
        <f>SUM(G161)</f>
        <v>8926.8</v>
      </c>
      <c r="H160" s="31">
        <f>SUM(H161)</f>
        <v>5387.8</v>
      </c>
      <c r="I160" s="31">
        <f t="shared" si="5"/>
        <v>60.355334498364485</v>
      </c>
    </row>
    <row r="161" spans="1:10" ht="15.75" customHeight="1">
      <c r="A161" s="49" t="s">
        <v>807</v>
      </c>
      <c r="B161" s="66"/>
      <c r="C161" s="67" t="s">
        <v>713</v>
      </c>
      <c r="D161" s="67" t="s">
        <v>861</v>
      </c>
      <c r="E161" s="67" t="s">
        <v>880</v>
      </c>
      <c r="F161" s="34" t="s">
        <v>808</v>
      </c>
      <c r="G161" s="31">
        <v>8926.8</v>
      </c>
      <c r="H161" s="31">
        <v>5387.8</v>
      </c>
      <c r="I161" s="31">
        <f t="shared" si="5"/>
        <v>60.355334498364485</v>
      </c>
      <c r="J161" s="228">
        <f>SUM('ведомствен.'!G122)</f>
        <v>8926.800000000001</v>
      </c>
    </row>
    <row r="162" spans="1:10" s="68" customFormat="1" ht="16.5" customHeight="1" hidden="1">
      <c r="A162" s="32" t="s">
        <v>881</v>
      </c>
      <c r="B162" s="66"/>
      <c r="C162" s="67" t="s">
        <v>713</v>
      </c>
      <c r="D162" s="67" t="s">
        <v>861</v>
      </c>
      <c r="E162" s="67" t="s">
        <v>882</v>
      </c>
      <c r="F162" s="34"/>
      <c r="G162" s="31">
        <f>SUM(G164)</f>
        <v>0</v>
      </c>
      <c r="H162" s="31">
        <f>SUM(H164)</f>
        <v>0</v>
      </c>
      <c r="I162" s="31" t="e">
        <f t="shared" si="5"/>
        <v>#DIV/0!</v>
      </c>
      <c r="J162" s="232"/>
    </row>
    <row r="163" spans="1:10" s="68" customFormat="1" ht="16.5" customHeight="1" hidden="1">
      <c r="A163" s="46" t="s">
        <v>883</v>
      </c>
      <c r="B163" s="28"/>
      <c r="C163" s="45" t="s">
        <v>713</v>
      </c>
      <c r="D163" s="45" t="s">
        <v>861</v>
      </c>
      <c r="E163" s="61" t="s">
        <v>884</v>
      </c>
      <c r="F163" s="33"/>
      <c r="G163" s="31">
        <f>SUM(G164)</f>
        <v>0</v>
      </c>
      <c r="H163" s="31">
        <f>SUM(H164)</f>
        <v>0</v>
      </c>
      <c r="I163" s="31" t="e">
        <f t="shared" si="5"/>
        <v>#DIV/0!</v>
      </c>
      <c r="J163" s="232"/>
    </row>
    <row r="164" spans="1:9" ht="58.5" customHeight="1" hidden="1">
      <c r="A164" s="46" t="s">
        <v>885</v>
      </c>
      <c r="B164" s="28"/>
      <c r="C164" s="45" t="s">
        <v>713</v>
      </c>
      <c r="D164" s="45" t="s">
        <v>861</v>
      </c>
      <c r="E164" s="61" t="s">
        <v>884</v>
      </c>
      <c r="F164" s="33" t="s">
        <v>886</v>
      </c>
      <c r="G164" s="31"/>
      <c r="H164" s="31"/>
      <c r="I164" s="31" t="e">
        <f t="shared" si="5"/>
        <v>#DIV/0!</v>
      </c>
    </row>
    <row r="165" spans="1:9" ht="28.5" customHeight="1" hidden="1">
      <c r="A165" s="46" t="s">
        <v>887</v>
      </c>
      <c r="B165" s="28"/>
      <c r="C165" s="45" t="s">
        <v>713</v>
      </c>
      <c r="D165" s="45" t="s">
        <v>798</v>
      </c>
      <c r="E165" s="61"/>
      <c r="F165" s="33"/>
      <c r="G165" s="31">
        <f>SUM(G166+G169)</f>
        <v>0</v>
      </c>
      <c r="H165" s="31">
        <f>SUM(H166+H169)</f>
        <v>0</v>
      </c>
      <c r="I165" s="31" t="e">
        <f t="shared" si="5"/>
        <v>#DIV/0!</v>
      </c>
    </row>
    <row r="166" spans="1:9" ht="15.75" customHeight="1" hidden="1">
      <c r="A166" s="46" t="s">
        <v>881</v>
      </c>
      <c r="B166" s="28"/>
      <c r="C166" s="45" t="s">
        <v>713</v>
      </c>
      <c r="D166" s="45" t="s">
        <v>798</v>
      </c>
      <c r="E166" s="61" t="s">
        <v>882</v>
      </c>
      <c r="F166" s="33"/>
      <c r="G166" s="31">
        <f>SUM(G167)</f>
        <v>0</v>
      </c>
      <c r="H166" s="31">
        <f>SUM(H167)</f>
        <v>0</v>
      </c>
      <c r="I166" s="31" t="e">
        <f t="shared" si="5"/>
        <v>#DIV/0!</v>
      </c>
    </row>
    <row r="167" spans="1:9" ht="16.5" customHeight="1" hidden="1">
      <c r="A167" s="46" t="s">
        <v>0</v>
      </c>
      <c r="B167" s="28"/>
      <c r="C167" s="45" t="s">
        <v>713</v>
      </c>
      <c r="D167" s="45" t="s">
        <v>798</v>
      </c>
      <c r="E167" s="61" t="s">
        <v>884</v>
      </c>
      <c r="F167" s="33"/>
      <c r="G167" s="31">
        <f>SUM(G168)</f>
        <v>0</v>
      </c>
      <c r="H167" s="31">
        <f>SUM(H168)</f>
        <v>0</v>
      </c>
      <c r="I167" s="31" t="e">
        <f t="shared" si="5"/>
        <v>#DIV/0!</v>
      </c>
    </row>
    <row r="168" spans="1:9" ht="13.5" customHeight="1" hidden="1">
      <c r="A168" s="43" t="s">
        <v>815</v>
      </c>
      <c r="B168" s="28"/>
      <c r="C168" s="45" t="s">
        <v>713</v>
      </c>
      <c r="D168" s="45" t="s">
        <v>798</v>
      </c>
      <c r="E168" s="61" t="s">
        <v>884</v>
      </c>
      <c r="F168" s="33" t="s">
        <v>816</v>
      </c>
      <c r="G168" s="31"/>
      <c r="H168" s="31"/>
      <c r="I168" s="31" t="e">
        <f t="shared" si="5"/>
        <v>#DIV/0!</v>
      </c>
    </row>
    <row r="169" spans="1:9" ht="15" customHeight="1" hidden="1">
      <c r="A169" s="46" t="s">
        <v>881</v>
      </c>
      <c r="B169" s="28"/>
      <c r="C169" s="45" t="s">
        <v>713</v>
      </c>
      <c r="D169" s="45" t="s">
        <v>1</v>
      </c>
      <c r="E169" s="61" t="s">
        <v>882</v>
      </c>
      <c r="F169" s="33"/>
      <c r="G169" s="31">
        <f>SUM(G170)</f>
        <v>0</v>
      </c>
      <c r="H169" s="31">
        <f>SUM(H170)</f>
        <v>0</v>
      </c>
      <c r="I169" s="31" t="e">
        <f t="shared" si="5"/>
        <v>#DIV/0!</v>
      </c>
    </row>
    <row r="170" spans="1:9" ht="42.75" customHeight="1" hidden="1">
      <c r="A170" s="46" t="s">
        <v>0</v>
      </c>
      <c r="B170" s="28"/>
      <c r="C170" s="45" t="s">
        <v>713</v>
      </c>
      <c r="D170" s="45" t="s">
        <v>1</v>
      </c>
      <c r="E170" s="61" t="s">
        <v>884</v>
      </c>
      <c r="F170" s="33"/>
      <c r="G170" s="31"/>
      <c r="H170" s="31"/>
      <c r="I170" s="31" t="e">
        <f t="shared" si="5"/>
        <v>#DIV/0!</v>
      </c>
    </row>
    <row r="171" spans="1:9" ht="14.25" customHeight="1" hidden="1">
      <c r="A171" s="43" t="s">
        <v>815</v>
      </c>
      <c r="B171" s="28"/>
      <c r="C171" s="45" t="s">
        <v>713</v>
      </c>
      <c r="D171" s="45" t="s">
        <v>1</v>
      </c>
      <c r="E171" s="61" t="s">
        <v>884</v>
      </c>
      <c r="F171" s="33" t="s">
        <v>816</v>
      </c>
      <c r="G171" s="31">
        <f>SUM('[1]Ведомств.'!F141)</f>
        <v>0</v>
      </c>
      <c r="H171" s="31">
        <f>SUM('[1]Ведомств.'!G141)</f>
        <v>0</v>
      </c>
      <c r="I171" s="31" t="e">
        <f t="shared" si="5"/>
        <v>#DIV/0!</v>
      </c>
    </row>
    <row r="172" spans="1:9" ht="15" customHeight="1" hidden="1">
      <c r="A172" s="46"/>
      <c r="B172" s="28"/>
      <c r="C172" s="45"/>
      <c r="D172" s="45"/>
      <c r="E172" s="61"/>
      <c r="F172" s="33"/>
      <c r="G172" s="31"/>
      <c r="H172" s="31"/>
      <c r="I172" s="31" t="e">
        <f t="shared" si="5"/>
        <v>#DIV/0!</v>
      </c>
    </row>
    <row r="173" spans="1:10" s="26" customFormat="1" ht="15.75">
      <c r="A173" s="50" t="s">
        <v>736</v>
      </c>
      <c r="B173" s="51"/>
      <c r="C173" s="69" t="s">
        <v>737</v>
      </c>
      <c r="D173" s="69"/>
      <c r="E173" s="69"/>
      <c r="F173" s="70"/>
      <c r="G173" s="54">
        <f>SUM(G174+G191)</f>
        <v>79275.50000000001</v>
      </c>
      <c r="H173" s="54">
        <f>SUM(H174+H191)</f>
        <v>56110.700000000004</v>
      </c>
      <c r="I173" s="54">
        <f t="shared" si="5"/>
        <v>70.77937067568163</v>
      </c>
      <c r="J173" s="229"/>
    </row>
    <row r="174" spans="1:9" ht="14.25" customHeight="1">
      <c r="A174" s="27" t="s">
        <v>738</v>
      </c>
      <c r="B174" s="28"/>
      <c r="C174" s="29" t="s">
        <v>737</v>
      </c>
      <c r="D174" s="29" t="s">
        <v>739</v>
      </c>
      <c r="E174" s="29"/>
      <c r="F174" s="30"/>
      <c r="G174" s="31">
        <f>SUM(G182)+G177+G175+G188</f>
        <v>76443.40000000001</v>
      </c>
      <c r="H174" s="31">
        <f>SUM(H182)+H177+H175</f>
        <v>55910.700000000004</v>
      </c>
      <c r="I174" s="31">
        <f t="shared" si="5"/>
        <v>73.13999638948555</v>
      </c>
    </row>
    <row r="175" spans="1:9" ht="14.25" customHeight="1">
      <c r="A175" s="27" t="s">
        <v>2</v>
      </c>
      <c r="B175" s="28"/>
      <c r="C175" s="29" t="s">
        <v>737</v>
      </c>
      <c r="D175" s="29" t="s">
        <v>739</v>
      </c>
      <c r="E175" s="45" t="s">
        <v>3</v>
      </c>
      <c r="F175" s="33"/>
      <c r="G175" s="31">
        <f>SUM(G176)+G179+G180</f>
        <v>31520.4</v>
      </c>
      <c r="H175" s="31">
        <f>SUM(H176)+H179+H180</f>
        <v>25204.300000000003</v>
      </c>
      <c r="I175" s="31">
        <f t="shared" si="5"/>
        <v>79.96186596616795</v>
      </c>
    </row>
    <row r="176" spans="1:10" ht="17.25" customHeight="1">
      <c r="A176" s="27" t="s">
        <v>4</v>
      </c>
      <c r="B176" s="28"/>
      <c r="C176" s="29" t="s">
        <v>737</v>
      </c>
      <c r="D176" s="29" t="s">
        <v>739</v>
      </c>
      <c r="E176" s="45" t="s">
        <v>3</v>
      </c>
      <c r="F176" s="30" t="s">
        <v>5</v>
      </c>
      <c r="G176" s="31">
        <f>23400+5000+2250</f>
        <v>30650</v>
      </c>
      <c r="H176" s="31">
        <v>24333.9</v>
      </c>
      <c r="I176" s="31">
        <f t="shared" si="5"/>
        <v>79.39282218597064</v>
      </c>
      <c r="J176" s="228">
        <f>SUM('ведомствен.'!G133+'ведомствен.'!G472)</f>
        <v>30650</v>
      </c>
    </row>
    <row r="177" spans="1:9" ht="17.25" customHeight="1" hidden="1">
      <c r="A177" s="27" t="s">
        <v>794</v>
      </c>
      <c r="B177" s="28"/>
      <c r="C177" s="29" t="s">
        <v>737</v>
      </c>
      <c r="D177" s="29" t="s">
        <v>739</v>
      </c>
      <c r="E177" s="45" t="s">
        <v>796</v>
      </c>
      <c r="F177" s="33"/>
      <c r="G177" s="31">
        <f>SUM(G178)</f>
        <v>0</v>
      </c>
      <c r="H177" s="31">
        <f>SUM(H178)</f>
        <v>0</v>
      </c>
      <c r="I177" s="31" t="e">
        <f t="shared" si="5"/>
        <v>#DIV/0!</v>
      </c>
    </row>
    <row r="178" spans="1:9" ht="18" customHeight="1" hidden="1">
      <c r="A178" s="27" t="s">
        <v>6</v>
      </c>
      <c r="B178" s="28"/>
      <c r="C178" s="29" t="s">
        <v>737</v>
      </c>
      <c r="D178" s="29" t="s">
        <v>739</v>
      </c>
      <c r="E178" s="45" t="s">
        <v>796</v>
      </c>
      <c r="F178" s="33" t="s">
        <v>7</v>
      </c>
      <c r="G178" s="31"/>
      <c r="H178" s="31"/>
      <c r="I178" s="31" t="e">
        <f t="shared" si="5"/>
        <v>#DIV/0!</v>
      </c>
    </row>
    <row r="179" spans="1:9" ht="18" customHeight="1" hidden="1">
      <c r="A179" s="27" t="s">
        <v>4</v>
      </c>
      <c r="B179" s="28"/>
      <c r="C179" s="29" t="s">
        <v>737</v>
      </c>
      <c r="D179" s="29" t="s">
        <v>739</v>
      </c>
      <c r="E179" s="45" t="s">
        <v>3</v>
      </c>
      <c r="F179" s="33" t="s">
        <v>711</v>
      </c>
      <c r="G179" s="31"/>
      <c r="H179" s="31"/>
      <c r="I179" s="31" t="e">
        <f t="shared" si="5"/>
        <v>#DIV/0!</v>
      </c>
    </row>
    <row r="180" spans="1:9" ht="72.75" customHeight="1">
      <c r="A180" s="71" t="s">
        <v>8</v>
      </c>
      <c r="B180" s="28"/>
      <c r="C180" s="29" t="s">
        <v>737</v>
      </c>
      <c r="D180" s="29" t="s">
        <v>739</v>
      </c>
      <c r="E180" s="45" t="s">
        <v>9</v>
      </c>
      <c r="F180" s="33"/>
      <c r="G180" s="31">
        <f>SUM(G181)</f>
        <v>870.4</v>
      </c>
      <c r="H180" s="31">
        <f>SUM(H181)</f>
        <v>870.4</v>
      </c>
      <c r="I180" s="31">
        <f t="shared" si="5"/>
        <v>100</v>
      </c>
    </row>
    <row r="181" spans="1:10" ht="18" customHeight="1">
      <c r="A181" s="27" t="s">
        <v>4</v>
      </c>
      <c r="B181" s="28"/>
      <c r="C181" s="29" t="s">
        <v>737</v>
      </c>
      <c r="D181" s="29" t="s">
        <v>739</v>
      </c>
      <c r="E181" s="45" t="s">
        <v>9</v>
      </c>
      <c r="F181" s="33" t="s">
        <v>5</v>
      </c>
      <c r="G181" s="31">
        <v>870.4</v>
      </c>
      <c r="H181" s="31">
        <v>870.4</v>
      </c>
      <c r="I181" s="31">
        <f t="shared" si="5"/>
        <v>100</v>
      </c>
      <c r="J181" s="228">
        <f>SUM('ведомствен.'!G474)</f>
        <v>870.4</v>
      </c>
    </row>
    <row r="182" spans="1:9" ht="16.5" customHeight="1">
      <c r="A182" s="27" t="s">
        <v>740</v>
      </c>
      <c r="B182" s="28"/>
      <c r="C182" s="29" t="s">
        <v>737</v>
      </c>
      <c r="D182" s="29" t="s">
        <v>739</v>
      </c>
      <c r="E182" s="29" t="s">
        <v>741</v>
      </c>
      <c r="F182" s="30"/>
      <c r="G182" s="31">
        <f>SUM(G183)</f>
        <v>39376.9</v>
      </c>
      <c r="H182" s="31">
        <f>SUM(H183)</f>
        <v>30706.4</v>
      </c>
      <c r="I182" s="31">
        <f t="shared" si="5"/>
        <v>77.98074505611157</v>
      </c>
    </row>
    <row r="183" spans="1:9" ht="15" customHeight="1">
      <c r="A183" s="27" t="s">
        <v>742</v>
      </c>
      <c r="B183" s="28"/>
      <c r="C183" s="29" t="s">
        <v>737</v>
      </c>
      <c r="D183" s="29" t="s">
        <v>739</v>
      </c>
      <c r="E183" s="29" t="s">
        <v>10</v>
      </c>
      <c r="F183" s="30"/>
      <c r="G183" s="31">
        <f>SUM(G184)+G185+G187</f>
        <v>39376.9</v>
      </c>
      <c r="H183" s="31">
        <f>SUM(H184)+H185</f>
        <v>30706.4</v>
      </c>
      <c r="I183" s="31">
        <f t="shared" si="5"/>
        <v>77.98074505611157</v>
      </c>
    </row>
    <row r="184" spans="1:10" ht="12.75" customHeight="1">
      <c r="A184" s="27" t="s">
        <v>4</v>
      </c>
      <c r="B184" s="28"/>
      <c r="C184" s="29" t="s">
        <v>737</v>
      </c>
      <c r="D184" s="29" t="s">
        <v>739</v>
      </c>
      <c r="E184" s="29" t="s">
        <v>10</v>
      </c>
      <c r="F184" s="30" t="s">
        <v>5</v>
      </c>
      <c r="G184" s="31">
        <v>37000</v>
      </c>
      <c r="H184" s="31">
        <v>30706.4</v>
      </c>
      <c r="I184" s="31">
        <f t="shared" si="5"/>
        <v>82.99027027027027</v>
      </c>
      <c r="J184" s="228">
        <f>SUM('ведомствен.'!G137)</f>
        <v>37000</v>
      </c>
    </row>
    <row r="185" spans="1:9" ht="15" customHeight="1" hidden="1">
      <c r="A185" s="27" t="s">
        <v>11</v>
      </c>
      <c r="B185" s="28"/>
      <c r="C185" s="29" t="s">
        <v>737</v>
      </c>
      <c r="D185" s="29" t="s">
        <v>739</v>
      </c>
      <c r="E185" s="29" t="s">
        <v>12</v>
      </c>
      <c r="F185" s="30"/>
      <c r="G185" s="31">
        <f>SUM(G186)</f>
        <v>0</v>
      </c>
      <c r="H185" s="31">
        <f>SUM(H186)</f>
        <v>0</v>
      </c>
      <c r="I185" s="31" t="e">
        <f t="shared" si="5"/>
        <v>#DIV/0!</v>
      </c>
    </row>
    <row r="186" spans="1:9" ht="15" hidden="1">
      <c r="A186" s="27" t="s">
        <v>4</v>
      </c>
      <c r="B186" s="28"/>
      <c r="C186" s="29" t="s">
        <v>737</v>
      </c>
      <c r="D186" s="29" t="s">
        <v>739</v>
      </c>
      <c r="E186" s="29" t="s">
        <v>12</v>
      </c>
      <c r="F186" s="30" t="s">
        <v>5</v>
      </c>
      <c r="G186" s="31"/>
      <c r="H186" s="31"/>
      <c r="I186" s="31" t="e">
        <f t="shared" si="5"/>
        <v>#DIV/0!</v>
      </c>
    </row>
    <row r="187" spans="1:10" ht="18.75" customHeight="1">
      <c r="A187" s="32" t="s">
        <v>710</v>
      </c>
      <c r="B187" s="28"/>
      <c r="C187" s="29" t="s">
        <v>737</v>
      </c>
      <c r="D187" s="29" t="s">
        <v>739</v>
      </c>
      <c r="E187" s="29" t="s">
        <v>10</v>
      </c>
      <c r="F187" s="30" t="s">
        <v>711</v>
      </c>
      <c r="G187" s="31">
        <v>2376.9</v>
      </c>
      <c r="H187" s="31"/>
      <c r="I187" s="31"/>
      <c r="J187" s="228">
        <f>SUM('ведомствен.'!G631)</f>
        <v>2376.9</v>
      </c>
    </row>
    <row r="188" spans="1:9" s="226" customFormat="1" ht="31.5" customHeight="1">
      <c r="A188" s="46" t="s">
        <v>870</v>
      </c>
      <c r="B188" s="39"/>
      <c r="C188" s="105" t="s">
        <v>737</v>
      </c>
      <c r="D188" s="105" t="s">
        <v>739</v>
      </c>
      <c r="E188" s="105" t="s">
        <v>82</v>
      </c>
      <c r="F188" s="59"/>
      <c r="G188" s="64">
        <f>SUM(G189)</f>
        <v>5546.1</v>
      </c>
      <c r="H188" s="64"/>
      <c r="I188" s="64"/>
    </row>
    <row r="189" spans="1:9" s="226" customFormat="1" ht="31.5" customHeight="1">
      <c r="A189" s="46" t="s">
        <v>871</v>
      </c>
      <c r="B189" s="39"/>
      <c r="C189" s="105" t="s">
        <v>519</v>
      </c>
      <c r="D189" s="105" t="s">
        <v>739</v>
      </c>
      <c r="E189" s="105" t="s">
        <v>84</v>
      </c>
      <c r="F189" s="59"/>
      <c r="G189" s="64">
        <f>SUM(G190)</f>
        <v>5546.1</v>
      </c>
      <c r="H189" s="64"/>
      <c r="I189" s="64"/>
    </row>
    <row r="190" spans="1:10" s="226" customFormat="1" ht="27" customHeight="1">
      <c r="A190" s="27" t="s">
        <v>4</v>
      </c>
      <c r="B190" s="39"/>
      <c r="C190" s="105" t="s">
        <v>737</v>
      </c>
      <c r="D190" s="105" t="s">
        <v>739</v>
      </c>
      <c r="E190" s="105" t="s">
        <v>84</v>
      </c>
      <c r="F190" s="59" t="s">
        <v>5</v>
      </c>
      <c r="G190" s="64">
        <v>5546.1</v>
      </c>
      <c r="H190" s="64"/>
      <c r="I190" s="64"/>
      <c r="J190" s="226">
        <f>SUM('ведомствен.'!G634)</f>
        <v>5546.1</v>
      </c>
    </row>
    <row r="191" spans="1:9" ht="16.5" customHeight="1">
      <c r="A191" s="43" t="s">
        <v>744</v>
      </c>
      <c r="B191" s="44"/>
      <c r="C191" s="45" t="s">
        <v>737</v>
      </c>
      <c r="D191" s="45" t="s">
        <v>795</v>
      </c>
      <c r="E191" s="45"/>
      <c r="F191" s="33"/>
      <c r="G191" s="31">
        <f>SUM(G195+G197+G202+G192)</f>
        <v>2832.1</v>
      </c>
      <c r="H191" s="31">
        <f>SUM(H195+H197+H202+H192)</f>
        <v>200</v>
      </c>
      <c r="I191" s="31">
        <f t="shared" si="5"/>
        <v>7.061897531866814</v>
      </c>
    </row>
    <row r="192" spans="1:9" ht="0.75" customHeight="1" hidden="1">
      <c r="A192" s="43" t="s">
        <v>812</v>
      </c>
      <c r="B192" s="45"/>
      <c r="C192" s="45" t="s">
        <v>737</v>
      </c>
      <c r="D192" s="45" t="s">
        <v>795</v>
      </c>
      <c r="E192" s="45" t="s">
        <v>751</v>
      </c>
      <c r="F192" s="33"/>
      <c r="G192" s="31">
        <f>SUM(G194)</f>
        <v>0</v>
      </c>
      <c r="H192" s="31">
        <f>SUM(H194)</f>
        <v>0</v>
      </c>
      <c r="I192" s="31" t="e">
        <f t="shared" si="5"/>
        <v>#DIV/0!</v>
      </c>
    </row>
    <row r="193" spans="1:9" ht="27" customHeight="1" hidden="1">
      <c r="A193" s="43" t="s">
        <v>813</v>
      </c>
      <c r="B193" s="45"/>
      <c r="C193" s="45" t="s">
        <v>737</v>
      </c>
      <c r="D193" s="45" t="s">
        <v>795</v>
      </c>
      <c r="E193" s="61" t="s">
        <v>814</v>
      </c>
      <c r="F193" s="33"/>
      <c r="G193" s="31">
        <f>SUM(G194)</f>
        <v>0</v>
      </c>
      <c r="H193" s="31">
        <f>SUM(H194)</f>
        <v>0</v>
      </c>
      <c r="I193" s="31" t="e">
        <f t="shared" si="5"/>
        <v>#DIV/0!</v>
      </c>
    </row>
    <row r="194" spans="1:9" ht="18" customHeight="1" hidden="1">
      <c r="A194" s="43" t="s">
        <v>815</v>
      </c>
      <c r="B194" s="45"/>
      <c r="C194" s="45" t="s">
        <v>737</v>
      </c>
      <c r="D194" s="45" t="s">
        <v>795</v>
      </c>
      <c r="E194" s="61" t="s">
        <v>814</v>
      </c>
      <c r="F194" s="33" t="s">
        <v>816</v>
      </c>
      <c r="G194" s="31"/>
      <c r="H194" s="31"/>
      <c r="I194" s="31" t="e">
        <f t="shared" si="5"/>
        <v>#DIV/0!</v>
      </c>
    </row>
    <row r="195" spans="1:9" ht="28.5" customHeight="1" hidden="1">
      <c r="A195" s="72" t="s">
        <v>13</v>
      </c>
      <c r="B195" s="45"/>
      <c r="C195" s="45" t="s">
        <v>737</v>
      </c>
      <c r="D195" s="45" t="s">
        <v>795</v>
      </c>
      <c r="E195" s="45" t="s">
        <v>14</v>
      </c>
      <c r="F195" s="33"/>
      <c r="G195" s="31">
        <f>SUM(G196)</f>
        <v>0</v>
      </c>
      <c r="H195" s="31">
        <f>SUM(H196)</f>
        <v>0</v>
      </c>
      <c r="I195" s="31" t="e">
        <f t="shared" si="5"/>
        <v>#DIV/0!</v>
      </c>
    </row>
    <row r="196" spans="1:9" ht="15" customHeight="1" hidden="1">
      <c r="A196" s="32" t="s">
        <v>710</v>
      </c>
      <c r="B196" s="45"/>
      <c r="C196" s="45" t="s">
        <v>737</v>
      </c>
      <c r="D196" s="45" t="s">
        <v>795</v>
      </c>
      <c r="E196" s="45" t="s">
        <v>14</v>
      </c>
      <c r="F196" s="33" t="s">
        <v>711</v>
      </c>
      <c r="G196" s="31"/>
      <c r="H196" s="31"/>
      <c r="I196" s="31" t="e">
        <f t="shared" si="5"/>
        <v>#DIV/0!</v>
      </c>
    </row>
    <row r="197" spans="1:9" ht="28.5">
      <c r="A197" s="42" t="s">
        <v>746</v>
      </c>
      <c r="B197" s="28"/>
      <c r="C197" s="45" t="s">
        <v>737</v>
      </c>
      <c r="D197" s="45" t="s">
        <v>795</v>
      </c>
      <c r="E197" s="29" t="s">
        <v>747</v>
      </c>
      <c r="F197" s="33"/>
      <c r="G197" s="31">
        <f>SUM(G198)</f>
        <v>2427.1</v>
      </c>
      <c r="H197" s="31">
        <f>SUM(H198)</f>
        <v>200</v>
      </c>
      <c r="I197" s="31">
        <f t="shared" si="5"/>
        <v>8.240286761979316</v>
      </c>
    </row>
    <row r="198" spans="1:9" ht="15">
      <c r="A198" s="42" t="s">
        <v>15</v>
      </c>
      <c r="B198" s="28"/>
      <c r="C198" s="45" t="s">
        <v>737</v>
      </c>
      <c r="D198" s="45" t="s">
        <v>795</v>
      </c>
      <c r="E198" s="29" t="s">
        <v>16</v>
      </c>
      <c r="F198" s="33"/>
      <c r="G198" s="31">
        <f>SUM(G199)</f>
        <v>2427.1</v>
      </c>
      <c r="H198" s="31">
        <f>SUM(H199)</f>
        <v>200</v>
      </c>
      <c r="I198" s="31">
        <f t="shared" si="5"/>
        <v>8.240286761979316</v>
      </c>
    </row>
    <row r="199" spans="1:10" ht="15.75" customHeight="1">
      <c r="A199" s="32" t="s">
        <v>710</v>
      </c>
      <c r="B199" s="28"/>
      <c r="C199" s="45" t="s">
        <v>737</v>
      </c>
      <c r="D199" s="45" t="s">
        <v>795</v>
      </c>
      <c r="E199" s="29" t="s">
        <v>16</v>
      </c>
      <c r="F199" s="33" t="s">
        <v>711</v>
      </c>
      <c r="G199" s="31">
        <v>2427.1</v>
      </c>
      <c r="H199" s="31">
        <v>200</v>
      </c>
      <c r="I199" s="31">
        <f t="shared" si="5"/>
        <v>8.240286761979316</v>
      </c>
      <c r="J199" s="228">
        <f>SUM('ведомствен.'!G148+'ведомствен.'!G643)</f>
        <v>2427.0999999999995</v>
      </c>
    </row>
    <row r="200" spans="1:9" ht="28.5" customHeight="1" hidden="1">
      <c r="A200" s="42" t="s">
        <v>746</v>
      </c>
      <c r="B200" s="28"/>
      <c r="C200" s="45" t="s">
        <v>737</v>
      </c>
      <c r="D200" s="45" t="s">
        <v>795</v>
      </c>
      <c r="E200" s="29" t="s">
        <v>747</v>
      </c>
      <c r="F200" s="33"/>
      <c r="G200" s="31">
        <f>SUM(G201)</f>
        <v>0</v>
      </c>
      <c r="H200" s="31">
        <f>SUM(H201)</f>
        <v>0</v>
      </c>
      <c r="I200" s="31" t="e">
        <f t="shared" si="5"/>
        <v>#DIV/0!</v>
      </c>
    </row>
    <row r="201" spans="1:9" ht="15" customHeight="1" hidden="1">
      <c r="A201" s="42" t="s">
        <v>748</v>
      </c>
      <c r="B201" s="28"/>
      <c r="C201" s="45" t="s">
        <v>737</v>
      </c>
      <c r="D201" s="45" t="s">
        <v>795</v>
      </c>
      <c r="E201" s="29" t="s">
        <v>747</v>
      </c>
      <c r="F201" s="33" t="s">
        <v>749</v>
      </c>
      <c r="G201" s="31"/>
      <c r="H201" s="31"/>
      <c r="I201" s="31" t="e">
        <f t="shared" si="5"/>
        <v>#DIV/0!</v>
      </c>
    </row>
    <row r="202" spans="1:9" ht="18" customHeight="1">
      <c r="A202" s="42" t="s">
        <v>767</v>
      </c>
      <c r="B202" s="28"/>
      <c r="C202" s="45" t="s">
        <v>737</v>
      </c>
      <c r="D202" s="45" t="s">
        <v>795</v>
      </c>
      <c r="E202" s="29" t="s">
        <v>768</v>
      </c>
      <c r="F202" s="33"/>
      <c r="G202" s="31">
        <f>SUM(G203)</f>
        <v>405</v>
      </c>
      <c r="H202" s="31">
        <f>SUM(H203)</f>
        <v>0</v>
      </c>
      <c r="I202" s="31">
        <f t="shared" si="5"/>
        <v>0</v>
      </c>
    </row>
    <row r="203" spans="1:9" ht="21.75" customHeight="1">
      <c r="A203" s="32" t="s">
        <v>710</v>
      </c>
      <c r="B203" s="28"/>
      <c r="C203" s="45" t="s">
        <v>737</v>
      </c>
      <c r="D203" s="45" t="s">
        <v>795</v>
      </c>
      <c r="E203" s="29" t="s">
        <v>768</v>
      </c>
      <c r="F203" s="33" t="s">
        <v>711</v>
      </c>
      <c r="G203" s="31">
        <f>SUM(G204)</f>
        <v>405</v>
      </c>
      <c r="H203" s="31">
        <f>SUM(H204)</f>
        <v>0</v>
      </c>
      <c r="I203" s="31">
        <f t="shared" si="5"/>
        <v>0</v>
      </c>
    </row>
    <row r="204" spans="1:10" ht="43.5" customHeight="1">
      <c r="A204" s="73" t="s">
        <v>17</v>
      </c>
      <c r="B204" s="44"/>
      <c r="C204" s="45" t="s">
        <v>737</v>
      </c>
      <c r="D204" s="45" t="s">
        <v>795</v>
      </c>
      <c r="E204" s="29" t="s">
        <v>18</v>
      </c>
      <c r="F204" s="33" t="s">
        <v>711</v>
      </c>
      <c r="G204" s="64">
        <f>43.3+361.7</f>
        <v>405</v>
      </c>
      <c r="H204" s="64"/>
      <c r="I204" s="31">
        <f t="shared" si="5"/>
        <v>0</v>
      </c>
      <c r="J204" s="228">
        <f>SUM('ведомствен.'!G153)</f>
        <v>405</v>
      </c>
    </row>
    <row r="205" spans="1:10" s="47" customFormat="1" ht="16.5" customHeight="1" hidden="1">
      <c r="A205" s="73" t="s">
        <v>19</v>
      </c>
      <c r="B205" s="44"/>
      <c r="C205" s="45" t="s">
        <v>737</v>
      </c>
      <c r="D205" s="45" t="s">
        <v>795</v>
      </c>
      <c r="E205" s="29" t="s">
        <v>20</v>
      </c>
      <c r="F205" s="33" t="s">
        <v>711</v>
      </c>
      <c r="G205" s="64"/>
      <c r="H205" s="64"/>
      <c r="I205" s="31" t="e">
        <f t="shared" si="5"/>
        <v>#DIV/0!</v>
      </c>
      <c r="J205" s="233"/>
    </row>
    <row r="206" spans="1:10" s="26" customFormat="1" ht="15.75">
      <c r="A206" s="74" t="s">
        <v>21</v>
      </c>
      <c r="B206" s="75"/>
      <c r="C206" s="52" t="s">
        <v>772</v>
      </c>
      <c r="D206" s="52"/>
      <c r="E206" s="52"/>
      <c r="F206" s="76"/>
      <c r="G206" s="54">
        <f>SUM(G207+G261+G292+G319)</f>
        <v>639638.2</v>
      </c>
      <c r="H206" s="54">
        <f>SUM(H207+H261+H292+H319)</f>
        <v>127351.2</v>
      </c>
      <c r="I206" s="54">
        <f t="shared" si="5"/>
        <v>19.909880304209473</v>
      </c>
      <c r="J206" s="229"/>
    </row>
    <row r="207" spans="1:9" ht="15">
      <c r="A207" s="27" t="s">
        <v>22</v>
      </c>
      <c r="B207" s="28"/>
      <c r="C207" s="29" t="s">
        <v>772</v>
      </c>
      <c r="D207" s="29" t="s">
        <v>703</v>
      </c>
      <c r="E207" s="29"/>
      <c r="F207" s="30"/>
      <c r="G207" s="31">
        <f>SUM(G228+G251+G220+G233+G208+G249+G246)</f>
        <v>270865.5</v>
      </c>
      <c r="H207" s="31">
        <f>SUM(H228+H251+H220+H233+H208)</f>
        <v>24076.4</v>
      </c>
      <c r="I207" s="31">
        <f t="shared" si="5"/>
        <v>8.888691989197591</v>
      </c>
    </row>
    <row r="208" spans="1:9" ht="42.75">
      <c r="A208" s="77" t="s">
        <v>23</v>
      </c>
      <c r="B208" s="28"/>
      <c r="C208" s="29" t="s">
        <v>772</v>
      </c>
      <c r="D208" s="29" t="s">
        <v>703</v>
      </c>
      <c r="E208" s="29" t="s">
        <v>24</v>
      </c>
      <c r="F208" s="30"/>
      <c r="G208" s="31">
        <f>SUM(G209+G216)</f>
        <v>268493.1</v>
      </c>
      <c r="H208" s="31">
        <f>SUM(H209+H216)</f>
        <v>23798.300000000003</v>
      </c>
      <c r="I208" s="31">
        <f t="shared" si="5"/>
        <v>8.863654224261259</v>
      </c>
    </row>
    <row r="209" spans="1:9" ht="77.25" customHeight="1">
      <c r="A209" s="77" t="s">
        <v>25</v>
      </c>
      <c r="B209" s="28"/>
      <c r="C209" s="29" t="s">
        <v>772</v>
      </c>
      <c r="D209" s="29" t="s">
        <v>703</v>
      </c>
      <c r="E209" s="29" t="s">
        <v>26</v>
      </c>
      <c r="F209" s="30"/>
      <c r="G209" s="31">
        <f>SUM(G210)+G212+G214</f>
        <v>213049.59999999998</v>
      </c>
      <c r="H209" s="31">
        <f>SUM(H210)+H212+H214</f>
        <v>20414.4</v>
      </c>
      <c r="I209" s="31">
        <f t="shared" si="5"/>
        <v>9.58199405208928</v>
      </c>
    </row>
    <row r="210" spans="1:9" ht="61.5" customHeight="1">
      <c r="A210" s="77" t="s">
        <v>27</v>
      </c>
      <c r="B210" s="28"/>
      <c r="C210" s="29" t="s">
        <v>772</v>
      </c>
      <c r="D210" s="29" t="s">
        <v>703</v>
      </c>
      <c r="E210" s="29" t="s">
        <v>28</v>
      </c>
      <c r="F210" s="30"/>
      <c r="G210" s="31">
        <f>SUM(G211)</f>
        <v>34568</v>
      </c>
      <c r="H210" s="31">
        <f>SUM(H211)</f>
        <v>15652.8</v>
      </c>
      <c r="I210" s="31">
        <f t="shared" si="5"/>
        <v>45.28118491090025</v>
      </c>
    </row>
    <row r="211" spans="1:10" ht="21" customHeight="1">
      <c r="A211" s="27" t="s">
        <v>4</v>
      </c>
      <c r="B211" s="28"/>
      <c r="C211" s="29" t="s">
        <v>772</v>
      </c>
      <c r="D211" s="29" t="s">
        <v>703</v>
      </c>
      <c r="E211" s="29" t="s">
        <v>28</v>
      </c>
      <c r="F211" s="30" t="s">
        <v>5</v>
      </c>
      <c r="G211" s="31">
        <f>16568+18000</f>
        <v>34568</v>
      </c>
      <c r="H211" s="31">
        <v>15652.8</v>
      </c>
      <c r="I211" s="31">
        <f aca="true" t="shared" si="6" ref="I211:I279">SUM(H211/G211*100)</f>
        <v>45.28118491090025</v>
      </c>
      <c r="J211" s="228">
        <f>SUM('ведомствен.'!G160)</f>
        <v>34568</v>
      </c>
    </row>
    <row r="212" spans="1:9" ht="58.5" customHeight="1">
      <c r="A212" s="78" t="s">
        <v>29</v>
      </c>
      <c r="B212" s="79"/>
      <c r="C212" s="29" t="s">
        <v>772</v>
      </c>
      <c r="D212" s="29" t="s">
        <v>703</v>
      </c>
      <c r="E212" s="29" t="s">
        <v>30</v>
      </c>
      <c r="F212" s="30"/>
      <c r="G212" s="31">
        <f>SUM(G213)</f>
        <v>144801.9</v>
      </c>
      <c r="H212" s="31">
        <f>SUM(H213)</f>
        <v>0</v>
      </c>
      <c r="I212" s="31">
        <f t="shared" si="6"/>
        <v>0</v>
      </c>
    </row>
    <row r="213" spans="1:10" ht="21" customHeight="1">
      <c r="A213" s="80" t="s">
        <v>815</v>
      </c>
      <c r="B213" s="79"/>
      <c r="C213" s="29" t="s">
        <v>772</v>
      </c>
      <c r="D213" s="29" t="s">
        <v>703</v>
      </c>
      <c r="E213" s="29" t="s">
        <v>30</v>
      </c>
      <c r="F213" s="30" t="s">
        <v>816</v>
      </c>
      <c r="G213" s="31">
        <f>108161.9+36640</f>
        <v>144801.9</v>
      </c>
      <c r="H213" s="31"/>
      <c r="I213" s="31">
        <f t="shared" si="6"/>
        <v>0</v>
      </c>
      <c r="J213" s="228">
        <f>SUM('ведомствен.'!G162+'ведомствен.'!G648)</f>
        <v>144801.9</v>
      </c>
    </row>
    <row r="214" spans="1:9" ht="90.75" customHeight="1">
      <c r="A214" s="78" t="s">
        <v>31</v>
      </c>
      <c r="B214" s="79"/>
      <c r="C214" s="29" t="s">
        <v>772</v>
      </c>
      <c r="D214" s="29" t="s">
        <v>703</v>
      </c>
      <c r="E214" s="29" t="s">
        <v>32</v>
      </c>
      <c r="F214" s="30"/>
      <c r="G214" s="31">
        <f>SUM(G215)</f>
        <v>33679.7</v>
      </c>
      <c r="H214" s="31">
        <f>SUM(H215)</f>
        <v>4761.6</v>
      </c>
      <c r="I214" s="31">
        <f t="shared" si="6"/>
        <v>14.137893152254922</v>
      </c>
    </row>
    <row r="215" spans="1:10" ht="21" customHeight="1">
      <c r="A215" s="80" t="s">
        <v>815</v>
      </c>
      <c r="B215" s="79"/>
      <c r="C215" s="29" t="s">
        <v>772</v>
      </c>
      <c r="D215" s="29" t="s">
        <v>703</v>
      </c>
      <c r="E215" s="29" t="s">
        <v>32</v>
      </c>
      <c r="F215" s="30" t="s">
        <v>816</v>
      </c>
      <c r="G215" s="31">
        <v>33679.7</v>
      </c>
      <c r="H215" s="31">
        <v>4761.6</v>
      </c>
      <c r="I215" s="31">
        <f t="shared" si="6"/>
        <v>14.137893152254922</v>
      </c>
      <c r="J215" s="228">
        <f>SUM('ведомствен.'!G164)</f>
        <v>33679.7</v>
      </c>
    </row>
    <row r="216" spans="1:9" ht="42.75">
      <c r="A216" s="81" t="s">
        <v>33</v>
      </c>
      <c r="B216" s="28"/>
      <c r="C216" s="29" t="s">
        <v>772</v>
      </c>
      <c r="D216" s="29" t="s">
        <v>703</v>
      </c>
      <c r="E216" s="29" t="s">
        <v>34</v>
      </c>
      <c r="F216" s="30"/>
      <c r="G216" s="31">
        <f>SUM(G217)+G226+G223</f>
        <v>55443.5</v>
      </c>
      <c r="H216" s="31">
        <f>SUM(H217)+H226+H223</f>
        <v>3383.9</v>
      </c>
      <c r="I216" s="31">
        <f t="shared" si="6"/>
        <v>6.103330417452001</v>
      </c>
    </row>
    <row r="217" spans="1:9" ht="28.5">
      <c r="A217" s="48" t="s">
        <v>35</v>
      </c>
      <c r="B217" s="79"/>
      <c r="C217" s="29" t="s">
        <v>772</v>
      </c>
      <c r="D217" s="29" t="s">
        <v>703</v>
      </c>
      <c r="E217" s="29" t="s">
        <v>36</v>
      </c>
      <c r="F217" s="30"/>
      <c r="G217" s="31">
        <f>SUM(G218+G219)</f>
        <v>4720.4</v>
      </c>
      <c r="H217" s="31">
        <f>SUM(H218+H219)</f>
        <v>1562</v>
      </c>
      <c r="I217" s="31">
        <f t="shared" si="6"/>
        <v>33.090416066435054</v>
      </c>
    </row>
    <row r="218" spans="1:10" ht="15.75" customHeight="1">
      <c r="A218" s="82" t="s">
        <v>4</v>
      </c>
      <c r="B218" s="79"/>
      <c r="C218" s="29" t="s">
        <v>772</v>
      </c>
      <c r="D218" s="29" t="s">
        <v>703</v>
      </c>
      <c r="E218" s="29" t="s">
        <v>36</v>
      </c>
      <c r="F218" s="30" t="s">
        <v>5</v>
      </c>
      <c r="G218" s="31">
        <f>5000-813.5-2003.1-295-100</f>
        <v>1788.4</v>
      </c>
      <c r="H218" s="31">
        <v>233.9</v>
      </c>
      <c r="I218" s="31">
        <f t="shared" si="6"/>
        <v>13.078729590695593</v>
      </c>
      <c r="J218" s="228">
        <f>SUM('ведомствен.'!G167)</f>
        <v>1788.4</v>
      </c>
    </row>
    <row r="219" spans="1:10" ht="15" customHeight="1">
      <c r="A219" s="82" t="s">
        <v>37</v>
      </c>
      <c r="B219" s="79"/>
      <c r="C219" s="29" t="s">
        <v>772</v>
      </c>
      <c r="D219" s="29" t="s">
        <v>703</v>
      </c>
      <c r="E219" s="29" t="s">
        <v>36</v>
      </c>
      <c r="F219" s="30" t="s">
        <v>38</v>
      </c>
      <c r="G219" s="31">
        <f>1405+1527</f>
        <v>2932</v>
      </c>
      <c r="H219" s="31">
        <v>1328.1</v>
      </c>
      <c r="I219" s="31">
        <f t="shared" si="6"/>
        <v>45.296725784447474</v>
      </c>
      <c r="J219" s="228">
        <f>SUM('ведомствен.'!G168)</f>
        <v>2932</v>
      </c>
    </row>
    <row r="220" spans="1:9" ht="28.5" customHeight="1" hidden="1">
      <c r="A220" s="43" t="s">
        <v>812</v>
      </c>
      <c r="B220" s="28"/>
      <c r="C220" s="29" t="s">
        <v>772</v>
      </c>
      <c r="D220" s="29" t="s">
        <v>703</v>
      </c>
      <c r="E220" s="29" t="s">
        <v>751</v>
      </c>
      <c r="F220" s="30"/>
      <c r="G220" s="31">
        <f>SUM(G221)</f>
        <v>0</v>
      </c>
      <c r="H220" s="31">
        <f>SUM(H221)</f>
        <v>0</v>
      </c>
      <c r="I220" s="31" t="e">
        <f t="shared" si="6"/>
        <v>#DIV/0!</v>
      </c>
    </row>
    <row r="221" spans="1:9" ht="32.25" customHeight="1" hidden="1">
      <c r="A221" s="43" t="s">
        <v>813</v>
      </c>
      <c r="B221" s="28"/>
      <c r="C221" s="29" t="s">
        <v>772</v>
      </c>
      <c r="D221" s="29" t="s">
        <v>703</v>
      </c>
      <c r="E221" s="29" t="s">
        <v>814</v>
      </c>
      <c r="F221" s="30"/>
      <c r="G221" s="31">
        <f>SUM(G222)</f>
        <v>0</v>
      </c>
      <c r="H221" s="31">
        <f>SUM(H222)</f>
        <v>0</v>
      </c>
      <c r="I221" s="31" t="e">
        <f t="shared" si="6"/>
        <v>#DIV/0!</v>
      </c>
    </row>
    <row r="222" spans="1:9" ht="17.25" customHeight="1" hidden="1">
      <c r="A222" s="43" t="s">
        <v>815</v>
      </c>
      <c r="B222" s="28"/>
      <c r="C222" s="29" t="s">
        <v>772</v>
      </c>
      <c r="D222" s="29" t="s">
        <v>703</v>
      </c>
      <c r="E222" s="29" t="s">
        <v>814</v>
      </c>
      <c r="F222" s="30" t="s">
        <v>816</v>
      </c>
      <c r="G222" s="31"/>
      <c r="H222" s="31"/>
      <c r="I222" s="31" t="e">
        <f t="shared" si="6"/>
        <v>#DIV/0!</v>
      </c>
    </row>
    <row r="223" spans="1:9" ht="29.25" customHeight="1">
      <c r="A223" s="83" t="s">
        <v>39</v>
      </c>
      <c r="B223" s="28"/>
      <c r="C223" s="29" t="s">
        <v>772</v>
      </c>
      <c r="D223" s="29" t="s">
        <v>703</v>
      </c>
      <c r="E223" s="29" t="s">
        <v>40</v>
      </c>
      <c r="F223" s="30"/>
      <c r="G223" s="31">
        <f>SUM(G224+G225)</f>
        <v>38163.7</v>
      </c>
      <c r="H223" s="31">
        <f>SUM(H224+H225)</f>
        <v>0</v>
      </c>
      <c r="I223" s="31">
        <f t="shared" si="6"/>
        <v>0</v>
      </c>
    </row>
    <row r="224" spans="1:10" ht="16.5" customHeight="1">
      <c r="A224" s="80" t="s">
        <v>815</v>
      </c>
      <c r="B224" s="28"/>
      <c r="C224" s="29" t="s">
        <v>772</v>
      </c>
      <c r="D224" s="29" t="s">
        <v>703</v>
      </c>
      <c r="E224" s="29" t="s">
        <v>40</v>
      </c>
      <c r="F224" s="30" t="s">
        <v>816</v>
      </c>
      <c r="G224" s="31">
        <v>23720.1</v>
      </c>
      <c r="H224" s="31"/>
      <c r="I224" s="31">
        <f t="shared" si="6"/>
        <v>0</v>
      </c>
      <c r="J224" s="228">
        <f>SUM('ведомствен.'!G173+'ведомствен.'!G652)</f>
        <v>23720.100000000002</v>
      </c>
    </row>
    <row r="225" spans="1:10" ht="29.25" customHeight="1">
      <c r="A225" s="80" t="s">
        <v>41</v>
      </c>
      <c r="B225" s="28"/>
      <c r="C225" s="29" t="s">
        <v>772</v>
      </c>
      <c r="D225" s="29" t="s">
        <v>703</v>
      </c>
      <c r="E225" s="29" t="s">
        <v>40</v>
      </c>
      <c r="F225" s="30" t="s">
        <v>42</v>
      </c>
      <c r="G225" s="31">
        <f>10788.9+3654.7</f>
        <v>14443.599999999999</v>
      </c>
      <c r="H225" s="31"/>
      <c r="I225" s="31">
        <f t="shared" si="6"/>
        <v>0</v>
      </c>
      <c r="J225" s="228">
        <f>SUM('ведомствен.'!G174+'ведомствен.'!G653)</f>
        <v>14443.599999999999</v>
      </c>
    </row>
    <row r="226" spans="1:9" ht="59.25" customHeight="1">
      <c r="A226" s="83" t="s">
        <v>43</v>
      </c>
      <c r="B226" s="28"/>
      <c r="C226" s="29" t="s">
        <v>772</v>
      </c>
      <c r="D226" s="29" t="s">
        <v>703</v>
      </c>
      <c r="E226" s="29" t="s">
        <v>44</v>
      </c>
      <c r="F226" s="30"/>
      <c r="G226" s="31">
        <f>SUM(G227)</f>
        <v>12559.4</v>
      </c>
      <c r="H226" s="31">
        <f>SUM(H227)</f>
        <v>1821.9</v>
      </c>
      <c r="I226" s="31">
        <f t="shared" si="6"/>
        <v>14.50626622290874</v>
      </c>
    </row>
    <row r="227" spans="1:10" ht="16.5" customHeight="1">
      <c r="A227" s="80" t="s">
        <v>815</v>
      </c>
      <c r="B227" s="28"/>
      <c r="C227" s="29" t="s">
        <v>772</v>
      </c>
      <c r="D227" s="29" t="s">
        <v>703</v>
      </c>
      <c r="E227" s="29" t="s">
        <v>44</v>
      </c>
      <c r="F227" s="30" t="s">
        <v>816</v>
      </c>
      <c r="G227" s="31">
        <f>9059.4+3500</f>
        <v>12559.4</v>
      </c>
      <c r="H227" s="31">
        <v>1821.9</v>
      </c>
      <c r="I227" s="31">
        <f t="shared" si="6"/>
        <v>14.50626622290874</v>
      </c>
      <c r="J227" s="228">
        <f>SUM('ведомствен.'!G176)</f>
        <v>12559.4</v>
      </c>
    </row>
    <row r="228" spans="1:9" ht="14.25" customHeight="1" hidden="1">
      <c r="A228" s="27" t="s">
        <v>45</v>
      </c>
      <c r="B228" s="28"/>
      <c r="C228" s="29" t="s">
        <v>772</v>
      </c>
      <c r="D228" s="29" t="s">
        <v>703</v>
      </c>
      <c r="E228" s="29" t="s">
        <v>46</v>
      </c>
      <c r="F228" s="30"/>
      <c r="G228" s="31">
        <f>SUM(G229+G231)</f>
        <v>0</v>
      </c>
      <c r="H228" s="31">
        <f>SUM(H229+H231)</f>
        <v>0</v>
      </c>
      <c r="I228" s="31" t="e">
        <f t="shared" si="6"/>
        <v>#DIV/0!</v>
      </c>
    </row>
    <row r="229" spans="1:9" ht="44.25" customHeight="1" hidden="1">
      <c r="A229" s="46" t="s">
        <v>47</v>
      </c>
      <c r="B229" s="28"/>
      <c r="C229" s="29" t="s">
        <v>772</v>
      </c>
      <c r="D229" s="29" t="s">
        <v>703</v>
      </c>
      <c r="E229" s="29" t="s">
        <v>48</v>
      </c>
      <c r="F229" s="30"/>
      <c r="G229" s="31">
        <f>SUM(G230)</f>
        <v>0</v>
      </c>
      <c r="H229" s="31">
        <f>SUM(H230)</f>
        <v>0</v>
      </c>
      <c r="I229" s="31" t="e">
        <f t="shared" si="6"/>
        <v>#DIV/0!</v>
      </c>
    </row>
    <row r="230" spans="1:9" ht="15.75" customHeight="1" hidden="1">
      <c r="A230" s="27" t="s">
        <v>4</v>
      </c>
      <c r="B230" s="28"/>
      <c r="C230" s="29" t="s">
        <v>772</v>
      </c>
      <c r="D230" s="29" t="s">
        <v>703</v>
      </c>
      <c r="E230" s="29" t="s">
        <v>48</v>
      </c>
      <c r="F230" s="30" t="s">
        <v>5</v>
      </c>
      <c r="G230" s="31"/>
      <c r="H230" s="31"/>
      <c r="I230" s="31" t="e">
        <f t="shared" si="6"/>
        <v>#DIV/0!</v>
      </c>
    </row>
    <row r="231" spans="1:10" s="47" customFormat="1" ht="28.5" customHeight="1" hidden="1">
      <c r="A231" s="46" t="s">
        <v>49</v>
      </c>
      <c r="B231" s="44"/>
      <c r="C231" s="29" t="s">
        <v>772</v>
      </c>
      <c r="D231" s="29" t="s">
        <v>703</v>
      </c>
      <c r="E231" s="29" t="s">
        <v>50</v>
      </c>
      <c r="F231" s="33"/>
      <c r="G231" s="31">
        <f>SUM(G232)</f>
        <v>0</v>
      </c>
      <c r="H231" s="31">
        <f>SUM(H232)</f>
        <v>0</v>
      </c>
      <c r="I231" s="31" t="e">
        <f t="shared" si="6"/>
        <v>#DIV/0!</v>
      </c>
      <c r="J231" s="233"/>
    </row>
    <row r="232" spans="1:10" s="85" customFormat="1" ht="16.5" customHeight="1" hidden="1">
      <c r="A232" s="32" t="s">
        <v>710</v>
      </c>
      <c r="B232" s="84"/>
      <c r="C232" s="29" t="s">
        <v>772</v>
      </c>
      <c r="D232" s="29" t="s">
        <v>703</v>
      </c>
      <c r="E232" s="29" t="s">
        <v>50</v>
      </c>
      <c r="F232" s="65" t="s">
        <v>711</v>
      </c>
      <c r="G232" s="64"/>
      <c r="H232" s="64"/>
      <c r="I232" s="31" t="e">
        <f t="shared" si="6"/>
        <v>#DIV/0!</v>
      </c>
      <c r="J232" s="234"/>
    </row>
    <row r="233" spans="1:10" s="68" customFormat="1" ht="18.75" customHeight="1" hidden="1">
      <c r="A233" s="46" t="s">
        <v>881</v>
      </c>
      <c r="B233" s="60"/>
      <c r="C233" s="60" t="s">
        <v>772</v>
      </c>
      <c r="D233" s="60" t="s">
        <v>703</v>
      </c>
      <c r="E233" s="60" t="s">
        <v>882</v>
      </c>
      <c r="F233" s="86"/>
      <c r="G233" s="87">
        <f>SUM(G236)+G241+G234</f>
        <v>0</v>
      </c>
      <c r="H233" s="87">
        <f>SUM(H236)+H241+H234</f>
        <v>0</v>
      </c>
      <c r="I233" s="31" t="e">
        <f t="shared" si="6"/>
        <v>#DIV/0!</v>
      </c>
      <c r="J233" s="232"/>
    </row>
    <row r="234" spans="1:10" s="68" customFormat="1" ht="39.75" customHeight="1" hidden="1">
      <c r="A234" s="46" t="s">
        <v>51</v>
      </c>
      <c r="B234" s="60"/>
      <c r="C234" s="88" t="s">
        <v>772</v>
      </c>
      <c r="D234" s="88" t="s">
        <v>703</v>
      </c>
      <c r="E234" s="88" t="s">
        <v>52</v>
      </c>
      <c r="F234" s="86"/>
      <c r="G234" s="87">
        <f>SUM(G235)</f>
        <v>0</v>
      </c>
      <c r="H234" s="87">
        <f>SUM(H235)</f>
        <v>0</v>
      </c>
      <c r="I234" s="31" t="e">
        <f t="shared" si="6"/>
        <v>#DIV/0!</v>
      </c>
      <c r="J234" s="232"/>
    </row>
    <row r="235" spans="1:10" s="68" customFormat="1" ht="18.75" customHeight="1" hidden="1">
      <c r="A235" s="46" t="s">
        <v>815</v>
      </c>
      <c r="B235" s="60"/>
      <c r="C235" s="88" t="s">
        <v>772</v>
      </c>
      <c r="D235" s="88" t="s">
        <v>703</v>
      </c>
      <c r="E235" s="88" t="s">
        <v>52</v>
      </c>
      <c r="F235" s="86" t="s">
        <v>816</v>
      </c>
      <c r="G235" s="87"/>
      <c r="H235" s="87"/>
      <c r="I235" s="31" t="e">
        <f t="shared" si="6"/>
        <v>#DIV/0!</v>
      </c>
      <c r="J235" s="232"/>
    </row>
    <row r="236" spans="1:10" s="68" customFormat="1" ht="45" customHeight="1" hidden="1">
      <c r="A236" s="27" t="s">
        <v>53</v>
      </c>
      <c r="B236" s="60"/>
      <c r="C236" s="88" t="s">
        <v>772</v>
      </c>
      <c r="D236" s="88" t="s">
        <v>703</v>
      </c>
      <c r="E236" s="88" t="s">
        <v>54</v>
      </c>
      <c r="F236" s="86"/>
      <c r="G236" s="87">
        <f>SUM(G237+G239)</f>
        <v>0</v>
      </c>
      <c r="H236" s="87">
        <f>SUM(H237+H239)</f>
        <v>0</v>
      </c>
      <c r="I236" s="31" t="e">
        <f t="shared" si="6"/>
        <v>#DIV/0!</v>
      </c>
      <c r="J236" s="232"/>
    </row>
    <row r="237" spans="1:10" s="68" customFormat="1" ht="49.5" customHeight="1" hidden="1">
      <c r="A237" s="46" t="s">
        <v>55</v>
      </c>
      <c r="B237" s="89"/>
      <c r="C237" s="88" t="s">
        <v>772</v>
      </c>
      <c r="D237" s="88" t="s">
        <v>703</v>
      </c>
      <c r="E237" s="88" t="s">
        <v>56</v>
      </c>
      <c r="F237" s="86"/>
      <c r="G237" s="87">
        <f>SUM(G238)</f>
        <v>0</v>
      </c>
      <c r="H237" s="87">
        <f>SUM(H238)</f>
        <v>0</v>
      </c>
      <c r="I237" s="31" t="e">
        <f t="shared" si="6"/>
        <v>#DIV/0!</v>
      </c>
      <c r="J237" s="232"/>
    </row>
    <row r="238" spans="1:10" s="68" customFormat="1" ht="15" customHeight="1" hidden="1">
      <c r="A238" s="43" t="s">
        <v>815</v>
      </c>
      <c r="B238" s="60"/>
      <c r="C238" s="88" t="s">
        <v>772</v>
      </c>
      <c r="D238" s="88" t="s">
        <v>703</v>
      </c>
      <c r="E238" s="88" t="s">
        <v>56</v>
      </c>
      <c r="F238" s="65" t="s">
        <v>816</v>
      </c>
      <c r="G238" s="31">
        <v>0</v>
      </c>
      <c r="H238" s="31">
        <v>0</v>
      </c>
      <c r="I238" s="31" t="e">
        <f t="shared" si="6"/>
        <v>#DIV/0!</v>
      </c>
      <c r="J238" s="232"/>
    </row>
    <row r="239" spans="1:10" s="68" customFormat="1" ht="18" customHeight="1" hidden="1">
      <c r="A239" s="43" t="s">
        <v>57</v>
      </c>
      <c r="B239" s="60"/>
      <c r="C239" s="88" t="s">
        <v>772</v>
      </c>
      <c r="D239" s="88" t="s">
        <v>703</v>
      </c>
      <c r="E239" s="88" t="s">
        <v>58</v>
      </c>
      <c r="F239" s="65"/>
      <c r="G239" s="31">
        <f>SUM(G240)</f>
        <v>0</v>
      </c>
      <c r="H239" s="31">
        <f>SUM(H240)</f>
        <v>0</v>
      </c>
      <c r="I239" s="31" t="e">
        <f t="shared" si="6"/>
        <v>#DIV/0!</v>
      </c>
      <c r="J239" s="232"/>
    </row>
    <row r="240" spans="1:10" s="68" customFormat="1" ht="14.25" customHeight="1" hidden="1">
      <c r="A240" s="32" t="s">
        <v>710</v>
      </c>
      <c r="B240" s="84"/>
      <c r="C240" s="29" t="s">
        <v>772</v>
      </c>
      <c r="D240" s="29" t="s">
        <v>703</v>
      </c>
      <c r="E240" s="88" t="s">
        <v>58</v>
      </c>
      <c r="F240" s="65" t="s">
        <v>711</v>
      </c>
      <c r="G240" s="31">
        <f>SUM('[1]Ведомств.'!F180)</f>
        <v>0</v>
      </c>
      <c r="H240" s="31">
        <f>SUM('[1]Ведомств.'!G180)</f>
        <v>0</v>
      </c>
      <c r="I240" s="31" t="e">
        <f t="shared" si="6"/>
        <v>#DIV/0!</v>
      </c>
      <c r="J240" s="232"/>
    </row>
    <row r="241" spans="1:10" s="68" customFormat="1" ht="28.5" customHeight="1" hidden="1">
      <c r="A241" s="32" t="s">
        <v>59</v>
      </c>
      <c r="B241" s="84"/>
      <c r="C241" s="29" t="s">
        <v>772</v>
      </c>
      <c r="D241" s="29" t="s">
        <v>703</v>
      </c>
      <c r="E241" s="61" t="s">
        <v>60</v>
      </c>
      <c r="F241" s="65"/>
      <c r="G241" s="31">
        <f>SUM(G242)+G244</f>
        <v>0</v>
      </c>
      <c r="H241" s="31">
        <f>SUM(H242)+H244</f>
        <v>0</v>
      </c>
      <c r="I241" s="31" t="e">
        <f t="shared" si="6"/>
        <v>#DIV/0!</v>
      </c>
      <c r="J241" s="232"/>
    </row>
    <row r="242" spans="1:10" s="68" customFormat="1" ht="42.75" customHeight="1" hidden="1">
      <c r="A242" s="32" t="s">
        <v>61</v>
      </c>
      <c r="B242" s="84"/>
      <c r="C242" s="29" t="s">
        <v>772</v>
      </c>
      <c r="D242" s="29" t="s">
        <v>703</v>
      </c>
      <c r="E242" s="61" t="s">
        <v>62</v>
      </c>
      <c r="F242" s="65"/>
      <c r="G242" s="31">
        <f>SUM(G243)</f>
        <v>0</v>
      </c>
      <c r="H242" s="31">
        <f>SUM(H243)</f>
        <v>0</v>
      </c>
      <c r="I242" s="31" t="e">
        <f t="shared" si="6"/>
        <v>#DIV/0!</v>
      </c>
      <c r="J242" s="232"/>
    </row>
    <row r="243" spans="1:10" s="68" customFormat="1" ht="15" customHeight="1" hidden="1">
      <c r="A243" s="27" t="s">
        <v>4</v>
      </c>
      <c r="B243" s="84"/>
      <c r="C243" s="29" t="s">
        <v>772</v>
      </c>
      <c r="D243" s="29" t="s">
        <v>703</v>
      </c>
      <c r="E243" s="88" t="s">
        <v>62</v>
      </c>
      <c r="F243" s="65" t="s">
        <v>5</v>
      </c>
      <c r="G243" s="31"/>
      <c r="H243" s="31"/>
      <c r="I243" s="31" t="e">
        <f t="shared" si="6"/>
        <v>#DIV/0!</v>
      </c>
      <c r="J243" s="232"/>
    </row>
    <row r="244" spans="1:10" s="68" customFormat="1" ht="42.75" customHeight="1" hidden="1">
      <c r="A244" s="32" t="s">
        <v>63</v>
      </c>
      <c r="B244" s="84"/>
      <c r="C244" s="29" t="s">
        <v>772</v>
      </c>
      <c r="D244" s="29" t="s">
        <v>703</v>
      </c>
      <c r="E244" s="61" t="s">
        <v>64</v>
      </c>
      <c r="F244" s="65"/>
      <c r="G244" s="31">
        <f>SUM(G245)</f>
        <v>0</v>
      </c>
      <c r="H244" s="31">
        <f>SUM(H245)</f>
        <v>0</v>
      </c>
      <c r="I244" s="31" t="e">
        <f t="shared" si="6"/>
        <v>#DIV/0!</v>
      </c>
      <c r="J244" s="232"/>
    </row>
    <row r="245" spans="1:10" s="68" customFormat="1" ht="15" customHeight="1" hidden="1">
      <c r="A245" s="27" t="s">
        <v>4</v>
      </c>
      <c r="B245" s="84"/>
      <c r="C245" s="29" t="s">
        <v>772</v>
      </c>
      <c r="D245" s="29" t="s">
        <v>703</v>
      </c>
      <c r="E245" s="88" t="s">
        <v>64</v>
      </c>
      <c r="F245" s="65" t="s">
        <v>5</v>
      </c>
      <c r="G245" s="31"/>
      <c r="H245" s="31"/>
      <c r="I245" s="31" t="e">
        <f t="shared" si="6"/>
        <v>#DIV/0!</v>
      </c>
      <c r="J245" s="232"/>
    </row>
    <row r="246" spans="1:9" s="47" customFormat="1" ht="21.75" customHeight="1">
      <c r="A246" s="27" t="s">
        <v>45</v>
      </c>
      <c r="B246" s="84"/>
      <c r="C246" s="29" t="s">
        <v>772</v>
      </c>
      <c r="D246" s="29" t="s">
        <v>703</v>
      </c>
      <c r="E246" s="88" t="s">
        <v>46</v>
      </c>
      <c r="F246" s="65"/>
      <c r="G246" s="31">
        <f>SUM(G247)</f>
        <v>813.5</v>
      </c>
      <c r="H246" s="31"/>
      <c r="I246" s="31"/>
    </row>
    <row r="247" spans="1:9" s="47" customFormat="1" ht="45.75" customHeight="1">
      <c r="A247" s="27" t="s">
        <v>517</v>
      </c>
      <c r="B247" s="84"/>
      <c r="C247" s="29" t="s">
        <v>772</v>
      </c>
      <c r="D247" s="29" t="s">
        <v>703</v>
      </c>
      <c r="E247" s="61" t="s">
        <v>50</v>
      </c>
      <c r="F247" s="65"/>
      <c r="G247" s="31">
        <f>SUM(G248)</f>
        <v>813.5</v>
      </c>
      <c r="H247" s="31"/>
      <c r="I247" s="31"/>
    </row>
    <row r="248" spans="1:10" s="47" customFormat="1" ht="31.5" customHeight="1">
      <c r="A248" s="27" t="s">
        <v>710</v>
      </c>
      <c r="B248" s="84"/>
      <c r="C248" s="29" t="s">
        <v>772</v>
      </c>
      <c r="D248" s="29" t="s">
        <v>703</v>
      </c>
      <c r="E248" s="61" t="s">
        <v>50</v>
      </c>
      <c r="F248" s="62" t="s">
        <v>711</v>
      </c>
      <c r="G248" s="31">
        <v>813.5</v>
      </c>
      <c r="H248" s="31"/>
      <c r="I248" s="31"/>
      <c r="J248" s="47">
        <f>SUM('ведомствен.'!G198)</f>
        <v>813.5</v>
      </c>
    </row>
    <row r="249" spans="1:10" ht="15" hidden="1">
      <c r="A249" s="80" t="s">
        <v>535</v>
      </c>
      <c r="B249" s="44"/>
      <c r="C249" s="45" t="s">
        <v>772</v>
      </c>
      <c r="D249" s="45" t="s">
        <v>703</v>
      </c>
      <c r="E249" s="45" t="s">
        <v>534</v>
      </c>
      <c r="F249" s="30"/>
      <c r="G249" s="64">
        <f>SUM(G250)</f>
        <v>0</v>
      </c>
      <c r="H249" s="31"/>
      <c r="I249" s="31"/>
      <c r="J249"/>
    </row>
    <row r="250" spans="1:10" ht="15" hidden="1">
      <c r="A250" s="80" t="s">
        <v>815</v>
      </c>
      <c r="B250" s="44"/>
      <c r="C250" s="45" t="s">
        <v>772</v>
      </c>
      <c r="D250" s="45" t="s">
        <v>703</v>
      </c>
      <c r="E250" s="45" t="s">
        <v>534</v>
      </c>
      <c r="F250" s="33" t="s">
        <v>816</v>
      </c>
      <c r="G250" s="64"/>
      <c r="H250" s="31"/>
      <c r="I250" s="31"/>
      <c r="J250">
        <f>SUM('ведомствен.'!G655)</f>
        <v>0</v>
      </c>
    </row>
    <row r="251" spans="1:10" s="68" customFormat="1" ht="13.5" customHeight="1">
      <c r="A251" s="90" t="s">
        <v>767</v>
      </c>
      <c r="B251" s="60"/>
      <c r="C251" s="60" t="s">
        <v>772</v>
      </c>
      <c r="D251" s="60" t="s">
        <v>703</v>
      </c>
      <c r="E251" s="60" t="s">
        <v>768</v>
      </c>
      <c r="F251" s="65"/>
      <c r="G251" s="31">
        <f>SUM(G252+G255)+G259</f>
        <v>1558.9</v>
      </c>
      <c r="H251" s="31">
        <f>SUM(H252+H255)+H259</f>
        <v>278.1</v>
      </c>
      <c r="I251" s="31">
        <f t="shared" si="6"/>
        <v>17.83950221309898</v>
      </c>
      <c r="J251" s="232"/>
    </row>
    <row r="252" spans="1:10" s="68" customFormat="1" ht="21" customHeight="1" hidden="1">
      <c r="A252" s="32" t="s">
        <v>710</v>
      </c>
      <c r="B252" s="60"/>
      <c r="C252" s="60" t="s">
        <v>772</v>
      </c>
      <c r="D252" s="60" t="s">
        <v>703</v>
      </c>
      <c r="E252" s="60" t="s">
        <v>768</v>
      </c>
      <c r="F252" s="65" t="s">
        <v>711</v>
      </c>
      <c r="G252" s="91">
        <f>SUM(G253:G254)</f>
        <v>0</v>
      </c>
      <c r="H252" s="91">
        <f>SUM(H253:H254)</f>
        <v>0</v>
      </c>
      <c r="I252" s="31" t="e">
        <f t="shared" si="6"/>
        <v>#DIV/0!</v>
      </c>
      <c r="J252" s="232"/>
    </row>
    <row r="253" spans="1:10" s="68" customFormat="1" ht="15.75" customHeight="1" hidden="1">
      <c r="A253" s="80" t="s">
        <v>65</v>
      </c>
      <c r="B253" s="60"/>
      <c r="C253" s="60" t="s">
        <v>772</v>
      </c>
      <c r="D253" s="60" t="s">
        <v>703</v>
      </c>
      <c r="E253" s="60" t="s">
        <v>66</v>
      </c>
      <c r="F253" s="65" t="s">
        <v>711</v>
      </c>
      <c r="G253" s="91">
        <f>SUM('[1]Ведомств.'!F188)</f>
        <v>0</v>
      </c>
      <c r="H253" s="91">
        <f>SUM('[1]Ведомств.'!G188)</f>
        <v>0</v>
      </c>
      <c r="I253" s="31" t="e">
        <f t="shared" si="6"/>
        <v>#DIV/0!</v>
      </c>
      <c r="J253" s="232"/>
    </row>
    <row r="254" spans="1:10" s="68" customFormat="1" ht="15.75" customHeight="1" hidden="1">
      <c r="A254" s="80" t="s">
        <v>67</v>
      </c>
      <c r="B254" s="60"/>
      <c r="C254" s="60" t="s">
        <v>772</v>
      </c>
      <c r="D254" s="60" t="s">
        <v>703</v>
      </c>
      <c r="E254" s="60" t="s">
        <v>68</v>
      </c>
      <c r="F254" s="65" t="s">
        <v>711</v>
      </c>
      <c r="G254" s="91"/>
      <c r="H254" s="91"/>
      <c r="I254" s="31" t="e">
        <f t="shared" si="6"/>
        <v>#DIV/0!</v>
      </c>
      <c r="J254" s="232"/>
    </row>
    <row r="255" spans="1:10" s="68" customFormat="1" ht="15">
      <c r="A255" s="80" t="s">
        <v>815</v>
      </c>
      <c r="B255" s="60"/>
      <c r="C255" s="60" t="s">
        <v>772</v>
      </c>
      <c r="D255" s="60" t="s">
        <v>703</v>
      </c>
      <c r="E255" s="60" t="s">
        <v>768</v>
      </c>
      <c r="F255" s="65" t="s">
        <v>816</v>
      </c>
      <c r="G255" s="64">
        <f>SUM(G257)</f>
        <v>1012.5</v>
      </c>
      <c r="H255" s="64">
        <f>SUM(H257)</f>
        <v>167.7</v>
      </c>
      <c r="I255" s="31">
        <f t="shared" si="6"/>
        <v>16.562962962962963</v>
      </c>
      <c r="J255" s="228"/>
    </row>
    <row r="256" spans="1:10" s="68" customFormat="1" ht="28.5" customHeight="1">
      <c r="A256" s="43" t="s">
        <v>69</v>
      </c>
      <c r="B256" s="60"/>
      <c r="C256" s="61" t="s">
        <v>772</v>
      </c>
      <c r="D256" s="61" t="s">
        <v>703</v>
      </c>
      <c r="E256" s="61" t="s">
        <v>70</v>
      </c>
      <c r="F256" s="62" t="s">
        <v>816</v>
      </c>
      <c r="G256" s="31">
        <f>SUM(G257)</f>
        <v>1012.5</v>
      </c>
      <c r="H256" s="31">
        <f>SUM(H257)</f>
        <v>167.7</v>
      </c>
      <c r="I256" s="31">
        <f t="shared" si="6"/>
        <v>16.562962962962963</v>
      </c>
      <c r="J256" s="232"/>
    </row>
    <row r="257" spans="1:10" s="68" customFormat="1" ht="42" customHeight="1">
      <c r="A257" s="46" t="s">
        <v>55</v>
      </c>
      <c r="B257" s="60"/>
      <c r="C257" s="61" t="s">
        <v>772</v>
      </c>
      <c r="D257" s="61" t="s">
        <v>703</v>
      </c>
      <c r="E257" s="61" t="s">
        <v>71</v>
      </c>
      <c r="F257" s="62" t="s">
        <v>816</v>
      </c>
      <c r="G257" s="31">
        <v>1012.5</v>
      </c>
      <c r="H257" s="31">
        <v>167.7</v>
      </c>
      <c r="I257" s="31">
        <f t="shared" si="6"/>
        <v>16.562962962962963</v>
      </c>
      <c r="J257" s="228">
        <f>SUM('ведомствен.'!G204)</f>
        <v>1012.5</v>
      </c>
    </row>
    <row r="258" spans="1:10" s="68" customFormat="1" ht="14.25" customHeight="1" hidden="1">
      <c r="A258" s="92" t="s">
        <v>72</v>
      </c>
      <c r="B258" s="60"/>
      <c r="C258" s="60" t="s">
        <v>772</v>
      </c>
      <c r="D258" s="60" t="s">
        <v>703</v>
      </c>
      <c r="E258" s="60" t="s">
        <v>768</v>
      </c>
      <c r="F258" s="65" t="s">
        <v>73</v>
      </c>
      <c r="G258" s="93"/>
      <c r="H258" s="93"/>
      <c r="I258" s="31" t="e">
        <f t="shared" si="6"/>
        <v>#DIV/0!</v>
      </c>
      <c r="J258" s="232"/>
    </row>
    <row r="259" spans="1:10" s="68" customFormat="1" ht="32.25" customHeight="1">
      <c r="A259" s="92" t="s">
        <v>74</v>
      </c>
      <c r="B259" s="60"/>
      <c r="C259" s="61" t="s">
        <v>772</v>
      </c>
      <c r="D259" s="61" t="s">
        <v>703</v>
      </c>
      <c r="E259" s="61" t="s">
        <v>75</v>
      </c>
      <c r="F259" s="62"/>
      <c r="G259" s="31">
        <f>SUM(G260)</f>
        <v>546.4</v>
      </c>
      <c r="H259" s="31">
        <f>SUM(H260)</f>
        <v>110.4</v>
      </c>
      <c r="I259" s="31">
        <f t="shared" si="6"/>
        <v>20.20497803806735</v>
      </c>
      <c r="J259" s="232"/>
    </row>
    <row r="260" spans="1:10" s="68" customFormat="1" ht="22.5" customHeight="1">
      <c r="A260" s="80" t="s">
        <v>815</v>
      </c>
      <c r="B260" s="60"/>
      <c r="C260" s="61" t="s">
        <v>772</v>
      </c>
      <c r="D260" s="61" t="s">
        <v>703</v>
      </c>
      <c r="E260" s="61" t="s">
        <v>75</v>
      </c>
      <c r="F260" s="62" t="s">
        <v>816</v>
      </c>
      <c r="G260" s="31">
        <v>546.4</v>
      </c>
      <c r="H260" s="31">
        <v>110.4</v>
      </c>
      <c r="I260" s="31">
        <f t="shared" si="6"/>
        <v>20.20497803806735</v>
      </c>
      <c r="J260" s="228">
        <f>SUM('ведомствен.'!G207)</f>
        <v>546.4</v>
      </c>
    </row>
    <row r="261" spans="1:10" s="47" customFormat="1" ht="20.25" customHeight="1">
      <c r="A261" s="43" t="s">
        <v>76</v>
      </c>
      <c r="B261" s="44"/>
      <c r="C261" s="45" t="s">
        <v>772</v>
      </c>
      <c r="D261" s="45" t="s">
        <v>705</v>
      </c>
      <c r="E261" s="45"/>
      <c r="F261" s="33"/>
      <c r="G261" s="31">
        <f>SUM(G269+G281)+G264+G277+G266+G289</f>
        <v>71862.6</v>
      </c>
      <c r="H261" s="31">
        <f>SUM(H269+H281)+H264+H277+H266</f>
        <v>24530.6</v>
      </c>
      <c r="I261" s="31">
        <f t="shared" si="6"/>
        <v>34.13541953672703</v>
      </c>
      <c r="J261" s="233"/>
    </row>
    <row r="262" spans="1:10" s="47" customFormat="1" ht="18" customHeight="1" hidden="1">
      <c r="A262" s="27" t="s">
        <v>77</v>
      </c>
      <c r="B262" s="28"/>
      <c r="C262" s="45" t="s">
        <v>772</v>
      </c>
      <c r="D262" s="45" t="s">
        <v>705</v>
      </c>
      <c r="E262" s="45" t="s">
        <v>78</v>
      </c>
      <c r="F262" s="30"/>
      <c r="G262" s="31"/>
      <c r="H262" s="31"/>
      <c r="I262" s="31" t="e">
        <f t="shared" si="6"/>
        <v>#DIV/0!</v>
      </c>
      <c r="J262" s="233"/>
    </row>
    <row r="263" spans="1:10" s="47" customFormat="1" ht="18" customHeight="1" hidden="1">
      <c r="A263" s="27" t="s">
        <v>79</v>
      </c>
      <c r="B263" s="28"/>
      <c r="C263" s="45" t="s">
        <v>772</v>
      </c>
      <c r="D263" s="45" t="s">
        <v>705</v>
      </c>
      <c r="E263" s="45" t="s">
        <v>78</v>
      </c>
      <c r="F263" s="30" t="s">
        <v>80</v>
      </c>
      <c r="G263" s="31"/>
      <c r="H263" s="31"/>
      <c r="I263" s="31" t="e">
        <f t="shared" si="6"/>
        <v>#DIV/0!</v>
      </c>
      <c r="J263" s="233"/>
    </row>
    <row r="264" spans="1:10" s="47" customFormat="1" ht="19.5" customHeight="1" hidden="1">
      <c r="A264" s="27" t="s">
        <v>765</v>
      </c>
      <c r="B264" s="28"/>
      <c r="C264" s="45" t="s">
        <v>772</v>
      </c>
      <c r="D264" s="45" t="s">
        <v>705</v>
      </c>
      <c r="E264" s="45" t="s">
        <v>766</v>
      </c>
      <c r="F264" s="30"/>
      <c r="G264" s="31">
        <f>SUM(G265)</f>
        <v>0</v>
      </c>
      <c r="H264" s="31">
        <f>SUM(H265)</f>
        <v>0</v>
      </c>
      <c r="I264" s="31" t="e">
        <f t="shared" si="6"/>
        <v>#DIV/0!</v>
      </c>
      <c r="J264" s="233"/>
    </row>
    <row r="265" spans="1:10" s="47" customFormat="1" ht="18" customHeight="1" hidden="1">
      <c r="A265" s="32" t="s">
        <v>710</v>
      </c>
      <c r="B265" s="28"/>
      <c r="C265" s="45" t="s">
        <v>772</v>
      </c>
      <c r="D265" s="45" t="s">
        <v>705</v>
      </c>
      <c r="E265" s="45" t="s">
        <v>766</v>
      </c>
      <c r="F265" s="30" t="s">
        <v>711</v>
      </c>
      <c r="G265" s="31"/>
      <c r="H265" s="31"/>
      <c r="I265" s="31" t="e">
        <f t="shared" si="6"/>
        <v>#DIV/0!</v>
      </c>
      <c r="J265" s="233"/>
    </row>
    <row r="266" spans="1:10" s="47" customFormat="1" ht="18" customHeight="1">
      <c r="A266" s="94" t="s">
        <v>81</v>
      </c>
      <c r="B266" s="28"/>
      <c r="C266" s="45" t="s">
        <v>772</v>
      </c>
      <c r="D266" s="45" t="s">
        <v>705</v>
      </c>
      <c r="E266" s="45" t="s">
        <v>82</v>
      </c>
      <c r="F266" s="30"/>
      <c r="G266" s="31">
        <f>SUM(G267)</f>
        <v>23537.5</v>
      </c>
      <c r="H266" s="31">
        <f>SUM(H267)</f>
        <v>9483.6</v>
      </c>
      <c r="I266" s="31">
        <f t="shared" si="6"/>
        <v>40.291449814126395</v>
      </c>
      <c r="J266" s="233"/>
    </row>
    <row r="267" spans="1:10" s="47" customFormat="1" ht="18" customHeight="1">
      <c r="A267" s="94" t="s">
        <v>83</v>
      </c>
      <c r="B267" s="28"/>
      <c r="C267" s="45" t="s">
        <v>772</v>
      </c>
      <c r="D267" s="45" t="s">
        <v>705</v>
      </c>
      <c r="E267" s="45" t="s">
        <v>84</v>
      </c>
      <c r="F267" s="30"/>
      <c r="G267" s="31">
        <f>SUM(G268)</f>
        <v>23537.5</v>
      </c>
      <c r="H267" s="31">
        <f>SUM(H268)</f>
        <v>9483.6</v>
      </c>
      <c r="I267" s="31">
        <f t="shared" si="6"/>
        <v>40.291449814126395</v>
      </c>
      <c r="J267" s="233"/>
    </row>
    <row r="268" spans="1:10" s="47" customFormat="1" ht="18" customHeight="1">
      <c r="A268" s="27" t="s">
        <v>4</v>
      </c>
      <c r="B268" s="28"/>
      <c r="C268" s="45" t="s">
        <v>772</v>
      </c>
      <c r="D268" s="45" t="s">
        <v>705</v>
      </c>
      <c r="E268" s="45" t="s">
        <v>84</v>
      </c>
      <c r="F268" s="30" t="s">
        <v>5</v>
      </c>
      <c r="G268" s="31">
        <v>23537.5</v>
      </c>
      <c r="H268" s="31">
        <v>9483.6</v>
      </c>
      <c r="I268" s="31">
        <f t="shared" si="6"/>
        <v>40.291449814126395</v>
      </c>
      <c r="J268" s="228">
        <f>SUM('ведомствен.'!G214+'ведомствен.'!G659)</f>
        <v>23537.5</v>
      </c>
    </row>
    <row r="269" spans="1:10" s="47" customFormat="1" ht="15">
      <c r="A269" s="72" t="s">
        <v>85</v>
      </c>
      <c r="B269" s="44"/>
      <c r="C269" s="45" t="s">
        <v>772</v>
      </c>
      <c r="D269" s="45" t="s">
        <v>705</v>
      </c>
      <c r="E269" s="45" t="s">
        <v>78</v>
      </c>
      <c r="F269" s="33"/>
      <c r="G269" s="31">
        <f>SUM(G270+G272+G274)</f>
        <v>48325.100000000006</v>
      </c>
      <c r="H269" s="31">
        <f>SUM(H270+H272+H274)</f>
        <v>15047</v>
      </c>
      <c r="I269" s="31">
        <f t="shared" si="6"/>
        <v>31.137028169626134</v>
      </c>
      <c r="J269" s="233"/>
    </row>
    <row r="270" spans="1:10" s="47" customFormat="1" ht="42.75" customHeight="1" hidden="1">
      <c r="A270" s="90" t="s">
        <v>86</v>
      </c>
      <c r="B270" s="44"/>
      <c r="C270" s="45" t="s">
        <v>772</v>
      </c>
      <c r="D270" s="45" t="s">
        <v>705</v>
      </c>
      <c r="E270" s="45" t="s">
        <v>87</v>
      </c>
      <c r="F270" s="33"/>
      <c r="G270" s="31">
        <f>SUM(G271)</f>
        <v>0</v>
      </c>
      <c r="H270" s="31">
        <f>SUM(H271)</f>
        <v>0</v>
      </c>
      <c r="I270" s="31" t="e">
        <f t="shared" si="6"/>
        <v>#DIV/0!</v>
      </c>
      <c r="J270" s="233"/>
    </row>
    <row r="271" spans="1:10" s="47" customFormat="1" ht="17.25" customHeight="1" hidden="1">
      <c r="A271" s="27" t="s">
        <v>4</v>
      </c>
      <c r="B271" s="28"/>
      <c r="C271" s="29" t="s">
        <v>772</v>
      </c>
      <c r="D271" s="45" t="s">
        <v>705</v>
      </c>
      <c r="E271" s="45" t="s">
        <v>87</v>
      </c>
      <c r="F271" s="30" t="s">
        <v>5</v>
      </c>
      <c r="G271" s="31"/>
      <c r="H271" s="31"/>
      <c r="I271" s="31" t="e">
        <f t="shared" si="6"/>
        <v>#DIV/0!</v>
      </c>
      <c r="J271" s="233"/>
    </row>
    <row r="272" spans="1:10" s="47" customFormat="1" ht="61.5" customHeight="1" hidden="1">
      <c r="A272" s="90" t="s">
        <v>88</v>
      </c>
      <c r="B272" s="28"/>
      <c r="C272" s="45" t="s">
        <v>772</v>
      </c>
      <c r="D272" s="45" t="s">
        <v>705</v>
      </c>
      <c r="E272" s="45" t="s">
        <v>89</v>
      </c>
      <c r="F272" s="30"/>
      <c r="G272" s="31">
        <f>SUM(G273)</f>
        <v>0</v>
      </c>
      <c r="H272" s="31">
        <f>SUM(H273)</f>
        <v>0</v>
      </c>
      <c r="I272" s="31" t="e">
        <f t="shared" si="6"/>
        <v>#DIV/0!</v>
      </c>
      <c r="J272" s="233"/>
    </row>
    <row r="273" spans="1:10" s="47" customFormat="1" ht="17.25" customHeight="1" hidden="1">
      <c r="A273" s="27" t="s">
        <v>4</v>
      </c>
      <c r="B273" s="28"/>
      <c r="C273" s="45" t="s">
        <v>772</v>
      </c>
      <c r="D273" s="45" t="s">
        <v>705</v>
      </c>
      <c r="E273" s="45" t="s">
        <v>89</v>
      </c>
      <c r="F273" s="30" t="s">
        <v>5</v>
      </c>
      <c r="G273" s="31"/>
      <c r="H273" s="31"/>
      <c r="I273" s="31" t="e">
        <f t="shared" si="6"/>
        <v>#DIV/0!</v>
      </c>
      <c r="J273" s="233"/>
    </row>
    <row r="274" spans="1:10" s="47" customFormat="1" ht="17.25" customHeight="1">
      <c r="A274" s="46" t="s">
        <v>90</v>
      </c>
      <c r="B274" s="44"/>
      <c r="C274" s="45" t="s">
        <v>772</v>
      </c>
      <c r="D274" s="45" t="s">
        <v>705</v>
      </c>
      <c r="E274" s="45" t="s">
        <v>91</v>
      </c>
      <c r="F274" s="33"/>
      <c r="G274" s="31">
        <f>SUM(G275)+G276</f>
        <v>48325.100000000006</v>
      </c>
      <c r="H274" s="31">
        <f>SUM(H275)+H276</f>
        <v>15047</v>
      </c>
      <c r="I274" s="31">
        <f t="shared" si="6"/>
        <v>31.137028169626134</v>
      </c>
      <c r="J274" s="233"/>
    </row>
    <row r="275" spans="1:10" s="47" customFormat="1" ht="14.25" customHeight="1">
      <c r="A275" s="27" t="s">
        <v>4</v>
      </c>
      <c r="B275" s="44"/>
      <c r="C275" s="45" t="s">
        <v>772</v>
      </c>
      <c r="D275" s="45" t="s">
        <v>705</v>
      </c>
      <c r="E275" s="45" t="s">
        <v>91</v>
      </c>
      <c r="F275" s="30" t="s">
        <v>5</v>
      </c>
      <c r="G275" s="64">
        <v>19586.2</v>
      </c>
      <c r="H275" s="64">
        <f>878+4272.1+2990.6</f>
        <v>8140.700000000001</v>
      </c>
      <c r="I275" s="31">
        <f t="shared" si="6"/>
        <v>41.56344773360836</v>
      </c>
      <c r="J275" s="228">
        <f>SUM('ведомствен.'!G221)</f>
        <v>19586.2</v>
      </c>
    </row>
    <row r="276" spans="1:10" s="47" customFormat="1" ht="14.25" customHeight="1">
      <c r="A276" s="32" t="s">
        <v>710</v>
      </c>
      <c r="B276" s="44"/>
      <c r="C276" s="45" t="s">
        <v>772</v>
      </c>
      <c r="D276" s="45" t="s">
        <v>705</v>
      </c>
      <c r="E276" s="45" t="s">
        <v>91</v>
      </c>
      <c r="F276" s="30" t="s">
        <v>711</v>
      </c>
      <c r="G276" s="64">
        <v>28738.9</v>
      </c>
      <c r="H276" s="64">
        <v>6906.3</v>
      </c>
      <c r="I276" s="31">
        <f t="shared" si="6"/>
        <v>24.03119117293981</v>
      </c>
      <c r="J276" s="228">
        <f>SUM('ведомствен.'!G222)+'ведомствен.'!G662</f>
        <v>28738.9</v>
      </c>
    </row>
    <row r="277" spans="1:10" s="47" customFormat="1" ht="15.75" customHeight="1" hidden="1">
      <c r="A277" s="46" t="s">
        <v>881</v>
      </c>
      <c r="B277" s="60"/>
      <c r="C277" s="45" t="s">
        <v>772</v>
      </c>
      <c r="D277" s="45" t="s">
        <v>705</v>
      </c>
      <c r="E277" s="61" t="s">
        <v>882</v>
      </c>
      <c r="F277" s="33"/>
      <c r="G277" s="64">
        <f aca="true" t="shared" si="7" ref="G277:H279">SUM(G278)</f>
        <v>0</v>
      </c>
      <c r="H277" s="64">
        <f t="shared" si="7"/>
        <v>0</v>
      </c>
      <c r="I277" s="31" t="e">
        <f t="shared" si="6"/>
        <v>#DIV/0!</v>
      </c>
      <c r="J277" s="233"/>
    </row>
    <row r="278" spans="1:10" s="47" customFormat="1" ht="15.75" customHeight="1" hidden="1">
      <c r="A278" s="27" t="s">
        <v>53</v>
      </c>
      <c r="B278" s="60"/>
      <c r="C278" s="45" t="s">
        <v>772</v>
      </c>
      <c r="D278" s="45" t="s">
        <v>705</v>
      </c>
      <c r="E278" s="61" t="s">
        <v>54</v>
      </c>
      <c r="F278" s="33"/>
      <c r="G278" s="64">
        <f t="shared" si="7"/>
        <v>0</v>
      </c>
      <c r="H278" s="64">
        <f t="shared" si="7"/>
        <v>0</v>
      </c>
      <c r="I278" s="31" t="e">
        <f t="shared" si="6"/>
        <v>#DIV/0!</v>
      </c>
      <c r="J278" s="233"/>
    </row>
    <row r="279" spans="1:10" s="47" customFormat="1" ht="30.75" customHeight="1" hidden="1">
      <c r="A279" s="46" t="s">
        <v>92</v>
      </c>
      <c r="B279" s="28"/>
      <c r="C279" s="45" t="s">
        <v>772</v>
      </c>
      <c r="D279" s="45" t="s">
        <v>705</v>
      </c>
      <c r="E279" s="61" t="s">
        <v>93</v>
      </c>
      <c r="F279" s="33"/>
      <c r="G279" s="64">
        <f t="shared" si="7"/>
        <v>0</v>
      </c>
      <c r="H279" s="64">
        <f t="shared" si="7"/>
        <v>0</v>
      </c>
      <c r="I279" s="31" t="e">
        <f t="shared" si="6"/>
        <v>#DIV/0!</v>
      </c>
      <c r="J279" s="233"/>
    </row>
    <row r="280" spans="1:10" s="47" customFormat="1" ht="15.75" customHeight="1" hidden="1">
      <c r="A280" s="32" t="s">
        <v>710</v>
      </c>
      <c r="B280" s="44"/>
      <c r="C280" s="45" t="s">
        <v>772</v>
      </c>
      <c r="D280" s="45" t="s">
        <v>705</v>
      </c>
      <c r="E280" s="61" t="s">
        <v>93</v>
      </c>
      <c r="F280" s="30" t="s">
        <v>711</v>
      </c>
      <c r="G280" s="64"/>
      <c r="H280" s="64"/>
      <c r="I280" s="31" t="e">
        <f aca="true" t="shared" si="8" ref="I280:I352">SUM(H280/G280*100)</f>
        <v>#DIV/0!</v>
      </c>
      <c r="J280" s="233"/>
    </row>
    <row r="281" spans="1:10" s="47" customFormat="1" ht="15.75" customHeight="1" hidden="1">
      <c r="A281" s="90" t="s">
        <v>767</v>
      </c>
      <c r="B281" s="95"/>
      <c r="C281" s="60" t="s">
        <v>772</v>
      </c>
      <c r="D281" s="60" t="s">
        <v>705</v>
      </c>
      <c r="E281" s="60" t="s">
        <v>768</v>
      </c>
      <c r="F281" s="65"/>
      <c r="G281" s="64">
        <f>SUM(G282)</f>
        <v>0</v>
      </c>
      <c r="H281" s="64">
        <f>SUM(H282)</f>
        <v>0</v>
      </c>
      <c r="I281" s="31" t="e">
        <f t="shared" si="8"/>
        <v>#DIV/0!</v>
      </c>
      <c r="J281" s="233"/>
    </row>
    <row r="282" spans="1:10" s="47" customFormat="1" ht="15.75" customHeight="1" hidden="1">
      <c r="A282" s="32" t="s">
        <v>710</v>
      </c>
      <c r="B282" s="95"/>
      <c r="C282" s="60" t="s">
        <v>772</v>
      </c>
      <c r="D282" s="60" t="s">
        <v>705</v>
      </c>
      <c r="E282" s="60" t="s">
        <v>768</v>
      </c>
      <c r="F282" s="30" t="s">
        <v>711</v>
      </c>
      <c r="G282" s="64">
        <f>SUM(G283:G286)</f>
        <v>0</v>
      </c>
      <c r="H282" s="64">
        <f>SUM(H283:H286)</f>
        <v>0</v>
      </c>
      <c r="I282" s="31" t="e">
        <f t="shared" si="8"/>
        <v>#DIV/0!</v>
      </c>
      <c r="J282" s="233"/>
    </row>
    <row r="283" spans="1:10" s="47" customFormat="1" ht="27.75" customHeight="1" hidden="1">
      <c r="A283" s="32" t="s">
        <v>94</v>
      </c>
      <c r="B283" s="95"/>
      <c r="C283" s="61" t="s">
        <v>772</v>
      </c>
      <c r="D283" s="61" t="s">
        <v>705</v>
      </c>
      <c r="E283" s="61" t="s">
        <v>95</v>
      </c>
      <c r="F283" s="30" t="s">
        <v>711</v>
      </c>
      <c r="G283" s="64"/>
      <c r="H283" s="64"/>
      <c r="I283" s="31" t="e">
        <f t="shared" si="8"/>
        <v>#DIV/0!</v>
      </c>
      <c r="J283" s="233"/>
    </row>
    <row r="284" spans="1:10" s="47" customFormat="1" ht="34.5" customHeight="1" hidden="1">
      <c r="A284" s="80" t="s">
        <v>96</v>
      </c>
      <c r="B284" s="95"/>
      <c r="C284" s="61" t="s">
        <v>772</v>
      </c>
      <c r="D284" s="61" t="s">
        <v>705</v>
      </c>
      <c r="E284" s="61" t="s">
        <v>97</v>
      </c>
      <c r="F284" s="30" t="s">
        <v>711</v>
      </c>
      <c r="G284" s="64"/>
      <c r="H284" s="64"/>
      <c r="I284" s="31" t="e">
        <f t="shared" si="8"/>
        <v>#DIV/0!</v>
      </c>
      <c r="J284" s="233"/>
    </row>
    <row r="285" spans="1:10" s="47" customFormat="1" ht="26.25" customHeight="1" hidden="1">
      <c r="A285" s="80" t="s">
        <v>98</v>
      </c>
      <c r="B285" s="95"/>
      <c r="C285" s="61" t="s">
        <v>772</v>
      </c>
      <c r="D285" s="61" t="s">
        <v>705</v>
      </c>
      <c r="E285" s="61" t="s">
        <v>99</v>
      </c>
      <c r="F285" s="30" t="s">
        <v>711</v>
      </c>
      <c r="G285" s="64"/>
      <c r="H285" s="64"/>
      <c r="I285" s="31" t="e">
        <f t="shared" si="8"/>
        <v>#DIV/0!</v>
      </c>
      <c r="J285" s="233"/>
    </row>
    <row r="286" spans="1:10" s="47" customFormat="1" ht="35.25" customHeight="1" hidden="1">
      <c r="A286" s="92" t="s">
        <v>100</v>
      </c>
      <c r="B286" s="95"/>
      <c r="C286" s="61" t="s">
        <v>772</v>
      </c>
      <c r="D286" s="61" t="s">
        <v>705</v>
      </c>
      <c r="E286" s="61" t="s">
        <v>101</v>
      </c>
      <c r="F286" s="30"/>
      <c r="G286" s="64">
        <f>SUM(G287)</f>
        <v>0</v>
      </c>
      <c r="H286" s="64">
        <f>SUM(H287)</f>
        <v>0</v>
      </c>
      <c r="I286" s="31" t="e">
        <f t="shared" si="8"/>
        <v>#DIV/0!</v>
      </c>
      <c r="J286" s="233"/>
    </row>
    <row r="287" spans="1:10" s="47" customFormat="1" ht="32.25" customHeight="1" hidden="1">
      <c r="A287" s="80" t="s">
        <v>92</v>
      </c>
      <c r="B287" s="95"/>
      <c r="C287" s="61" t="s">
        <v>772</v>
      </c>
      <c r="D287" s="61" t="s">
        <v>705</v>
      </c>
      <c r="E287" s="61" t="s">
        <v>102</v>
      </c>
      <c r="F287" s="30"/>
      <c r="G287" s="64">
        <f>SUM(G288)</f>
        <v>0</v>
      </c>
      <c r="H287" s="64">
        <f>SUM(H288)</f>
        <v>0</v>
      </c>
      <c r="I287" s="31" t="e">
        <f t="shared" si="8"/>
        <v>#DIV/0!</v>
      </c>
      <c r="J287" s="233"/>
    </row>
    <row r="288" spans="1:10" s="47" customFormat="1" ht="21.75" customHeight="1" hidden="1">
      <c r="A288" s="32" t="s">
        <v>710</v>
      </c>
      <c r="B288" s="95"/>
      <c r="C288" s="61" t="s">
        <v>772</v>
      </c>
      <c r="D288" s="61" t="s">
        <v>705</v>
      </c>
      <c r="E288" s="61" t="s">
        <v>102</v>
      </c>
      <c r="F288" s="30" t="s">
        <v>711</v>
      </c>
      <c r="G288" s="64"/>
      <c r="H288" s="64"/>
      <c r="I288" s="31" t="e">
        <f t="shared" si="8"/>
        <v>#DIV/0!</v>
      </c>
      <c r="J288" s="233"/>
    </row>
    <row r="289" spans="1:10" ht="15" hidden="1">
      <c r="A289" s="103" t="s">
        <v>767</v>
      </c>
      <c r="B289" s="44"/>
      <c r="C289" s="45" t="s">
        <v>772</v>
      </c>
      <c r="D289" s="45" t="s">
        <v>705</v>
      </c>
      <c r="E289" s="45" t="s">
        <v>768</v>
      </c>
      <c r="F289" s="30"/>
      <c r="G289" s="64">
        <f>SUM(G290)</f>
        <v>0</v>
      </c>
      <c r="H289" s="31"/>
      <c r="I289" s="31"/>
      <c r="J289"/>
    </row>
    <row r="290" spans="1:10" ht="15" hidden="1">
      <c r="A290" s="48"/>
      <c r="B290" s="44"/>
      <c r="C290" s="45" t="s">
        <v>772</v>
      </c>
      <c r="D290" s="45" t="s">
        <v>705</v>
      </c>
      <c r="E290" s="45" t="s">
        <v>768</v>
      </c>
      <c r="F290" s="33"/>
      <c r="G290" s="64">
        <f>SUM(G291)</f>
        <v>0</v>
      </c>
      <c r="H290" s="31"/>
      <c r="I290" s="31"/>
      <c r="J290"/>
    </row>
    <row r="291" spans="1:10" ht="15" hidden="1">
      <c r="A291" s="48" t="s">
        <v>710</v>
      </c>
      <c r="B291" s="44"/>
      <c r="C291" s="45" t="s">
        <v>772</v>
      </c>
      <c r="D291" s="45" t="s">
        <v>705</v>
      </c>
      <c r="E291" s="45" t="s">
        <v>768</v>
      </c>
      <c r="F291" s="33" t="s">
        <v>711</v>
      </c>
      <c r="G291" s="64">
        <f>6000-6000</f>
        <v>0</v>
      </c>
      <c r="H291" s="31"/>
      <c r="I291" s="31"/>
      <c r="J291">
        <f>SUM('ведомствен.'!G665)</f>
        <v>0</v>
      </c>
    </row>
    <row r="292" spans="1:10" s="47" customFormat="1" ht="17.25" customHeight="1">
      <c r="A292" s="96" t="s">
        <v>103</v>
      </c>
      <c r="B292" s="44"/>
      <c r="C292" s="45" t="s">
        <v>772</v>
      </c>
      <c r="D292" s="45" t="s">
        <v>713</v>
      </c>
      <c r="E292" s="45"/>
      <c r="F292" s="33"/>
      <c r="G292" s="31">
        <f>SUM(G295+G312)+G293</f>
        <v>280285.10000000003</v>
      </c>
      <c r="H292" s="31">
        <f>SUM(H295+H312)+H293</f>
        <v>71482.59999999999</v>
      </c>
      <c r="I292" s="31">
        <f t="shared" si="8"/>
        <v>25.50353193944308</v>
      </c>
      <c r="J292" s="233"/>
    </row>
    <row r="293" spans="1:10" s="47" customFormat="1" ht="73.5" customHeight="1" hidden="1">
      <c r="A293" s="97" t="s">
        <v>104</v>
      </c>
      <c r="B293" s="44"/>
      <c r="C293" s="45" t="s">
        <v>772</v>
      </c>
      <c r="D293" s="45" t="s">
        <v>713</v>
      </c>
      <c r="E293" s="45" t="s">
        <v>105</v>
      </c>
      <c r="F293" s="33"/>
      <c r="G293" s="31">
        <f>SUM(G294)</f>
        <v>0</v>
      </c>
      <c r="H293" s="31">
        <f>SUM(H294)</f>
        <v>0</v>
      </c>
      <c r="I293" s="31" t="e">
        <f t="shared" si="8"/>
        <v>#DIV/0!</v>
      </c>
      <c r="J293" s="233"/>
    </row>
    <row r="294" spans="1:10" s="47" customFormat="1" ht="64.5" customHeight="1" hidden="1">
      <c r="A294" s="97" t="s">
        <v>106</v>
      </c>
      <c r="B294" s="44"/>
      <c r="C294" s="45" t="s">
        <v>772</v>
      </c>
      <c r="D294" s="45" t="s">
        <v>713</v>
      </c>
      <c r="E294" s="45" t="s">
        <v>105</v>
      </c>
      <c r="F294" s="33" t="s">
        <v>107</v>
      </c>
      <c r="G294" s="31">
        <f>SUM('[1]Ведомств.'!F218)</f>
        <v>0</v>
      </c>
      <c r="H294" s="31">
        <f>SUM('[1]Ведомств.'!G218)</f>
        <v>0</v>
      </c>
      <c r="I294" s="31" t="e">
        <f t="shared" si="8"/>
        <v>#DIV/0!</v>
      </c>
      <c r="J294" s="233"/>
    </row>
    <row r="295" spans="1:10" s="47" customFormat="1" ht="15">
      <c r="A295" s="96" t="s">
        <v>103</v>
      </c>
      <c r="B295" s="60"/>
      <c r="C295" s="45" t="s">
        <v>772</v>
      </c>
      <c r="D295" s="45" t="s">
        <v>713</v>
      </c>
      <c r="E295" s="61" t="s">
        <v>108</v>
      </c>
      <c r="F295" s="62"/>
      <c r="G295" s="31">
        <f>SUM(G296+G301+G306+G309)+G304</f>
        <v>278385.10000000003</v>
      </c>
      <c r="H295" s="31">
        <f>SUM(H296+H301+H306+H309)+H304</f>
        <v>71087.2</v>
      </c>
      <c r="I295" s="31">
        <f t="shared" si="8"/>
        <v>25.535562068515876</v>
      </c>
      <c r="J295" s="233"/>
    </row>
    <row r="296" spans="1:10" s="47" customFormat="1" ht="15">
      <c r="A296" s="90" t="s">
        <v>109</v>
      </c>
      <c r="B296" s="95"/>
      <c r="C296" s="45" t="s">
        <v>772</v>
      </c>
      <c r="D296" s="45" t="s">
        <v>713</v>
      </c>
      <c r="E296" s="61" t="s">
        <v>110</v>
      </c>
      <c r="F296" s="62"/>
      <c r="G296" s="31">
        <f>SUM(G297:G299)</f>
        <v>35963.1</v>
      </c>
      <c r="H296" s="31">
        <f>SUM(H298:H299)</f>
        <v>20816.7</v>
      </c>
      <c r="I296" s="31">
        <f t="shared" si="8"/>
        <v>57.883497251349304</v>
      </c>
      <c r="J296" s="233"/>
    </row>
    <row r="297" spans="1:10" s="119" customFormat="1" ht="15.75" customHeight="1">
      <c r="A297" s="27" t="s">
        <v>4</v>
      </c>
      <c r="B297" s="95"/>
      <c r="C297" s="45" t="s">
        <v>772</v>
      </c>
      <c r="D297" s="45" t="s">
        <v>713</v>
      </c>
      <c r="E297" s="61" t="s">
        <v>110</v>
      </c>
      <c r="F297" s="62" t="s">
        <v>5</v>
      </c>
      <c r="G297" s="31">
        <v>1500</v>
      </c>
      <c r="H297" s="31"/>
      <c r="I297" s="31"/>
      <c r="J297" s="228">
        <f>SUM('ведомствен.'!G240)</f>
        <v>1500</v>
      </c>
    </row>
    <row r="298" spans="1:10" s="47" customFormat="1" ht="15">
      <c r="A298" s="32" t="s">
        <v>710</v>
      </c>
      <c r="B298" s="95"/>
      <c r="C298" s="45" t="s">
        <v>772</v>
      </c>
      <c r="D298" s="45" t="s">
        <v>713</v>
      </c>
      <c r="E298" s="61" t="s">
        <v>110</v>
      </c>
      <c r="F298" s="62" t="s">
        <v>711</v>
      </c>
      <c r="G298" s="31">
        <f>32463.1+1500+2000-1500</f>
        <v>34463.1</v>
      </c>
      <c r="H298" s="31">
        <v>20816.7</v>
      </c>
      <c r="I298" s="31">
        <f t="shared" si="8"/>
        <v>60.4028656737206</v>
      </c>
      <c r="J298" s="228">
        <f>SUM('ведомствен.'!G241)</f>
        <v>34463.1</v>
      </c>
    </row>
    <row r="299" spans="1:10" s="47" customFormat="1" ht="57" customHeight="1" hidden="1">
      <c r="A299" s="32" t="s">
        <v>757</v>
      </c>
      <c r="B299" s="95"/>
      <c r="C299" s="45" t="s">
        <v>772</v>
      </c>
      <c r="D299" s="45" t="s">
        <v>713</v>
      </c>
      <c r="E299" s="61" t="s">
        <v>111</v>
      </c>
      <c r="F299" s="62"/>
      <c r="G299" s="31">
        <f>SUM(G300)</f>
        <v>0</v>
      </c>
      <c r="H299" s="31">
        <f>SUM(H300)</f>
        <v>0</v>
      </c>
      <c r="I299" s="31" t="e">
        <f t="shared" si="8"/>
        <v>#DIV/0!</v>
      </c>
      <c r="J299" s="233"/>
    </row>
    <row r="300" spans="1:10" s="47" customFormat="1" ht="15" customHeight="1" hidden="1">
      <c r="A300" s="32" t="s">
        <v>710</v>
      </c>
      <c r="B300" s="95"/>
      <c r="C300" s="45" t="s">
        <v>772</v>
      </c>
      <c r="D300" s="45" t="s">
        <v>713</v>
      </c>
      <c r="E300" s="61" t="s">
        <v>111</v>
      </c>
      <c r="F300" s="62" t="s">
        <v>711</v>
      </c>
      <c r="G300" s="31"/>
      <c r="H300" s="31"/>
      <c r="I300" s="31" t="e">
        <f t="shared" si="8"/>
        <v>#DIV/0!</v>
      </c>
      <c r="J300" s="233"/>
    </row>
    <row r="301" spans="1:10" s="47" customFormat="1" ht="42.75">
      <c r="A301" s="90" t="s">
        <v>112</v>
      </c>
      <c r="B301" s="95"/>
      <c r="C301" s="45" t="s">
        <v>772</v>
      </c>
      <c r="D301" s="45" t="s">
        <v>713</v>
      </c>
      <c r="E301" s="61" t="s">
        <v>113</v>
      </c>
      <c r="F301" s="62"/>
      <c r="G301" s="31">
        <f>SUM(G303+G302)</f>
        <v>219133.2</v>
      </c>
      <c r="H301" s="31">
        <f>SUM(H303)</f>
        <v>43097.5</v>
      </c>
      <c r="I301" s="31">
        <f t="shared" si="8"/>
        <v>19.667261738522505</v>
      </c>
      <c r="J301" s="233"/>
    </row>
    <row r="302" spans="1:10" s="47" customFormat="1" ht="15">
      <c r="A302" s="27" t="s">
        <v>4</v>
      </c>
      <c r="B302" s="95"/>
      <c r="C302" s="45" t="s">
        <v>772</v>
      </c>
      <c r="D302" s="45" t="s">
        <v>713</v>
      </c>
      <c r="E302" s="61" t="s">
        <v>113</v>
      </c>
      <c r="F302" s="62" t="s">
        <v>5</v>
      </c>
      <c r="G302" s="31">
        <f>11600+3000</f>
        <v>14600</v>
      </c>
      <c r="H302" s="31"/>
      <c r="I302" s="31"/>
      <c r="J302" s="233">
        <f>SUM('ведомствен.'!G245)</f>
        <v>14600</v>
      </c>
    </row>
    <row r="303" spans="1:10" s="47" customFormat="1" ht="15">
      <c r="A303" s="32" t="s">
        <v>710</v>
      </c>
      <c r="B303" s="95"/>
      <c r="C303" s="45" t="s">
        <v>772</v>
      </c>
      <c r="D303" s="45" t="s">
        <v>713</v>
      </c>
      <c r="E303" s="61" t="s">
        <v>113</v>
      </c>
      <c r="F303" s="62" t="s">
        <v>711</v>
      </c>
      <c r="G303" s="31">
        <f>53950+150000+11600+583.2-11600</f>
        <v>204533.2</v>
      </c>
      <c r="H303" s="31">
        <v>43097.5</v>
      </c>
      <c r="I303" s="31">
        <f t="shared" si="8"/>
        <v>21.07115128497476</v>
      </c>
      <c r="J303" s="228">
        <f>SUM('ведомствен.'!G246)</f>
        <v>204533.2</v>
      </c>
    </row>
    <row r="304" spans="1:10" s="47" customFormat="1" ht="57">
      <c r="A304" s="32" t="s">
        <v>114</v>
      </c>
      <c r="B304" s="95"/>
      <c r="C304" s="45" t="s">
        <v>772</v>
      </c>
      <c r="D304" s="45" t="s">
        <v>713</v>
      </c>
      <c r="E304" s="61" t="s">
        <v>115</v>
      </c>
      <c r="F304" s="62"/>
      <c r="G304" s="31">
        <f>SUM(G305)</f>
        <v>2672.3</v>
      </c>
      <c r="H304" s="31">
        <f>SUM(H305)</f>
        <v>482.9</v>
      </c>
      <c r="I304" s="31">
        <f t="shared" si="8"/>
        <v>18.070575908393515</v>
      </c>
      <c r="J304" s="233"/>
    </row>
    <row r="305" spans="1:10" s="47" customFormat="1" ht="14.25" customHeight="1">
      <c r="A305" s="32" t="s">
        <v>710</v>
      </c>
      <c r="B305" s="95"/>
      <c r="C305" s="45" t="s">
        <v>772</v>
      </c>
      <c r="D305" s="45" t="s">
        <v>713</v>
      </c>
      <c r="E305" s="61" t="s">
        <v>115</v>
      </c>
      <c r="F305" s="62" t="s">
        <v>711</v>
      </c>
      <c r="G305" s="31">
        <v>2672.3</v>
      </c>
      <c r="H305" s="31">
        <v>482.9</v>
      </c>
      <c r="I305" s="31">
        <f t="shared" si="8"/>
        <v>18.070575908393515</v>
      </c>
      <c r="J305" s="228">
        <f>SUM('ведомствен.'!G248)</f>
        <v>2672.3</v>
      </c>
    </row>
    <row r="306" spans="1:10" s="47" customFormat="1" ht="15">
      <c r="A306" s="90" t="s">
        <v>116</v>
      </c>
      <c r="B306" s="95"/>
      <c r="C306" s="45" t="s">
        <v>772</v>
      </c>
      <c r="D306" s="45" t="s">
        <v>713</v>
      </c>
      <c r="E306" s="60" t="s">
        <v>117</v>
      </c>
      <c r="F306" s="65"/>
      <c r="G306" s="31">
        <f>SUM(G308+G307)</f>
        <v>1012.0999999999999</v>
      </c>
      <c r="H306" s="31">
        <f>SUM(H308)</f>
        <v>489.8</v>
      </c>
      <c r="I306" s="31">
        <f t="shared" si="8"/>
        <v>48.394427428119755</v>
      </c>
      <c r="J306" s="233"/>
    </row>
    <row r="307" spans="1:10" ht="16.5" customHeight="1">
      <c r="A307" s="27" t="s">
        <v>4</v>
      </c>
      <c r="B307" s="95"/>
      <c r="C307" s="45" t="s">
        <v>772</v>
      </c>
      <c r="D307" s="45" t="s">
        <v>713</v>
      </c>
      <c r="E307" s="61" t="s">
        <v>117</v>
      </c>
      <c r="F307" s="65" t="s">
        <v>5</v>
      </c>
      <c r="G307" s="31">
        <v>294.8</v>
      </c>
      <c r="H307" s="31"/>
      <c r="I307" s="31"/>
      <c r="J307">
        <f>SUM('ведомствен.'!G250)</f>
        <v>294.8</v>
      </c>
    </row>
    <row r="308" spans="1:10" s="47" customFormat="1" ht="19.5" customHeight="1">
      <c r="A308" s="32" t="s">
        <v>710</v>
      </c>
      <c r="B308" s="95"/>
      <c r="C308" s="45" t="s">
        <v>772</v>
      </c>
      <c r="D308" s="45" t="s">
        <v>713</v>
      </c>
      <c r="E308" s="60" t="s">
        <v>117</v>
      </c>
      <c r="F308" s="65" t="s">
        <v>711</v>
      </c>
      <c r="G308" s="31">
        <f>800-82.7</f>
        <v>717.3</v>
      </c>
      <c r="H308" s="31">
        <v>489.8</v>
      </c>
      <c r="I308" s="31">
        <f t="shared" si="8"/>
        <v>68.28384218597519</v>
      </c>
      <c r="J308" s="228">
        <f>SUM('ведомствен.'!G251)</f>
        <v>717.3</v>
      </c>
    </row>
    <row r="309" spans="1:10" s="47" customFormat="1" ht="28.5">
      <c r="A309" s="90" t="s">
        <v>118</v>
      </c>
      <c r="B309" s="95"/>
      <c r="C309" s="45" t="s">
        <v>772</v>
      </c>
      <c r="D309" s="45" t="s">
        <v>713</v>
      </c>
      <c r="E309" s="61" t="s">
        <v>119</v>
      </c>
      <c r="F309" s="65"/>
      <c r="G309" s="31">
        <f>SUM(G311+G310)</f>
        <v>19604.4</v>
      </c>
      <c r="H309" s="31">
        <f>SUM(H311)</f>
        <v>6200.3</v>
      </c>
      <c r="I309" s="31">
        <f t="shared" si="8"/>
        <v>31.62708371590051</v>
      </c>
      <c r="J309" s="233"/>
    </row>
    <row r="310" spans="1:10" s="204" customFormat="1" ht="15">
      <c r="A310" s="27" t="s">
        <v>4</v>
      </c>
      <c r="B310" s="95"/>
      <c r="C310" s="45" t="s">
        <v>772</v>
      </c>
      <c r="D310" s="45" t="s">
        <v>713</v>
      </c>
      <c r="E310" s="61" t="s">
        <v>119</v>
      </c>
      <c r="F310" s="62" t="s">
        <v>5</v>
      </c>
      <c r="G310" s="31">
        <f>190.2+250</f>
        <v>440.2</v>
      </c>
      <c r="H310" s="31"/>
      <c r="I310" s="31"/>
      <c r="J310" s="280">
        <f>SUM('ведомствен.'!G253)</f>
        <v>440.2</v>
      </c>
    </row>
    <row r="311" spans="1:10" s="47" customFormat="1" ht="14.25" customHeight="1">
      <c r="A311" s="32" t="s">
        <v>710</v>
      </c>
      <c r="B311" s="95"/>
      <c r="C311" s="45" t="s">
        <v>772</v>
      </c>
      <c r="D311" s="45" t="s">
        <v>713</v>
      </c>
      <c r="E311" s="60" t="s">
        <v>119</v>
      </c>
      <c r="F311" s="65" t="s">
        <v>711</v>
      </c>
      <c r="G311" s="31">
        <v>19164.2</v>
      </c>
      <c r="H311" s="31">
        <v>6200.3</v>
      </c>
      <c r="I311" s="31">
        <f t="shared" si="8"/>
        <v>32.35355506621722</v>
      </c>
      <c r="J311" s="228">
        <f>SUM('ведомствен.'!G254)</f>
        <v>19164.2</v>
      </c>
    </row>
    <row r="312" spans="1:10" s="47" customFormat="1" ht="15">
      <c r="A312" s="90" t="s">
        <v>767</v>
      </c>
      <c r="B312" s="95"/>
      <c r="C312" s="45" t="s">
        <v>772</v>
      </c>
      <c r="D312" s="45" t="s">
        <v>713</v>
      </c>
      <c r="E312" s="60" t="s">
        <v>768</v>
      </c>
      <c r="F312" s="65"/>
      <c r="G312" s="31">
        <f>SUM(G313,G317)</f>
        <v>1900</v>
      </c>
      <c r="H312" s="31">
        <f>SUM(H313)</f>
        <v>395.4</v>
      </c>
      <c r="I312" s="31">
        <f t="shared" si="8"/>
        <v>20.810526315789474</v>
      </c>
      <c r="J312" s="233"/>
    </row>
    <row r="313" spans="1:10" s="47" customFormat="1" ht="29.25" customHeight="1">
      <c r="A313" s="32" t="s">
        <v>122</v>
      </c>
      <c r="B313" s="95"/>
      <c r="C313" s="45" t="s">
        <v>772</v>
      </c>
      <c r="D313" s="45" t="s">
        <v>713</v>
      </c>
      <c r="E313" s="61" t="s">
        <v>95</v>
      </c>
      <c r="F313" s="65"/>
      <c r="G313" s="31">
        <f>SUM(G314:G316)</f>
        <v>600</v>
      </c>
      <c r="H313" s="31">
        <f>SUM(H314:H316)</f>
        <v>395.4</v>
      </c>
      <c r="I313" s="31">
        <f t="shared" si="8"/>
        <v>65.89999999999999</v>
      </c>
      <c r="J313" s="228"/>
    </row>
    <row r="314" spans="1:10" s="85" customFormat="1" ht="36.75" customHeight="1" hidden="1">
      <c r="A314" s="80" t="s">
        <v>120</v>
      </c>
      <c r="B314" s="98"/>
      <c r="C314" s="45" t="s">
        <v>772</v>
      </c>
      <c r="D314" s="45" t="s">
        <v>713</v>
      </c>
      <c r="E314" s="61" t="s">
        <v>121</v>
      </c>
      <c r="F314" s="62" t="s">
        <v>711</v>
      </c>
      <c r="G314" s="64"/>
      <c r="H314" s="64"/>
      <c r="I314" s="31" t="e">
        <f t="shared" si="8"/>
        <v>#DIV/0!</v>
      </c>
      <c r="J314" s="234"/>
    </row>
    <row r="315" spans="1:10" s="85" customFormat="1" ht="23.25" customHeight="1">
      <c r="A315" s="32" t="s">
        <v>710</v>
      </c>
      <c r="B315" s="95"/>
      <c r="C315" s="45" t="s">
        <v>772</v>
      </c>
      <c r="D315" s="45" t="s">
        <v>713</v>
      </c>
      <c r="E315" s="61" t="s">
        <v>95</v>
      </c>
      <c r="F315" s="30" t="s">
        <v>711</v>
      </c>
      <c r="G315" s="64">
        <v>600</v>
      </c>
      <c r="H315" s="64">
        <v>395.4</v>
      </c>
      <c r="I315" s="31">
        <f t="shared" si="8"/>
        <v>65.89999999999999</v>
      </c>
      <c r="J315" s="228">
        <f>SUM('ведомствен.'!G257)</f>
        <v>600</v>
      </c>
    </row>
    <row r="316" spans="1:10" s="85" customFormat="1" ht="46.5" customHeight="1" hidden="1">
      <c r="A316" s="99" t="s">
        <v>123</v>
      </c>
      <c r="B316" s="98"/>
      <c r="C316" s="45" t="s">
        <v>772</v>
      </c>
      <c r="D316" s="45" t="s">
        <v>713</v>
      </c>
      <c r="E316" s="61" t="s">
        <v>124</v>
      </c>
      <c r="F316" s="62" t="s">
        <v>711</v>
      </c>
      <c r="G316" s="64"/>
      <c r="H316" s="64"/>
      <c r="I316" s="31" t="e">
        <f t="shared" si="8"/>
        <v>#DIV/0!</v>
      </c>
      <c r="J316" s="234"/>
    </row>
    <row r="317" spans="1:10" ht="28.5">
      <c r="A317" s="43" t="s">
        <v>223</v>
      </c>
      <c r="B317" s="28"/>
      <c r="C317" s="40" t="s">
        <v>772</v>
      </c>
      <c r="D317" s="40" t="s">
        <v>713</v>
      </c>
      <c r="E317" s="40" t="s">
        <v>536</v>
      </c>
      <c r="F317" s="33"/>
      <c r="G317" s="64">
        <f>SUM(G318)</f>
        <v>1300</v>
      </c>
      <c r="H317" s="64"/>
      <c r="I317" s="31"/>
      <c r="J317"/>
    </row>
    <row r="318" spans="1:10" ht="15">
      <c r="A318" s="43" t="s">
        <v>4</v>
      </c>
      <c r="B318" s="28"/>
      <c r="C318" s="40" t="s">
        <v>772</v>
      </c>
      <c r="D318" s="40" t="s">
        <v>713</v>
      </c>
      <c r="E318" s="40" t="s">
        <v>156</v>
      </c>
      <c r="F318" s="33" t="s">
        <v>5</v>
      </c>
      <c r="G318" s="64">
        <v>1300</v>
      </c>
      <c r="H318" s="64"/>
      <c r="I318" s="31"/>
      <c r="J318">
        <f>SUM('ведомствен.'!G261)</f>
        <v>1300</v>
      </c>
    </row>
    <row r="319" spans="1:9" ht="32.25" customHeight="1">
      <c r="A319" s="72" t="s">
        <v>125</v>
      </c>
      <c r="B319" s="28"/>
      <c r="C319" s="45" t="s">
        <v>772</v>
      </c>
      <c r="D319" s="45" t="s">
        <v>772</v>
      </c>
      <c r="E319" s="45"/>
      <c r="F319" s="34"/>
      <c r="G319" s="31">
        <f>SUM(G320+G324+G339+G327)+G335</f>
        <v>16625</v>
      </c>
      <c r="H319" s="31">
        <f>SUM(H320+H324+H339+H327)+H335</f>
        <v>7261.6</v>
      </c>
      <c r="I319" s="31">
        <f t="shared" si="8"/>
        <v>43.6787969924812</v>
      </c>
    </row>
    <row r="320" spans="1:10" s="47" customFormat="1" ht="30.75" customHeight="1">
      <c r="A320" s="43" t="s">
        <v>812</v>
      </c>
      <c r="B320" s="44"/>
      <c r="C320" s="45" t="s">
        <v>772</v>
      </c>
      <c r="D320" s="45" t="s">
        <v>772</v>
      </c>
      <c r="E320" s="45" t="s">
        <v>751</v>
      </c>
      <c r="F320" s="33"/>
      <c r="G320" s="31">
        <f>SUM(G321)</f>
        <v>4000</v>
      </c>
      <c r="H320" s="31">
        <f>SUM(H321)</f>
        <v>0</v>
      </c>
      <c r="I320" s="31">
        <f t="shared" si="8"/>
        <v>0</v>
      </c>
      <c r="J320" s="233"/>
    </row>
    <row r="321" spans="1:10" s="47" customFormat="1" ht="30.75" customHeight="1">
      <c r="A321" s="46" t="s">
        <v>752</v>
      </c>
      <c r="B321" s="28"/>
      <c r="C321" s="45" t="s">
        <v>772</v>
      </c>
      <c r="D321" s="45" t="s">
        <v>772</v>
      </c>
      <c r="E321" s="45" t="s">
        <v>126</v>
      </c>
      <c r="F321" s="34"/>
      <c r="G321" s="31">
        <f>SUM(G323)</f>
        <v>4000</v>
      </c>
      <c r="H321" s="31">
        <f>SUM(H323)</f>
        <v>0</v>
      </c>
      <c r="I321" s="31">
        <f t="shared" si="8"/>
        <v>0</v>
      </c>
      <c r="J321" s="233"/>
    </row>
    <row r="322" spans="1:10" s="47" customFormat="1" ht="30.75" customHeight="1">
      <c r="A322" s="46" t="s">
        <v>127</v>
      </c>
      <c r="B322" s="28"/>
      <c r="C322" s="45" t="s">
        <v>772</v>
      </c>
      <c r="D322" s="45" t="s">
        <v>772</v>
      </c>
      <c r="E322" s="45" t="s">
        <v>128</v>
      </c>
      <c r="F322" s="34"/>
      <c r="G322" s="31">
        <f>SUM(G323)</f>
        <v>4000</v>
      </c>
      <c r="H322" s="31">
        <f>SUM(H323)</f>
        <v>0</v>
      </c>
      <c r="I322" s="31">
        <f t="shared" si="8"/>
        <v>0</v>
      </c>
      <c r="J322" s="233"/>
    </row>
    <row r="323" spans="1:10" s="47" customFormat="1" ht="16.5" customHeight="1">
      <c r="A323" s="43" t="s">
        <v>129</v>
      </c>
      <c r="B323" s="28"/>
      <c r="C323" s="45" t="s">
        <v>772</v>
      </c>
      <c r="D323" s="45" t="s">
        <v>772</v>
      </c>
      <c r="E323" s="45" t="s">
        <v>128</v>
      </c>
      <c r="F323" s="33" t="s">
        <v>816</v>
      </c>
      <c r="G323" s="64">
        <v>4000</v>
      </c>
      <c r="H323" s="64"/>
      <c r="I323" s="31">
        <f t="shared" si="8"/>
        <v>0</v>
      </c>
      <c r="J323" s="228">
        <f>SUM('ведомствен.'!G269)</f>
        <v>4000</v>
      </c>
    </row>
    <row r="324" spans="1:9" ht="30" customHeight="1" hidden="1">
      <c r="A324" s="46" t="s">
        <v>130</v>
      </c>
      <c r="B324" s="28"/>
      <c r="C324" s="45" t="s">
        <v>772</v>
      </c>
      <c r="D324" s="45" t="s">
        <v>772</v>
      </c>
      <c r="E324" s="45" t="s">
        <v>131</v>
      </c>
      <c r="F324" s="34"/>
      <c r="G324" s="31">
        <f>SUM(G325)</f>
        <v>0</v>
      </c>
      <c r="H324" s="31">
        <f>SUM(H325)</f>
        <v>0</v>
      </c>
      <c r="I324" s="31" t="e">
        <f t="shared" si="8"/>
        <v>#DIV/0!</v>
      </c>
    </row>
    <row r="325" spans="1:9" ht="30.75" customHeight="1" hidden="1">
      <c r="A325" s="46" t="s">
        <v>92</v>
      </c>
      <c r="B325" s="28"/>
      <c r="C325" s="45" t="s">
        <v>772</v>
      </c>
      <c r="D325" s="45" t="s">
        <v>772</v>
      </c>
      <c r="E325" s="45" t="s">
        <v>132</v>
      </c>
      <c r="F325" s="34"/>
      <c r="G325" s="31">
        <f>SUM(G326)</f>
        <v>0</v>
      </c>
      <c r="H325" s="31">
        <f>SUM(H326)</f>
        <v>0</v>
      </c>
      <c r="I325" s="31" t="e">
        <f t="shared" si="8"/>
        <v>#DIV/0!</v>
      </c>
    </row>
    <row r="326" spans="1:9" ht="15.75" customHeight="1" hidden="1">
      <c r="A326" s="43" t="s">
        <v>129</v>
      </c>
      <c r="B326" s="28"/>
      <c r="C326" s="45" t="s">
        <v>772</v>
      </c>
      <c r="D326" s="45" t="s">
        <v>772</v>
      </c>
      <c r="E326" s="45" t="s">
        <v>132</v>
      </c>
      <c r="F326" s="33" t="s">
        <v>816</v>
      </c>
      <c r="G326" s="64">
        <f>SUM('[1]Ведомств.'!F241)</f>
        <v>0</v>
      </c>
      <c r="H326" s="64">
        <f>SUM('[1]Ведомств.'!G241)</f>
        <v>0</v>
      </c>
      <c r="I326" s="31" t="e">
        <f t="shared" si="8"/>
        <v>#DIV/0!</v>
      </c>
    </row>
    <row r="327" spans="1:9" ht="21.75" customHeight="1">
      <c r="A327" s="46" t="s">
        <v>881</v>
      </c>
      <c r="B327" s="60"/>
      <c r="C327" s="45" t="s">
        <v>772</v>
      </c>
      <c r="D327" s="45" t="s">
        <v>772</v>
      </c>
      <c r="E327" s="61" t="s">
        <v>882</v>
      </c>
      <c r="F327" s="33"/>
      <c r="G327" s="64">
        <f>SUM(G328+G333)</f>
        <v>8738.400000000001</v>
      </c>
      <c r="H327" s="64">
        <f>SUM(H328+H333)</f>
        <v>4731.200000000001</v>
      </c>
      <c r="I327" s="31">
        <f t="shared" si="8"/>
        <v>54.14263480728737</v>
      </c>
    </row>
    <row r="328" spans="1:9" ht="42.75" customHeight="1">
      <c r="A328" s="27" t="s">
        <v>53</v>
      </c>
      <c r="B328" s="60"/>
      <c r="C328" s="45" t="s">
        <v>772</v>
      </c>
      <c r="D328" s="45" t="s">
        <v>772</v>
      </c>
      <c r="E328" s="61" t="s">
        <v>54</v>
      </c>
      <c r="F328" s="33"/>
      <c r="G328" s="64">
        <f>SUM(G329+G331)</f>
        <v>8738.400000000001</v>
      </c>
      <c r="H328" s="64">
        <f>SUM(H329+H331)</f>
        <v>4731.200000000001</v>
      </c>
      <c r="I328" s="31">
        <f t="shared" si="8"/>
        <v>54.14263480728737</v>
      </c>
    </row>
    <row r="329" spans="1:9" ht="32.25" customHeight="1">
      <c r="A329" s="46" t="s">
        <v>92</v>
      </c>
      <c r="B329" s="28"/>
      <c r="C329" s="45" t="s">
        <v>772</v>
      </c>
      <c r="D329" s="45" t="s">
        <v>772</v>
      </c>
      <c r="E329" s="61" t="s">
        <v>93</v>
      </c>
      <c r="F329" s="33"/>
      <c r="G329" s="64">
        <f>SUM(G330+G338)</f>
        <v>8738.400000000001</v>
      </c>
      <c r="H329" s="64">
        <f>SUM(H330+H338)</f>
        <v>4731.200000000001</v>
      </c>
      <c r="I329" s="31">
        <f t="shared" si="8"/>
        <v>54.14263480728737</v>
      </c>
    </row>
    <row r="330" spans="1:10" ht="15.75" customHeight="1">
      <c r="A330" s="43" t="s">
        <v>129</v>
      </c>
      <c r="B330" s="28"/>
      <c r="C330" s="45" t="s">
        <v>772</v>
      </c>
      <c r="D330" s="45" t="s">
        <v>772</v>
      </c>
      <c r="E330" s="61" t="s">
        <v>93</v>
      </c>
      <c r="F330" s="33" t="s">
        <v>816</v>
      </c>
      <c r="G330" s="64">
        <f>5270-600.4-850.2</f>
        <v>3819.4000000000005</v>
      </c>
      <c r="H330" s="64">
        <v>2740.8</v>
      </c>
      <c r="I330" s="31">
        <f t="shared" si="8"/>
        <v>71.7599622977431</v>
      </c>
      <c r="J330" s="228">
        <f>SUM('ведомствен.'!G273)</f>
        <v>3819.4000000000005</v>
      </c>
    </row>
    <row r="331" spans="1:9" ht="28.5" customHeight="1" hidden="1">
      <c r="A331" s="43" t="s">
        <v>133</v>
      </c>
      <c r="B331" s="28"/>
      <c r="C331" s="45" t="s">
        <v>772</v>
      </c>
      <c r="D331" s="45" t="s">
        <v>772</v>
      </c>
      <c r="E331" s="61" t="s">
        <v>134</v>
      </c>
      <c r="F331" s="33"/>
      <c r="G331" s="64">
        <f>SUM(G332)</f>
        <v>0</v>
      </c>
      <c r="H331" s="64">
        <f>SUM(H332)</f>
        <v>0</v>
      </c>
      <c r="I331" s="31" t="e">
        <f t="shared" si="8"/>
        <v>#DIV/0!</v>
      </c>
    </row>
    <row r="332" spans="1:9" ht="15" customHeight="1" hidden="1">
      <c r="A332" s="43" t="s">
        <v>129</v>
      </c>
      <c r="B332" s="28"/>
      <c r="C332" s="45" t="s">
        <v>772</v>
      </c>
      <c r="D332" s="45" t="s">
        <v>772</v>
      </c>
      <c r="E332" s="61" t="s">
        <v>134</v>
      </c>
      <c r="F332" s="33" t="s">
        <v>816</v>
      </c>
      <c r="G332" s="64"/>
      <c r="H332" s="64"/>
      <c r="I332" s="31" t="e">
        <f t="shared" si="8"/>
        <v>#DIV/0!</v>
      </c>
    </row>
    <row r="333" spans="1:9" ht="28.5" customHeight="1" hidden="1">
      <c r="A333" s="43" t="s">
        <v>135</v>
      </c>
      <c r="B333" s="28"/>
      <c r="C333" s="45" t="s">
        <v>772</v>
      </c>
      <c r="D333" s="45" t="s">
        <v>772</v>
      </c>
      <c r="E333" s="61" t="s">
        <v>136</v>
      </c>
      <c r="F333" s="33"/>
      <c r="G333" s="64">
        <f>SUM(G334)</f>
        <v>0</v>
      </c>
      <c r="H333" s="64">
        <f>SUM(H334)</f>
        <v>0</v>
      </c>
      <c r="I333" s="31" t="e">
        <f t="shared" si="8"/>
        <v>#DIV/0!</v>
      </c>
    </row>
    <row r="334" spans="1:9" ht="15" customHeight="1" hidden="1">
      <c r="A334" s="43" t="s">
        <v>129</v>
      </c>
      <c r="B334" s="28"/>
      <c r="C334" s="45" t="s">
        <v>772</v>
      </c>
      <c r="D334" s="45" t="s">
        <v>772</v>
      </c>
      <c r="E334" s="61" t="s">
        <v>136</v>
      </c>
      <c r="F334" s="33" t="s">
        <v>816</v>
      </c>
      <c r="G334" s="64"/>
      <c r="H334" s="64"/>
      <c r="I334" s="31" t="e">
        <f t="shared" si="8"/>
        <v>#DIV/0!</v>
      </c>
    </row>
    <row r="335" spans="1:9" ht="28.5" customHeight="1" hidden="1">
      <c r="A335" s="83" t="s">
        <v>137</v>
      </c>
      <c r="B335" s="28"/>
      <c r="C335" s="45" t="s">
        <v>772</v>
      </c>
      <c r="D335" s="45" t="s">
        <v>772</v>
      </c>
      <c r="E335" s="61" t="s">
        <v>138</v>
      </c>
      <c r="F335" s="33"/>
      <c r="G335" s="64">
        <f>SUM(G336)</f>
        <v>0</v>
      </c>
      <c r="H335" s="64">
        <f>SUM(H336)</f>
        <v>0</v>
      </c>
      <c r="I335" s="31" t="e">
        <f t="shared" si="8"/>
        <v>#DIV/0!</v>
      </c>
    </row>
    <row r="336" spans="1:9" ht="15" customHeight="1" hidden="1">
      <c r="A336" s="83" t="s">
        <v>139</v>
      </c>
      <c r="B336" s="28"/>
      <c r="C336" s="45" t="s">
        <v>772</v>
      </c>
      <c r="D336" s="45" t="s">
        <v>772</v>
      </c>
      <c r="E336" s="61" t="s">
        <v>140</v>
      </c>
      <c r="F336" s="33"/>
      <c r="G336" s="64">
        <f>SUM(G337)</f>
        <v>0</v>
      </c>
      <c r="H336" s="64">
        <f>SUM(H337)</f>
        <v>0</v>
      </c>
      <c r="I336" s="31" t="e">
        <f t="shared" si="8"/>
        <v>#DIV/0!</v>
      </c>
    </row>
    <row r="337" spans="1:9" ht="15" customHeight="1" hidden="1">
      <c r="A337" s="43" t="s">
        <v>129</v>
      </c>
      <c r="B337" s="28"/>
      <c r="C337" s="45" t="s">
        <v>772</v>
      </c>
      <c r="D337" s="45" t="s">
        <v>772</v>
      </c>
      <c r="E337" s="61" t="s">
        <v>140</v>
      </c>
      <c r="F337" s="33" t="s">
        <v>816</v>
      </c>
      <c r="G337" s="64"/>
      <c r="H337" s="64"/>
      <c r="I337" s="31" t="e">
        <f t="shared" si="8"/>
        <v>#DIV/0!</v>
      </c>
    </row>
    <row r="338" spans="1:10" ht="15" customHeight="1">
      <c r="A338" s="32" t="s">
        <v>710</v>
      </c>
      <c r="B338" s="28"/>
      <c r="C338" s="45" t="s">
        <v>772</v>
      </c>
      <c r="D338" s="45" t="s">
        <v>772</v>
      </c>
      <c r="E338" s="61" t="s">
        <v>93</v>
      </c>
      <c r="F338" s="33" t="s">
        <v>711</v>
      </c>
      <c r="G338" s="64">
        <v>4919</v>
      </c>
      <c r="H338" s="64">
        <v>1990.4</v>
      </c>
      <c r="I338" s="31">
        <f t="shared" si="8"/>
        <v>40.463508843260826</v>
      </c>
      <c r="J338" s="228">
        <f>SUM('ведомствен.'!G281)</f>
        <v>4919</v>
      </c>
    </row>
    <row r="339" spans="1:9" ht="15">
      <c r="A339" s="32" t="s">
        <v>767</v>
      </c>
      <c r="B339" s="28"/>
      <c r="C339" s="45" t="s">
        <v>772</v>
      </c>
      <c r="D339" s="45" t="s">
        <v>772</v>
      </c>
      <c r="E339" s="29" t="s">
        <v>768</v>
      </c>
      <c r="F339" s="34"/>
      <c r="G339" s="31">
        <f>SUM(G341+G345)</f>
        <v>3886.6</v>
      </c>
      <c r="H339" s="31">
        <f>SUM(H341+H345)</f>
        <v>2530.4</v>
      </c>
      <c r="I339" s="31">
        <f t="shared" si="8"/>
        <v>65.10574795451038</v>
      </c>
    </row>
    <row r="340" spans="1:9" ht="15" customHeight="1" hidden="1">
      <c r="A340" s="43" t="s">
        <v>129</v>
      </c>
      <c r="B340" s="28"/>
      <c r="C340" s="45" t="s">
        <v>772</v>
      </c>
      <c r="D340" s="45" t="s">
        <v>772</v>
      </c>
      <c r="E340" s="29" t="s">
        <v>768</v>
      </c>
      <c r="F340" s="34" t="s">
        <v>816</v>
      </c>
      <c r="G340" s="31">
        <f>SUM(G341:G345)</f>
        <v>4666.5</v>
      </c>
      <c r="H340" s="31">
        <f>SUM(H341:H345)</f>
        <v>3022.5</v>
      </c>
      <c r="I340" s="31">
        <f t="shared" si="8"/>
        <v>64.77017036322725</v>
      </c>
    </row>
    <row r="341" spans="1:10" s="102" customFormat="1" ht="20.25" customHeight="1">
      <c r="A341" s="92" t="s">
        <v>141</v>
      </c>
      <c r="B341" s="100"/>
      <c r="C341" s="101" t="s">
        <v>772</v>
      </c>
      <c r="D341" s="101" t="s">
        <v>772</v>
      </c>
      <c r="E341" s="57" t="s">
        <v>142</v>
      </c>
      <c r="F341" s="34"/>
      <c r="G341" s="91">
        <f>SUM(G342)</f>
        <v>779.9</v>
      </c>
      <c r="H341" s="91">
        <f>SUM(H342)</f>
        <v>492.1</v>
      </c>
      <c r="I341" s="31">
        <f t="shared" si="8"/>
        <v>63.09783305551995</v>
      </c>
      <c r="J341" s="235"/>
    </row>
    <row r="342" spans="1:10" s="102" customFormat="1" ht="20.25" customHeight="1">
      <c r="A342" s="43" t="s">
        <v>129</v>
      </c>
      <c r="B342" s="28"/>
      <c r="C342" s="45" t="s">
        <v>772</v>
      </c>
      <c r="D342" s="45" t="s">
        <v>772</v>
      </c>
      <c r="E342" s="57" t="s">
        <v>142</v>
      </c>
      <c r="F342" s="33" t="s">
        <v>816</v>
      </c>
      <c r="G342" s="91">
        <f>520-20+100+79.9+100</f>
        <v>779.9</v>
      </c>
      <c r="H342" s="91">
        <v>492.1</v>
      </c>
      <c r="I342" s="31">
        <f t="shared" si="8"/>
        <v>63.09783305551995</v>
      </c>
      <c r="J342" s="228">
        <f>SUM('ведомствен.'!G283)</f>
        <v>779.9</v>
      </c>
    </row>
    <row r="343" spans="1:10" s="102" customFormat="1" ht="35.25" customHeight="1" hidden="1">
      <c r="A343" s="80" t="s">
        <v>96</v>
      </c>
      <c r="B343" s="95"/>
      <c r="C343" s="61" t="s">
        <v>772</v>
      </c>
      <c r="D343" s="61" t="s">
        <v>705</v>
      </c>
      <c r="E343" s="61" t="s">
        <v>97</v>
      </c>
      <c r="F343" s="30"/>
      <c r="G343" s="31">
        <f>SUM(G344)</f>
        <v>0</v>
      </c>
      <c r="H343" s="31">
        <f>SUM(H344)</f>
        <v>0</v>
      </c>
      <c r="I343" s="31" t="e">
        <f t="shared" si="8"/>
        <v>#DIV/0!</v>
      </c>
      <c r="J343" s="235"/>
    </row>
    <row r="344" spans="1:10" s="102" customFormat="1" ht="19.5" customHeight="1" hidden="1">
      <c r="A344" s="32" t="s">
        <v>710</v>
      </c>
      <c r="B344" s="95"/>
      <c r="C344" s="45" t="s">
        <v>772</v>
      </c>
      <c r="D344" s="45" t="s">
        <v>772</v>
      </c>
      <c r="E344" s="61" t="s">
        <v>97</v>
      </c>
      <c r="F344" s="62" t="s">
        <v>711</v>
      </c>
      <c r="G344" s="64"/>
      <c r="H344" s="64"/>
      <c r="I344" s="31" t="e">
        <f t="shared" si="8"/>
        <v>#DIV/0!</v>
      </c>
      <c r="J344" s="235"/>
    </row>
    <row r="345" spans="1:9" ht="27.75" customHeight="1">
      <c r="A345" s="43" t="s">
        <v>69</v>
      </c>
      <c r="B345" s="28"/>
      <c r="C345" s="45" t="s">
        <v>772</v>
      </c>
      <c r="D345" s="45" t="s">
        <v>772</v>
      </c>
      <c r="E345" s="29" t="s">
        <v>101</v>
      </c>
      <c r="F345" s="34"/>
      <c r="G345" s="31">
        <f>SUM(G346+G349)</f>
        <v>3106.7</v>
      </c>
      <c r="H345" s="31">
        <f>SUM(H346+H349)</f>
        <v>2038.3</v>
      </c>
      <c r="I345" s="31">
        <f t="shared" si="8"/>
        <v>65.60981105352947</v>
      </c>
    </row>
    <row r="346" spans="1:10" s="102" customFormat="1" ht="28.5">
      <c r="A346" s="92" t="s">
        <v>92</v>
      </c>
      <c r="B346" s="100"/>
      <c r="C346" s="45" t="s">
        <v>772</v>
      </c>
      <c r="D346" s="45" t="s">
        <v>772</v>
      </c>
      <c r="E346" s="29" t="s">
        <v>102</v>
      </c>
      <c r="F346" s="34"/>
      <c r="G346" s="91">
        <f>SUM(G347:G348)</f>
        <v>2225.9</v>
      </c>
      <c r="H346" s="91">
        <f>SUM(H347:H348)</f>
        <v>1157.5</v>
      </c>
      <c r="I346" s="31">
        <f t="shared" si="8"/>
        <v>52.001437620737676</v>
      </c>
      <c r="J346" s="235"/>
    </row>
    <row r="347" spans="1:10" s="102" customFormat="1" ht="15">
      <c r="A347" s="43" t="s">
        <v>129</v>
      </c>
      <c r="B347" s="28"/>
      <c r="C347" s="45" t="s">
        <v>772</v>
      </c>
      <c r="D347" s="45" t="s">
        <v>772</v>
      </c>
      <c r="E347" s="29" t="s">
        <v>102</v>
      </c>
      <c r="F347" s="33" t="s">
        <v>816</v>
      </c>
      <c r="G347" s="64">
        <f>1975.9+250-0.3+0.3</f>
        <v>2225.9</v>
      </c>
      <c r="H347" s="64">
        <v>1157.5</v>
      </c>
      <c r="I347" s="31">
        <f t="shared" si="8"/>
        <v>52.001437620737676</v>
      </c>
      <c r="J347" s="228">
        <f>SUM('ведомствен.'!G288)</f>
        <v>2225.9</v>
      </c>
    </row>
    <row r="348" spans="1:10" s="102" customFormat="1" ht="20.25" customHeight="1" hidden="1">
      <c r="A348" s="32" t="s">
        <v>710</v>
      </c>
      <c r="B348" s="95"/>
      <c r="C348" s="45" t="s">
        <v>772</v>
      </c>
      <c r="D348" s="45" t="s">
        <v>772</v>
      </c>
      <c r="E348" s="29" t="s">
        <v>102</v>
      </c>
      <c r="F348" s="65" t="s">
        <v>711</v>
      </c>
      <c r="G348" s="91"/>
      <c r="H348" s="91"/>
      <c r="I348" s="31" t="e">
        <f t="shared" si="8"/>
        <v>#DIV/0!</v>
      </c>
      <c r="J348" s="235"/>
    </row>
    <row r="349" spans="1:9" ht="28.5">
      <c r="A349" s="80" t="s">
        <v>143</v>
      </c>
      <c r="B349" s="28"/>
      <c r="C349" s="45" t="s">
        <v>772</v>
      </c>
      <c r="D349" s="45" t="s">
        <v>772</v>
      </c>
      <c r="E349" s="29" t="s">
        <v>20</v>
      </c>
      <c r="F349" s="34"/>
      <c r="G349" s="31">
        <f>SUM(G350)</f>
        <v>880.8</v>
      </c>
      <c r="H349" s="31">
        <f>SUM(H350)</f>
        <v>880.8</v>
      </c>
      <c r="I349" s="31">
        <f t="shared" si="8"/>
        <v>100</v>
      </c>
    </row>
    <row r="350" spans="1:10" ht="15">
      <c r="A350" s="43" t="s">
        <v>129</v>
      </c>
      <c r="B350" s="28"/>
      <c r="C350" s="45" t="s">
        <v>772</v>
      </c>
      <c r="D350" s="45" t="s">
        <v>772</v>
      </c>
      <c r="E350" s="29" t="s">
        <v>20</v>
      </c>
      <c r="F350" s="33" t="s">
        <v>816</v>
      </c>
      <c r="G350" s="31">
        <v>880.8</v>
      </c>
      <c r="H350" s="31">
        <v>880.8</v>
      </c>
      <c r="I350" s="31">
        <f t="shared" si="8"/>
        <v>100</v>
      </c>
      <c r="J350" s="228">
        <f>SUM('ведомствен.'!G291)</f>
        <v>880.8</v>
      </c>
    </row>
    <row r="351" spans="1:9" ht="29.25" customHeight="1" hidden="1">
      <c r="A351" s="43" t="s">
        <v>144</v>
      </c>
      <c r="B351" s="28"/>
      <c r="C351" s="45" t="s">
        <v>772</v>
      </c>
      <c r="D351" s="45" t="s">
        <v>772</v>
      </c>
      <c r="E351" s="61" t="s">
        <v>75</v>
      </c>
      <c r="F351" s="33"/>
      <c r="G351" s="64">
        <f>SUM(G352)</f>
        <v>0</v>
      </c>
      <c r="H351" s="64">
        <f>SUM(H352)</f>
        <v>0</v>
      </c>
      <c r="I351" s="31" t="e">
        <f t="shared" si="8"/>
        <v>#DIV/0!</v>
      </c>
    </row>
    <row r="352" spans="1:9" ht="15" customHeight="1" hidden="1">
      <c r="A352" s="43" t="s">
        <v>129</v>
      </c>
      <c r="B352" s="28"/>
      <c r="C352" s="45" t="s">
        <v>772</v>
      </c>
      <c r="D352" s="45" t="s">
        <v>772</v>
      </c>
      <c r="E352" s="61" t="s">
        <v>75</v>
      </c>
      <c r="F352" s="33" t="s">
        <v>816</v>
      </c>
      <c r="G352" s="64"/>
      <c r="H352" s="64"/>
      <c r="I352" s="31" t="e">
        <f t="shared" si="8"/>
        <v>#DIV/0!</v>
      </c>
    </row>
    <row r="353" spans="1:10" s="26" customFormat="1" ht="15.75">
      <c r="A353" s="50" t="s">
        <v>145</v>
      </c>
      <c r="B353" s="51"/>
      <c r="C353" s="69" t="s">
        <v>776</v>
      </c>
      <c r="D353" s="69"/>
      <c r="E353" s="69"/>
      <c r="F353" s="70"/>
      <c r="G353" s="54">
        <f>SUM(G354)+G358</f>
        <v>4392.3</v>
      </c>
      <c r="H353" s="54">
        <f>SUM(H354)+H358</f>
        <v>2547</v>
      </c>
      <c r="I353" s="54">
        <f aca="true" t="shared" si="9" ref="I353:I417">SUM(H353/G353*100)</f>
        <v>57.987842360494504</v>
      </c>
      <c r="J353" s="229"/>
    </row>
    <row r="354" spans="1:9" ht="27.75" customHeight="1">
      <c r="A354" s="27" t="s">
        <v>146</v>
      </c>
      <c r="B354" s="28"/>
      <c r="C354" s="29" t="s">
        <v>776</v>
      </c>
      <c r="D354" s="29" t="s">
        <v>713</v>
      </c>
      <c r="E354" s="29"/>
      <c r="F354" s="30"/>
      <c r="G354" s="31">
        <f>SUM(G357)</f>
        <v>3177.4</v>
      </c>
      <c r="H354" s="31">
        <f>SUM(H357)</f>
        <v>2199.7</v>
      </c>
      <c r="I354" s="31">
        <f t="shared" si="9"/>
        <v>69.22955875873355</v>
      </c>
    </row>
    <row r="355" spans="1:9" ht="15">
      <c r="A355" s="27" t="s">
        <v>147</v>
      </c>
      <c r="B355" s="28"/>
      <c r="C355" s="29" t="s">
        <v>776</v>
      </c>
      <c r="D355" s="29" t="s">
        <v>713</v>
      </c>
      <c r="E355" s="29" t="s">
        <v>148</v>
      </c>
      <c r="F355" s="30"/>
      <c r="G355" s="31">
        <f>SUM(G356)</f>
        <v>3177.4</v>
      </c>
      <c r="H355" s="31">
        <f>SUM(H356)</f>
        <v>2199.7</v>
      </c>
      <c r="I355" s="31">
        <f t="shared" si="9"/>
        <v>69.22955875873355</v>
      </c>
    </row>
    <row r="356" spans="1:9" ht="17.25" customHeight="1">
      <c r="A356" s="103" t="s">
        <v>805</v>
      </c>
      <c r="B356" s="104"/>
      <c r="C356" s="67" t="s">
        <v>776</v>
      </c>
      <c r="D356" s="67" t="s">
        <v>713</v>
      </c>
      <c r="E356" s="67" t="s">
        <v>149</v>
      </c>
      <c r="F356" s="34"/>
      <c r="G356" s="31">
        <f>SUM(G357)</f>
        <v>3177.4</v>
      </c>
      <c r="H356" s="31">
        <f>SUM(H357)</f>
        <v>2199.7</v>
      </c>
      <c r="I356" s="31">
        <f t="shared" si="9"/>
        <v>69.22955875873355</v>
      </c>
    </row>
    <row r="357" spans="1:10" ht="15.75" customHeight="1">
      <c r="A357" s="49" t="s">
        <v>807</v>
      </c>
      <c r="B357" s="28"/>
      <c r="C357" s="29" t="s">
        <v>776</v>
      </c>
      <c r="D357" s="29" t="s">
        <v>713</v>
      </c>
      <c r="E357" s="67" t="s">
        <v>149</v>
      </c>
      <c r="F357" s="34" t="s">
        <v>808</v>
      </c>
      <c r="G357" s="31">
        <v>3177.4</v>
      </c>
      <c r="H357" s="31">
        <v>2199.7</v>
      </c>
      <c r="I357" s="31">
        <f t="shared" si="9"/>
        <v>69.22955875873355</v>
      </c>
      <c r="J357" s="228">
        <f>SUM('ведомствен.'!G298)</f>
        <v>3177.4</v>
      </c>
    </row>
    <row r="358" spans="1:9" ht="17.25" customHeight="1">
      <c r="A358" s="38" t="s">
        <v>150</v>
      </c>
      <c r="B358" s="28"/>
      <c r="C358" s="105" t="s">
        <v>776</v>
      </c>
      <c r="D358" s="105" t="s">
        <v>772</v>
      </c>
      <c r="E358" s="105"/>
      <c r="F358" s="59"/>
      <c r="G358" s="64">
        <f>SUM(G362)+G359</f>
        <v>1214.9</v>
      </c>
      <c r="H358" s="64">
        <f>SUM(H362)+H359</f>
        <v>347.3</v>
      </c>
      <c r="I358" s="31">
        <f t="shared" si="9"/>
        <v>28.586714955963455</v>
      </c>
    </row>
    <row r="359" spans="1:9" ht="16.5" customHeight="1" hidden="1">
      <c r="A359" s="46" t="s">
        <v>881</v>
      </c>
      <c r="B359" s="28"/>
      <c r="C359" s="105" t="s">
        <v>776</v>
      </c>
      <c r="D359" s="105" t="s">
        <v>772</v>
      </c>
      <c r="E359" s="29" t="s">
        <v>882</v>
      </c>
      <c r="F359" s="59"/>
      <c r="G359" s="64">
        <f>SUM(G360)</f>
        <v>0</v>
      </c>
      <c r="H359" s="64">
        <f>SUM(H360)</f>
        <v>0</v>
      </c>
      <c r="I359" s="31" t="e">
        <f t="shared" si="9"/>
        <v>#DIV/0!</v>
      </c>
    </row>
    <row r="360" spans="1:9" ht="42" customHeight="1" hidden="1">
      <c r="A360" s="46" t="s">
        <v>151</v>
      </c>
      <c r="B360" s="28"/>
      <c r="C360" s="105" t="s">
        <v>776</v>
      </c>
      <c r="D360" s="105" t="s">
        <v>772</v>
      </c>
      <c r="E360" s="29" t="s">
        <v>152</v>
      </c>
      <c r="F360" s="34"/>
      <c r="G360" s="64">
        <f>SUM(G361)</f>
        <v>0</v>
      </c>
      <c r="H360" s="64">
        <f>SUM(H361)</f>
        <v>0</v>
      </c>
      <c r="I360" s="31" t="e">
        <f t="shared" si="9"/>
        <v>#DIV/0!</v>
      </c>
    </row>
    <row r="361" spans="1:10" s="106" customFormat="1" ht="16.5" customHeight="1" hidden="1">
      <c r="A361" s="43" t="s">
        <v>129</v>
      </c>
      <c r="B361" s="28"/>
      <c r="C361" s="105" t="s">
        <v>776</v>
      </c>
      <c r="D361" s="105" t="s">
        <v>772</v>
      </c>
      <c r="E361" s="29" t="s">
        <v>152</v>
      </c>
      <c r="F361" s="34" t="s">
        <v>816</v>
      </c>
      <c r="G361" s="64"/>
      <c r="H361" s="64"/>
      <c r="I361" s="31" t="e">
        <f t="shared" si="9"/>
        <v>#DIV/0!</v>
      </c>
      <c r="J361" s="236"/>
    </row>
    <row r="362" spans="1:9" ht="14.25" customHeight="1">
      <c r="A362" s="32" t="s">
        <v>767</v>
      </c>
      <c r="B362" s="28"/>
      <c r="C362" s="105" t="s">
        <v>776</v>
      </c>
      <c r="D362" s="105" t="s">
        <v>772</v>
      </c>
      <c r="E362" s="29" t="s">
        <v>768</v>
      </c>
      <c r="F362" s="59"/>
      <c r="G362" s="64">
        <f>SUM(G365+G366+G370)</f>
        <v>1214.9</v>
      </c>
      <c r="H362" s="64">
        <f>SUM(H365+H366+H370)</f>
        <v>347.3</v>
      </c>
      <c r="I362" s="31">
        <f t="shared" si="9"/>
        <v>28.586714955963455</v>
      </c>
    </row>
    <row r="363" spans="1:9" ht="15" customHeight="1" hidden="1">
      <c r="A363" s="46" t="s">
        <v>153</v>
      </c>
      <c r="B363" s="28"/>
      <c r="C363" s="105" t="s">
        <v>776</v>
      </c>
      <c r="D363" s="105" t="s">
        <v>772</v>
      </c>
      <c r="E363" s="29" t="s">
        <v>768</v>
      </c>
      <c r="F363" s="59" t="s">
        <v>154</v>
      </c>
      <c r="G363" s="64"/>
      <c r="H363" s="64"/>
      <c r="I363" s="31" t="e">
        <f t="shared" si="9"/>
        <v>#DIV/0!</v>
      </c>
    </row>
    <row r="364" spans="1:9" ht="26.25" customHeight="1" hidden="1">
      <c r="A364" s="107" t="s">
        <v>155</v>
      </c>
      <c r="B364" s="28"/>
      <c r="C364" s="105" t="s">
        <v>776</v>
      </c>
      <c r="D364" s="105" t="s">
        <v>772</v>
      </c>
      <c r="E364" s="108" t="s">
        <v>768</v>
      </c>
      <c r="F364" s="109" t="s">
        <v>154</v>
      </c>
      <c r="G364" s="110">
        <v>300</v>
      </c>
      <c r="H364" s="110">
        <v>300</v>
      </c>
      <c r="I364" s="31">
        <f t="shared" si="9"/>
        <v>100</v>
      </c>
    </row>
    <row r="365" spans="1:9" ht="15" customHeight="1" hidden="1">
      <c r="A365" s="49" t="s">
        <v>807</v>
      </c>
      <c r="B365" s="28"/>
      <c r="C365" s="105" t="s">
        <v>776</v>
      </c>
      <c r="D365" s="105" t="s">
        <v>772</v>
      </c>
      <c r="E365" s="105" t="s">
        <v>768</v>
      </c>
      <c r="F365" s="59" t="s">
        <v>808</v>
      </c>
      <c r="G365" s="64"/>
      <c r="H365" s="64"/>
      <c r="I365" s="31" t="e">
        <f t="shared" si="9"/>
        <v>#DIV/0!</v>
      </c>
    </row>
    <row r="366" spans="1:9" ht="27.75" customHeight="1">
      <c r="A366" s="38" t="s">
        <v>155</v>
      </c>
      <c r="B366" s="28"/>
      <c r="C366" s="105" t="s">
        <v>776</v>
      </c>
      <c r="D366" s="105" t="s">
        <v>772</v>
      </c>
      <c r="E366" s="105" t="s">
        <v>156</v>
      </c>
      <c r="F366" s="59"/>
      <c r="G366" s="64">
        <f>SUM(G367:G369)</f>
        <v>1214.9</v>
      </c>
      <c r="H366" s="64">
        <f>SUM(H367:H369)</f>
        <v>347.3</v>
      </c>
      <c r="I366" s="31">
        <f t="shared" si="9"/>
        <v>28.586714955963455</v>
      </c>
    </row>
    <row r="367" spans="1:9" ht="18" customHeight="1" hidden="1">
      <c r="A367" s="43" t="s">
        <v>129</v>
      </c>
      <c r="B367" s="28"/>
      <c r="C367" s="105" t="s">
        <v>776</v>
      </c>
      <c r="D367" s="105" t="s">
        <v>772</v>
      </c>
      <c r="E367" s="105" t="s">
        <v>156</v>
      </c>
      <c r="F367" s="34" t="s">
        <v>816</v>
      </c>
      <c r="G367" s="64"/>
      <c r="H367" s="64"/>
      <c r="I367" s="31" t="e">
        <f t="shared" si="9"/>
        <v>#DIV/0!</v>
      </c>
    </row>
    <row r="368" spans="1:10" ht="15.75" customHeight="1" hidden="1">
      <c r="A368" s="43" t="s">
        <v>4</v>
      </c>
      <c r="B368" s="28"/>
      <c r="C368" s="40" t="s">
        <v>776</v>
      </c>
      <c r="D368" s="40" t="s">
        <v>772</v>
      </c>
      <c r="E368" s="40" t="s">
        <v>536</v>
      </c>
      <c r="F368" s="33" t="s">
        <v>5</v>
      </c>
      <c r="G368" s="64">
        <f>1300-1300</f>
        <v>0</v>
      </c>
      <c r="H368" s="64"/>
      <c r="I368" s="31"/>
      <c r="J368" s="228">
        <f>SUM('ведомствен.'!G310)</f>
        <v>0</v>
      </c>
    </row>
    <row r="369" spans="1:10" ht="13.5" customHeight="1">
      <c r="A369" s="49" t="s">
        <v>157</v>
      </c>
      <c r="B369" s="28"/>
      <c r="C369" s="105" t="s">
        <v>776</v>
      </c>
      <c r="D369" s="105" t="s">
        <v>772</v>
      </c>
      <c r="E369" s="105" t="s">
        <v>156</v>
      </c>
      <c r="F369" s="59" t="s">
        <v>158</v>
      </c>
      <c r="G369" s="64">
        <f>2514.9-1300</f>
        <v>1214.9</v>
      </c>
      <c r="H369" s="64">
        <v>347.3</v>
      </c>
      <c r="I369" s="31">
        <f t="shared" si="9"/>
        <v>28.586714955963455</v>
      </c>
      <c r="J369" s="228">
        <f>SUM('ведомствен.'!G311)</f>
        <v>1214.9</v>
      </c>
    </row>
    <row r="370" spans="1:9" ht="25.5" customHeight="1" hidden="1">
      <c r="A370" s="111" t="s">
        <v>159</v>
      </c>
      <c r="B370" s="28"/>
      <c r="C370" s="105" t="s">
        <v>776</v>
      </c>
      <c r="D370" s="105" t="s">
        <v>772</v>
      </c>
      <c r="E370" s="105" t="s">
        <v>160</v>
      </c>
      <c r="F370" s="59"/>
      <c r="G370" s="64">
        <f>SUM(G371+G372)</f>
        <v>0</v>
      </c>
      <c r="H370" s="64">
        <f>SUM(H371+H372)</f>
        <v>0</v>
      </c>
      <c r="I370" s="31" t="e">
        <f t="shared" si="9"/>
        <v>#DIV/0!</v>
      </c>
    </row>
    <row r="371" spans="1:9" ht="18" customHeight="1" hidden="1">
      <c r="A371" s="43" t="s">
        <v>129</v>
      </c>
      <c r="B371" s="28"/>
      <c r="C371" s="105" t="s">
        <v>776</v>
      </c>
      <c r="D371" s="105" t="s">
        <v>772</v>
      </c>
      <c r="E371" s="105" t="s">
        <v>160</v>
      </c>
      <c r="F371" s="34" t="s">
        <v>816</v>
      </c>
      <c r="G371" s="64"/>
      <c r="H371" s="64"/>
      <c r="I371" s="31" t="e">
        <f t="shared" si="9"/>
        <v>#DIV/0!</v>
      </c>
    </row>
    <row r="372" spans="1:9" ht="21.75" customHeight="1" hidden="1">
      <c r="A372" s="49" t="s">
        <v>157</v>
      </c>
      <c r="B372" s="28"/>
      <c r="C372" s="105" t="s">
        <v>776</v>
      </c>
      <c r="D372" s="105" t="s">
        <v>772</v>
      </c>
      <c r="E372" s="105" t="s">
        <v>160</v>
      </c>
      <c r="F372" s="59" t="s">
        <v>161</v>
      </c>
      <c r="G372" s="64"/>
      <c r="H372" s="64"/>
      <c r="I372" s="31" t="e">
        <f t="shared" si="9"/>
        <v>#DIV/0!</v>
      </c>
    </row>
    <row r="373" spans="1:10" s="106" customFormat="1" ht="12" customHeight="1" hidden="1">
      <c r="A373" s="112" t="s">
        <v>162</v>
      </c>
      <c r="B373" s="113"/>
      <c r="C373" s="108" t="s">
        <v>703</v>
      </c>
      <c r="D373" s="108" t="s">
        <v>795</v>
      </c>
      <c r="E373" s="108" t="s">
        <v>766</v>
      </c>
      <c r="F373" s="114" t="s">
        <v>793</v>
      </c>
      <c r="G373" s="115">
        <v>5000</v>
      </c>
      <c r="H373" s="115">
        <v>5000</v>
      </c>
      <c r="I373" s="31">
        <f t="shared" si="9"/>
        <v>100</v>
      </c>
      <c r="J373" s="236"/>
    </row>
    <row r="374" spans="1:10" s="106" customFormat="1" ht="12" customHeight="1" hidden="1">
      <c r="A374" s="112" t="s">
        <v>163</v>
      </c>
      <c r="B374" s="36"/>
      <c r="C374" s="108" t="s">
        <v>703</v>
      </c>
      <c r="D374" s="108" t="s">
        <v>795</v>
      </c>
      <c r="E374" s="108" t="s">
        <v>766</v>
      </c>
      <c r="F374" s="114" t="s">
        <v>793</v>
      </c>
      <c r="G374" s="115">
        <v>2000</v>
      </c>
      <c r="H374" s="115">
        <v>2000</v>
      </c>
      <c r="I374" s="31">
        <f t="shared" si="9"/>
        <v>100</v>
      </c>
      <c r="J374" s="236"/>
    </row>
    <row r="375" spans="1:9" ht="42.75" customHeight="1" hidden="1">
      <c r="A375" s="32" t="s">
        <v>732</v>
      </c>
      <c r="B375" s="28"/>
      <c r="C375" s="29" t="s">
        <v>703</v>
      </c>
      <c r="D375" s="29" t="s">
        <v>720</v>
      </c>
      <c r="E375" s="29" t="s">
        <v>733</v>
      </c>
      <c r="F375" s="30"/>
      <c r="G375" s="31">
        <f>SUM(G376)</f>
        <v>0</v>
      </c>
      <c r="H375" s="31">
        <f>SUM(H376)</f>
        <v>0</v>
      </c>
      <c r="I375" s="31" t="e">
        <f t="shared" si="9"/>
        <v>#DIV/0!</v>
      </c>
    </row>
    <row r="376" spans="1:9" ht="42.75" customHeight="1" hidden="1">
      <c r="A376" s="32" t="s">
        <v>734</v>
      </c>
      <c r="B376" s="28"/>
      <c r="C376" s="29" t="s">
        <v>703</v>
      </c>
      <c r="D376" s="29" t="s">
        <v>720</v>
      </c>
      <c r="E376" s="29" t="s">
        <v>733</v>
      </c>
      <c r="F376" s="30" t="s">
        <v>735</v>
      </c>
      <c r="G376" s="31"/>
      <c r="H376" s="31"/>
      <c r="I376" s="31" t="e">
        <f t="shared" si="9"/>
        <v>#DIV/0!</v>
      </c>
    </row>
    <row r="377" spans="1:9" ht="14.25" customHeight="1" hidden="1">
      <c r="A377" s="42" t="s">
        <v>736</v>
      </c>
      <c r="B377" s="28"/>
      <c r="C377" s="29" t="s">
        <v>737</v>
      </c>
      <c r="D377" s="29"/>
      <c r="E377" s="29"/>
      <c r="F377" s="33"/>
      <c r="G377" s="31">
        <f>SUM(G381+G378)</f>
        <v>0</v>
      </c>
      <c r="H377" s="31">
        <f>SUM(H381+H378)</f>
        <v>0</v>
      </c>
      <c r="I377" s="31" t="e">
        <f t="shared" si="9"/>
        <v>#DIV/0!</v>
      </c>
    </row>
    <row r="378" spans="1:9" ht="15" customHeight="1" hidden="1">
      <c r="A378" s="42" t="s">
        <v>738</v>
      </c>
      <c r="B378" s="28"/>
      <c r="C378" s="29" t="s">
        <v>737</v>
      </c>
      <c r="D378" s="29" t="s">
        <v>739</v>
      </c>
      <c r="E378" s="29"/>
      <c r="F378" s="33"/>
      <c r="G378" s="31">
        <f>SUM(G379)</f>
        <v>0</v>
      </c>
      <c r="H378" s="31">
        <f>SUM(H379)</f>
        <v>0</v>
      </c>
      <c r="I378" s="31" t="e">
        <f t="shared" si="9"/>
        <v>#DIV/0!</v>
      </c>
    </row>
    <row r="379" spans="1:9" ht="15" customHeight="1" hidden="1">
      <c r="A379" s="27" t="s">
        <v>740</v>
      </c>
      <c r="B379" s="28"/>
      <c r="C379" s="29" t="s">
        <v>737</v>
      </c>
      <c r="D379" s="29" t="s">
        <v>739</v>
      </c>
      <c r="E379" s="29" t="s">
        <v>741</v>
      </c>
      <c r="F379" s="30"/>
      <c r="G379" s="31">
        <f>SUM(G380)</f>
        <v>0</v>
      </c>
      <c r="H379" s="31">
        <f>SUM(H380)</f>
        <v>0</v>
      </c>
      <c r="I379" s="31" t="e">
        <f t="shared" si="9"/>
        <v>#DIV/0!</v>
      </c>
    </row>
    <row r="380" spans="1:9" ht="15" customHeight="1" hidden="1">
      <c r="A380" s="27" t="s">
        <v>742</v>
      </c>
      <c r="B380" s="28"/>
      <c r="C380" s="29" t="s">
        <v>737</v>
      </c>
      <c r="D380" s="29" t="s">
        <v>739</v>
      </c>
      <c r="E380" s="29" t="s">
        <v>741</v>
      </c>
      <c r="F380" s="30" t="s">
        <v>743</v>
      </c>
      <c r="G380" s="31"/>
      <c r="H380" s="31"/>
      <c r="I380" s="31" t="e">
        <f t="shared" si="9"/>
        <v>#DIV/0!</v>
      </c>
    </row>
    <row r="381" spans="1:9" ht="15" customHeight="1" hidden="1">
      <c r="A381" s="43" t="s">
        <v>744</v>
      </c>
      <c r="B381" s="44"/>
      <c r="C381" s="45" t="s">
        <v>737</v>
      </c>
      <c r="D381" s="45" t="s">
        <v>745</v>
      </c>
      <c r="E381" s="45"/>
      <c r="F381" s="33"/>
      <c r="G381" s="31">
        <f>SUM(G382+G384)</f>
        <v>0</v>
      </c>
      <c r="H381" s="31">
        <f>SUM(H382+H384)</f>
        <v>0</v>
      </c>
      <c r="I381" s="31" t="e">
        <f t="shared" si="9"/>
        <v>#DIV/0!</v>
      </c>
    </row>
    <row r="382" spans="1:9" ht="28.5" customHeight="1" hidden="1">
      <c r="A382" s="42" t="s">
        <v>746</v>
      </c>
      <c r="B382" s="28"/>
      <c r="C382" s="29" t="s">
        <v>737</v>
      </c>
      <c r="D382" s="29" t="s">
        <v>745</v>
      </c>
      <c r="E382" s="29" t="s">
        <v>747</v>
      </c>
      <c r="F382" s="33"/>
      <c r="G382" s="31">
        <f>SUM(G383)</f>
        <v>0</v>
      </c>
      <c r="H382" s="31">
        <f>SUM(H383)</f>
        <v>0</v>
      </c>
      <c r="I382" s="31" t="e">
        <f t="shared" si="9"/>
        <v>#DIV/0!</v>
      </c>
    </row>
    <row r="383" spans="1:9" ht="15" customHeight="1" hidden="1">
      <c r="A383" s="42" t="s">
        <v>748</v>
      </c>
      <c r="B383" s="28"/>
      <c r="C383" s="29" t="s">
        <v>737</v>
      </c>
      <c r="D383" s="29" t="s">
        <v>745</v>
      </c>
      <c r="E383" s="29" t="s">
        <v>747</v>
      </c>
      <c r="F383" s="33" t="s">
        <v>749</v>
      </c>
      <c r="G383" s="31"/>
      <c r="H383" s="31"/>
      <c r="I383" s="31" t="e">
        <f t="shared" si="9"/>
        <v>#DIV/0!</v>
      </c>
    </row>
    <row r="384" spans="1:9" ht="15" customHeight="1" hidden="1">
      <c r="A384" s="43" t="s">
        <v>750</v>
      </c>
      <c r="B384" s="44"/>
      <c r="C384" s="45" t="s">
        <v>737</v>
      </c>
      <c r="D384" s="45" t="s">
        <v>745</v>
      </c>
      <c r="E384" s="45" t="s">
        <v>751</v>
      </c>
      <c r="F384" s="33"/>
      <c r="G384" s="31">
        <f>SUM(G385)</f>
        <v>0</v>
      </c>
      <c r="H384" s="31">
        <f>SUM(H385)</f>
        <v>0</v>
      </c>
      <c r="I384" s="31" t="e">
        <f t="shared" si="9"/>
        <v>#DIV/0!</v>
      </c>
    </row>
    <row r="385" spans="1:9" ht="15" customHeight="1" hidden="1">
      <c r="A385" s="43" t="s">
        <v>752</v>
      </c>
      <c r="B385" s="44"/>
      <c r="C385" s="45" t="s">
        <v>737</v>
      </c>
      <c r="D385" s="45" t="s">
        <v>745</v>
      </c>
      <c r="E385" s="45" t="s">
        <v>751</v>
      </c>
      <c r="F385" s="33" t="s">
        <v>753</v>
      </c>
      <c r="G385" s="31"/>
      <c r="H385" s="31"/>
      <c r="I385" s="31" t="e">
        <f t="shared" si="9"/>
        <v>#DIV/0!</v>
      </c>
    </row>
    <row r="386" spans="1:9" ht="15" customHeight="1" hidden="1">
      <c r="A386" s="38" t="s">
        <v>725</v>
      </c>
      <c r="B386" s="39"/>
      <c r="C386" s="40" t="s">
        <v>726</v>
      </c>
      <c r="D386" s="29"/>
      <c r="E386" s="29"/>
      <c r="F386" s="30"/>
      <c r="G386" s="31">
        <f aca="true" t="shared" si="10" ref="G386:H388">SUM(G387)</f>
        <v>0</v>
      </c>
      <c r="H386" s="31">
        <f t="shared" si="10"/>
        <v>0</v>
      </c>
      <c r="I386" s="31" t="e">
        <f t="shared" si="9"/>
        <v>#DIV/0!</v>
      </c>
    </row>
    <row r="387" spans="1:9" ht="15" customHeight="1" hidden="1">
      <c r="A387" s="32" t="s">
        <v>727</v>
      </c>
      <c r="B387" s="36"/>
      <c r="C387" s="29" t="s">
        <v>726</v>
      </c>
      <c r="D387" s="29" t="s">
        <v>726</v>
      </c>
      <c r="E387" s="29"/>
      <c r="F387" s="30"/>
      <c r="G387" s="31">
        <f t="shared" si="10"/>
        <v>0</v>
      </c>
      <c r="H387" s="31">
        <f t="shared" si="10"/>
        <v>0</v>
      </c>
      <c r="I387" s="31" t="e">
        <f t="shared" si="9"/>
        <v>#DIV/0!</v>
      </c>
    </row>
    <row r="388" spans="1:9" ht="28.5" customHeight="1" hidden="1">
      <c r="A388" s="32" t="s">
        <v>728</v>
      </c>
      <c r="B388" s="36"/>
      <c r="C388" s="29" t="s">
        <v>726</v>
      </c>
      <c r="D388" s="29" t="s">
        <v>726</v>
      </c>
      <c r="E388" s="29" t="s">
        <v>729</v>
      </c>
      <c r="F388" s="30"/>
      <c r="G388" s="31">
        <f t="shared" si="10"/>
        <v>0</v>
      </c>
      <c r="H388" s="31">
        <f t="shared" si="10"/>
        <v>0</v>
      </c>
      <c r="I388" s="31" t="e">
        <f t="shared" si="9"/>
        <v>#DIV/0!</v>
      </c>
    </row>
    <row r="389" spans="1:9" ht="15" customHeight="1" hidden="1">
      <c r="A389" s="32" t="s">
        <v>730</v>
      </c>
      <c r="B389" s="36"/>
      <c r="C389" s="29" t="s">
        <v>726</v>
      </c>
      <c r="D389" s="29" t="s">
        <v>726</v>
      </c>
      <c r="E389" s="29" t="s">
        <v>729</v>
      </c>
      <c r="F389" s="30" t="s">
        <v>731</v>
      </c>
      <c r="G389" s="31"/>
      <c r="H389" s="31"/>
      <c r="I389" s="31" t="e">
        <f t="shared" si="9"/>
        <v>#DIV/0!</v>
      </c>
    </row>
    <row r="390" spans="1:9" ht="15" customHeight="1" hidden="1">
      <c r="A390" s="27" t="s">
        <v>736</v>
      </c>
      <c r="B390" s="28"/>
      <c r="C390" s="29" t="s">
        <v>737</v>
      </c>
      <c r="D390" s="29"/>
      <c r="E390" s="29"/>
      <c r="F390" s="30"/>
      <c r="G390" s="31">
        <f aca="true" t="shared" si="11" ref="G390:H392">SUM(G391)</f>
        <v>0</v>
      </c>
      <c r="H390" s="31">
        <f t="shared" si="11"/>
        <v>0</v>
      </c>
      <c r="I390" s="31" t="e">
        <f t="shared" si="9"/>
        <v>#DIV/0!</v>
      </c>
    </row>
    <row r="391" spans="1:9" ht="15" customHeight="1" hidden="1">
      <c r="A391" s="27" t="s">
        <v>164</v>
      </c>
      <c r="B391" s="28"/>
      <c r="C391" s="29" t="s">
        <v>737</v>
      </c>
      <c r="D391" s="45" t="s">
        <v>703</v>
      </c>
      <c r="E391" s="116"/>
      <c r="F391" s="117"/>
      <c r="G391" s="31">
        <f t="shared" si="11"/>
        <v>0</v>
      </c>
      <c r="H391" s="31">
        <f t="shared" si="11"/>
        <v>0</v>
      </c>
      <c r="I391" s="31" t="e">
        <f t="shared" si="9"/>
        <v>#DIV/0!</v>
      </c>
    </row>
    <row r="392" spans="1:9" ht="15" customHeight="1" hidden="1">
      <c r="A392" s="27" t="s">
        <v>165</v>
      </c>
      <c r="B392" s="28"/>
      <c r="C392" s="29" t="s">
        <v>737</v>
      </c>
      <c r="D392" s="45" t="s">
        <v>703</v>
      </c>
      <c r="E392" s="55" t="s">
        <v>166</v>
      </c>
      <c r="F392" s="117"/>
      <c r="G392" s="31">
        <f t="shared" si="11"/>
        <v>0</v>
      </c>
      <c r="H392" s="31">
        <f t="shared" si="11"/>
        <v>0</v>
      </c>
      <c r="I392" s="31" t="e">
        <f t="shared" si="9"/>
        <v>#DIV/0!</v>
      </c>
    </row>
    <row r="393" spans="1:9" ht="15" customHeight="1" hidden="1">
      <c r="A393" s="27" t="s">
        <v>167</v>
      </c>
      <c r="B393" s="28"/>
      <c r="C393" s="29" t="s">
        <v>737</v>
      </c>
      <c r="D393" s="45" t="s">
        <v>703</v>
      </c>
      <c r="E393" s="55" t="s">
        <v>166</v>
      </c>
      <c r="F393" s="117">
        <v>273</v>
      </c>
      <c r="G393" s="31"/>
      <c r="H393" s="31"/>
      <c r="I393" s="31" t="e">
        <f t="shared" si="9"/>
        <v>#DIV/0!</v>
      </c>
    </row>
    <row r="394" spans="1:10" s="26" customFormat="1" ht="15.75">
      <c r="A394" s="50" t="s">
        <v>725</v>
      </c>
      <c r="B394" s="51"/>
      <c r="C394" s="52" t="s">
        <v>726</v>
      </c>
      <c r="D394" s="52"/>
      <c r="E394" s="52"/>
      <c r="F394" s="53"/>
      <c r="G394" s="54">
        <f>SUM(G395+G411+G479+G505)</f>
        <v>956826.2999999999</v>
      </c>
      <c r="H394" s="54">
        <f>SUM(H395+H411+H479+H505)</f>
        <v>657983.7000000001</v>
      </c>
      <c r="I394" s="54">
        <f t="shared" si="9"/>
        <v>68.76730917617964</v>
      </c>
      <c r="J394" s="229"/>
    </row>
    <row r="395" spans="1:10" s="119" customFormat="1" ht="15.75">
      <c r="A395" s="32" t="s">
        <v>168</v>
      </c>
      <c r="B395" s="118"/>
      <c r="C395" s="45" t="s">
        <v>726</v>
      </c>
      <c r="D395" s="45" t="s">
        <v>703</v>
      </c>
      <c r="E395" s="45"/>
      <c r="F395" s="33"/>
      <c r="G395" s="31">
        <f>SUM(G396+G408)</f>
        <v>312619.8</v>
      </c>
      <c r="H395" s="31">
        <f>SUM(H396+H408)</f>
        <v>222557.3</v>
      </c>
      <c r="I395" s="31">
        <f t="shared" si="9"/>
        <v>71.191044201295</v>
      </c>
      <c r="J395" s="237"/>
    </row>
    <row r="396" spans="1:10" s="119" customFormat="1" ht="15.75">
      <c r="A396" s="32" t="s">
        <v>169</v>
      </c>
      <c r="B396" s="118"/>
      <c r="C396" s="45" t="s">
        <v>726</v>
      </c>
      <c r="D396" s="45" t="s">
        <v>703</v>
      </c>
      <c r="E396" s="45" t="s">
        <v>170</v>
      </c>
      <c r="F396" s="33"/>
      <c r="G396" s="31">
        <f>SUM(G397)</f>
        <v>298492.1</v>
      </c>
      <c r="H396" s="31">
        <f>SUM(H397)</f>
        <v>213007.5</v>
      </c>
      <c r="I396" s="31">
        <f t="shared" si="9"/>
        <v>71.36118510339135</v>
      </c>
      <c r="J396" s="237"/>
    </row>
    <row r="397" spans="1:10" s="119" customFormat="1" ht="18.75" customHeight="1">
      <c r="A397" s="32" t="s">
        <v>805</v>
      </c>
      <c r="B397" s="118"/>
      <c r="C397" s="45" t="s">
        <v>726</v>
      </c>
      <c r="D397" s="45" t="s">
        <v>703</v>
      </c>
      <c r="E397" s="45" t="s">
        <v>171</v>
      </c>
      <c r="F397" s="33"/>
      <c r="G397" s="31">
        <f>SUM(G398+G402+G404+G406+G400)</f>
        <v>298492.1</v>
      </c>
      <c r="H397" s="31">
        <f>SUM(H398+H402+H404+H406+H400)</f>
        <v>213007.5</v>
      </c>
      <c r="I397" s="31">
        <f t="shared" si="9"/>
        <v>71.36118510339135</v>
      </c>
      <c r="J397" s="237"/>
    </row>
    <row r="398" spans="1:10" s="119" customFormat="1" ht="14.25" customHeight="1">
      <c r="A398" s="49" t="s">
        <v>807</v>
      </c>
      <c r="B398" s="66"/>
      <c r="C398" s="67" t="s">
        <v>726</v>
      </c>
      <c r="D398" s="67" t="s">
        <v>703</v>
      </c>
      <c r="E398" s="67" t="s">
        <v>171</v>
      </c>
      <c r="F398" s="34" t="s">
        <v>808</v>
      </c>
      <c r="G398" s="31">
        <v>269204.2</v>
      </c>
      <c r="H398" s="31">
        <v>187516.5</v>
      </c>
      <c r="I398" s="31">
        <f t="shared" si="9"/>
        <v>69.65585975255958</v>
      </c>
      <c r="J398" s="237">
        <f>SUM('ведомствен.'!G765)</f>
        <v>269204.2</v>
      </c>
    </row>
    <row r="399" spans="1:10" s="119" customFormat="1" ht="47.25" customHeight="1" hidden="1">
      <c r="A399" s="49" t="s">
        <v>172</v>
      </c>
      <c r="B399" s="66"/>
      <c r="C399" s="67" t="s">
        <v>726</v>
      </c>
      <c r="D399" s="67" t="s">
        <v>703</v>
      </c>
      <c r="E399" s="67" t="s">
        <v>171</v>
      </c>
      <c r="F399" s="33" t="s">
        <v>173</v>
      </c>
      <c r="G399" s="31"/>
      <c r="H399" s="31"/>
      <c r="I399" s="31" t="e">
        <f t="shared" si="9"/>
        <v>#DIV/0!</v>
      </c>
      <c r="J399" s="237"/>
    </row>
    <row r="400" spans="1:9" ht="60.75" customHeight="1">
      <c r="A400" s="49" t="s">
        <v>174</v>
      </c>
      <c r="B400" s="66"/>
      <c r="C400" s="67" t="s">
        <v>726</v>
      </c>
      <c r="D400" s="67" t="s">
        <v>703</v>
      </c>
      <c r="E400" s="67" t="s">
        <v>175</v>
      </c>
      <c r="F400" s="34"/>
      <c r="G400" s="31">
        <f>SUM(G401)</f>
        <v>312.3</v>
      </c>
      <c r="H400" s="31">
        <f>SUM(H401)</f>
        <v>120.3</v>
      </c>
      <c r="I400" s="31">
        <f t="shared" si="9"/>
        <v>38.52065321805956</v>
      </c>
    </row>
    <row r="401" spans="1:10" ht="30.75" customHeight="1">
      <c r="A401" s="49" t="s">
        <v>176</v>
      </c>
      <c r="B401" s="66"/>
      <c r="C401" s="67" t="s">
        <v>726</v>
      </c>
      <c r="D401" s="67" t="s">
        <v>703</v>
      </c>
      <c r="E401" s="67" t="s">
        <v>175</v>
      </c>
      <c r="F401" s="34" t="s">
        <v>177</v>
      </c>
      <c r="G401" s="31">
        <v>312.3</v>
      </c>
      <c r="H401" s="31">
        <v>120.3</v>
      </c>
      <c r="I401" s="31">
        <f t="shared" si="9"/>
        <v>38.52065321805956</v>
      </c>
      <c r="J401" s="237">
        <f>SUM('ведомствен.'!G767)</f>
        <v>312.3</v>
      </c>
    </row>
    <row r="402" spans="1:10" s="119" customFormat="1" ht="32.25" customHeight="1">
      <c r="A402" s="49" t="s">
        <v>178</v>
      </c>
      <c r="B402" s="28"/>
      <c r="C402" s="67" t="s">
        <v>726</v>
      </c>
      <c r="D402" s="67" t="s">
        <v>703</v>
      </c>
      <c r="E402" s="67" t="s">
        <v>179</v>
      </c>
      <c r="F402" s="33"/>
      <c r="G402" s="31">
        <f>SUM(G403)</f>
        <v>24134</v>
      </c>
      <c r="H402" s="31">
        <f>SUM(H403)</f>
        <v>24134</v>
      </c>
      <c r="I402" s="31">
        <f t="shared" si="9"/>
        <v>100</v>
      </c>
      <c r="J402" s="237"/>
    </row>
    <row r="403" spans="1:10" s="119" customFormat="1" ht="17.25" customHeight="1">
      <c r="A403" s="49" t="s">
        <v>807</v>
      </c>
      <c r="B403" s="66"/>
      <c r="C403" s="67" t="s">
        <v>726</v>
      </c>
      <c r="D403" s="67" t="s">
        <v>703</v>
      </c>
      <c r="E403" s="67" t="s">
        <v>179</v>
      </c>
      <c r="F403" s="34" t="s">
        <v>808</v>
      </c>
      <c r="G403" s="31">
        <v>24134</v>
      </c>
      <c r="H403" s="31">
        <v>24134</v>
      </c>
      <c r="I403" s="31">
        <f t="shared" si="9"/>
        <v>100</v>
      </c>
      <c r="J403" s="237">
        <f>SUM('ведомствен.'!G770)</f>
        <v>24134</v>
      </c>
    </row>
    <row r="404" spans="1:10" s="119" customFormat="1" ht="33" customHeight="1">
      <c r="A404" s="49" t="s">
        <v>180</v>
      </c>
      <c r="B404" s="66"/>
      <c r="C404" s="67" t="s">
        <v>726</v>
      </c>
      <c r="D404" s="67" t="s">
        <v>703</v>
      </c>
      <c r="E404" s="67" t="s">
        <v>181</v>
      </c>
      <c r="F404" s="34"/>
      <c r="G404" s="31">
        <f>SUM(G405)</f>
        <v>2341.6</v>
      </c>
      <c r="H404" s="31">
        <f>SUM(H405)</f>
        <v>1236.7</v>
      </c>
      <c r="I404" s="31">
        <f t="shared" si="9"/>
        <v>52.81431499829176</v>
      </c>
      <c r="J404" s="237"/>
    </row>
    <row r="405" spans="1:10" s="119" customFormat="1" ht="15.75" customHeight="1">
      <c r="A405" s="49" t="s">
        <v>807</v>
      </c>
      <c r="B405" s="66"/>
      <c r="C405" s="67" t="s">
        <v>726</v>
      </c>
      <c r="D405" s="67" t="s">
        <v>703</v>
      </c>
      <c r="E405" s="67" t="s">
        <v>181</v>
      </c>
      <c r="F405" s="34" t="s">
        <v>808</v>
      </c>
      <c r="G405" s="31">
        <v>2341.6</v>
      </c>
      <c r="H405" s="31">
        <v>1236.7</v>
      </c>
      <c r="I405" s="31">
        <f t="shared" si="9"/>
        <v>52.81431499829176</v>
      </c>
      <c r="J405" s="237">
        <f>SUM('ведомствен.'!G772)</f>
        <v>2341.6</v>
      </c>
    </row>
    <row r="406" spans="1:10" s="119" customFormat="1" ht="26.25" customHeight="1">
      <c r="A406" s="32" t="s">
        <v>182</v>
      </c>
      <c r="B406" s="36"/>
      <c r="C406" s="67" t="s">
        <v>726</v>
      </c>
      <c r="D406" s="67" t="s">
        <v>703</v>
      </c>
      <c r="E406" s="67" t="s">
        <v>183</v>
      </c>
      <c r="F406" s="34"/>
      <c r="G406" s="31">
        <f>SUM(G407)</f>
        <v>2500</v>
      </c>
      <c r="H406" s="31">
        <f>SUM(H407)</f>
        <v>0</v>
      </c>
      <c r="I406" s="31">
        <f t="shared" si="9"/>
        <v>0</v>
      </c>
      <c r="J406" s="237"/>
    </row>
    <row r="407" spans="1:10" s="119" customFormat="1" ht="21" customHeight="1">
      <c r="A407" s="49" t="s">
        <v>807</v>
      </c>
      <c r="B407" s="36"/>
      <c r="C407" s="67" t="s">
        <v>726</v>
      </c>
      <c r="D407" s="67" t="s">
        <v>703</v>
      </c>
      <c r="E407" s="67" t="s">
        <v>183</v>
      </c>
      <c r="F407" s="34" t="s">
        <v>808</v>
      </c>
      <c r="G407" s="31">
        <v>2500</v>
      </c>
      <c r="H407" s="31"/>
      <c r="I407" s="31">
        <f t="shared" si="9"/>
        <v>0</v>
      </c>
      <c r="J407" s="237">
        <f>SUM('ведомствен.'!G775)</f>
        <v>2500</v>
      </c>
    </row>
    <row r="408" spans="1:10" s="119" customFormat="1" ht="15.75" customHeight="1">
      <c r="A408" s="32" t="s">
        <v>881</v>
      </c>
      <c r="B408" s="66"/>
      <c r="C408" s="67" t="s">
        <v>726</v>
      </c>
      <c r="D408" s="67" t="s">
        <v>703</v>
      </c>
      <c r="E408" s="45" t="s">
        <v>882</v>
      </c>
      <c r="F408" s="34"/>
      <c r="G408" s="31">
        <f>SUM(G409)</f>
        <v>14127.7</v>
      </c>
      <c r="H408" s="31">
        <f>SUM(H409)</f>
        <v>9549.8</v>
      </c>
      <c r="I408" s="31">
        <f t="shared" si="9"/>
        <v>67.59628248051699</v>
      </c>
      <c r="J408" s="237"/>
    </row>
    <row r="409" spans="1:10" s="119" customFormat="1" ht="45" customHeight="1">
      <c r="A409" s="32" t="s">
        <v>184</v>
      </c>
      <c r="B409" s="66"/>
      <c r="C409" s="67" t="s">
        <v>726</v>
      </c>
      <c r="D409" s="67" t="s">
        <v>703</v>
      </c>
      <c r="E409" s="45" t="s">
        <v>185</v>
      </c>
      <c r="F409" s="34"/>
      <c r="G409" s="31">
        <f>SUM(G410)</f>
        <v>14127.7</v>
      </c>
      <c r="H409" s="31">
        <f>SUM(H410)</f>
        <v>9549.8</v>
      </c>
      <c r="I409" s="31">
        <f t="shared" si="9"/>
        <v>67.59628248051699</v>
      </c>
      <c r="J409" s="237"/>
    </row>
    <row r="410" spans="1:10" s="119" customFormat="1" ht="27.75" customHeight="1">
      <c r="A410" s="49" t="s">
        <v>807</v>
      </c>
      <c r="B410" s="66"/>
      <c r="C410" s="67" t="s">
        <v>726</v>
      </c>
      <c r="D410" s="67" t="s">
        <v>703</v>
      </c>
      <c r="E410" s="45" t="s">
        <v>185</v>
      </c>
      <c r="F410" s="34" t="s">
        <v>808</v>
      </c>
      <c r="G410" s="31">
        <v>14127.7</v>
      </c>
      <c r="H410" s="31">
        <v>9549.8</v>
      </c>
      <c r="I410" s="31">
        <f t="shared" si="9"/>
        <v>67.59628248051699</v>
      </c>
      <c r="J410" s="237">
        <f>SUM('ведомствен.'!G778)</f>
        <v>14127.7</v>
      </c>
    </row>
    <row r="411" spans="1:10" s="119" customFormat="1" ht="15.75" customHeight="1">
      <c r="A411" s="32" t="s">
        <v>186</v>
      </c>
      <c r="B411" s="118"/>
      <c r="C411" s="45" t="s">
        <v>726</v>
      </c>
      <c r="D411" s="45" t="s">
        <v>705</v>
      </c>
      <c r="E411" s="45"/>
      <c r="F411" s="33"/>
      <c r="G411" s="31">
        <f>SUM(G417+G437+G454+G470)+G475+G447+G466+G463+G412+G477</f>
        <v>552557.8999999999</v>
      </c>
      <c r="H411" s="31">
        <f>SUM(H417+H437+H454+H470)+H475+H447+H466+H463+H412+H477</f>
        <v>365363</v>
      </c>
      <c r="I411" s="31">
        <f t="shared" si="9"/>
        <v>66.12212041489228</v>
      </c>
      <c r="J411" s="237"/>
    </row>
    <row r="412" spans="1:10" s="119" customFormat="1" ht="16.5" customHeight="1" hidden="1">
      <c r="A412" s="32" t="s">
        <v>794</v>
      </c>
      <c r="B412" s="118"/>
      <c r="C412" s="45" t="s">
        <v>726</v>
      </c>
      <c r="D412" s="45" t="s">
        <v>705</v>
      </c>
      <c r="E412" s="45" t="s">
        <v>796</v>
      </c>
      <c r="F412" s="33"/>
      <c r="G412" s="31">
        <f>SUM(G413+G415)</f>
        <v>0</v>
      </c>
      <c r="H412" s="31">
        <f>SUM(H413+H415)</f>
        <v>0</v>
      </c>
      <c r="I412" s="31" t="e">
        <f t="shared" si="9"/>
        <v>#DIV/0!</v>
      </c>
      <c r="J412" s="237"/>
    </row>
    <row r="413" spans="1:9" ht="20.25" customHeight="1" hidden="1">
      <c r="A413" s="94" t="s">
        <v>187</v>
      </c>
      <c r="B413" s="118"/>
      <c r="C413" s="45" t="s">
        <v>726</v>
      </c>
      <c r="D413" s="45" t="s">
        <v>705</v>
      </c>
      <c r="E413" s="45" t="s">
        <v>188</v>
      </c>
      <c r="F413" s="33"/>
      <c r="G413" s="31">
        <f>SUM(G414)</f>
        <v>0</v>
      </c>
      <c r="H413" s="31">
        <f>SUM(H414)</f>
        <v>0</v>
      </c>
      <c r="I413" s="31" t="e">
        <f t="shared" si="9"/>
        <v>#DIV/0!</v>
      </c>
    </row>
    <row r="414" spans="1:9" ht="20.25" customHeight="1" hidden="1">
      <c r="A414" s="49" t="s">
        <v>807</v>
      </c>
      <c r="B414" s="118"/>
      <c r="C414" s="45" t="s">
        <v>726</v>
      </c>
      <c r="D414" s="45" t="s">
        <v>705</v>
      </c>
      <c r="E414" s="45" t="s">
        <v>188</v>
      </c>
      <c r="F414" s="33" t="s">
        <v>808</v>
      </c>
      <c r="G414" s="31"/>
      <c r="H414" s="31"/>
      <c r="I414" s="31" t="e">
        <f t="shared" si="9"/>
        <v>#DIV/0!</v>
      </c>
    </row>
    <row r="415" spans="1:9" ht="20.25" customHeight="1" hidden="1">
      <c r="A415" s="27" t="s">
        <v>765</v>
      </c>
      <c r="B415" s="28"/>
      <c r="C415" s="45" t="s">
        <v>726</v>
      </c>
      <c r="D415" s="45" t="s">
        <v>705</v>
      </c>
      <c r="E415" s="29" t="s">
        <v>766</v>
      </c>
      <c r="F415" s="33"/>
      <c r="G415" s="31">
        <f>SUM(G416)</f>
        <v>0</v>
      </c>
      <c r="H415" s="31">
        <f>SUM(H416)</f>
        <v>0</v>
      </c>
      <c r="I415" s="31" t="e">
        <f t="shared" si="9"/>
        <v>#DIV/0!</v>
      </c>
    </row>
    <row r="416" spans="1:9" ht="20.25" customHeight="1" hidden="1">
      <c r="A416" s="49" t="s">
        <v>807</v>
      </c>
      <c r="B416" s="118"/>
      <c r="C416" s="45" t="s">
        <v>726</v>
      </c>
      <c r="D416" s="45" t="s">
        <v>705</v>
      </c>
      <c r="E416" s="45" t="s">
        <v>766</v>
      </c>
      <c r="F416" s="33" t="s">
        <v>808</v>
      </c>
      <c r="G416" s="31"/>
      <c r="H416" s="31"/>
      <c r="I416" s="31" t="e">
        <f t="shared" si="9"/>
        <v>#DIV/0!</v>
      </c>
    </row>
    <row r="417" spans="1:10" s="119" customFormat="1" ht="28.5" customHeight="1">
      <c r="A417" s="32" t="s">
        <v>189</v>
      </c>
      <c r="B417" s="118"/>
      <c r="C417" s="45" t="s">
        <v>726</v>
      </c>
      <c r="D417" s="45" t="s">
        <v>705</v>
      </c>
      <c r="E417" s="45" t="s">
        <v>190</v>
      </c>
      <c r="F417" s="33"/>
      <c r="G417" s="31">
        <f>SUM(G418)</f>
        <v>395277.39999999997</v>
      </c>
      <c r="H417" s="31">
        <f>SUM(H418)</f>
        <v>260775.1</v>
      </c>
      <c r="I417" s="31">
        <f t="shared" si="9"/>
        <v>65.97268146370119</v>
      </c>
      <c r="J417" s="237"/>
    </row>
    <row r="418" spans="1:10" s="119" customFormat="1" ht="18.75" customHeight="1">
      <c r="A418" s="32" t="s">
        <v>805</v>
      </c>
      <c r="B418" s="118"/>
      <c r="C418" s="45" t="s">
        <v>726</v>
      </c>
      <c r="D418" s="45" t="s">
        <v>705</v>
      </c>
      <c r="E418" s="45" t="s">
        <v>191</v>
      </c>
      <c r="F418" s="33"/>
      <c r="G418" s="31">
        <f>SUM(G419+G426+G428+G430+G435+G422+G424)+G433</f>
        <v>395277.39999999997</v>
      </c>
      <c r="H418" s="31">
        <f>SUM(H419+H426+H428+H430+H435+H422+H424)+H433</f>
        <v>260775.1</v>
      </c>
      <c r="I418" s="31">
        <f aca="true" t="shared" si="12" ref="I418:I481">SUM(H418/G418*100)</f>
        <v>65.97268146370119</v>
      </c>
      <c r="J418" s="237"/>
    </row>
    <row r="419" spans="1:10" s="119" customFormat="1" ht="21" customHeight="1">
      <c r="A419" s="49" t="s">
        <v>807</v>
      </c>
      <c r="B419" s="66"/>
      <c r="C419" s="45" t="s">
        <v>726</v>
      </c>
      <c r="D419" s="45" t="s">
        <v>705</v>
      </c>
      <c r="E419" s="45" t="s">
        <v>191</v>
      </c>
      <c r="F419" s="34" t="s">
        <v>808</v>
      </c>
      <c r="G419" s="31">
        <v>94633.1</v>
      </c>
      <c r="H419" s="31">
        <v>53118.9</v>
      </c>
      <c r="I419" s="31">
        <f t="shared" si="12"/>
        <v>56.131417020049014</v>
      </c>
      <c r="J419" s="237">
        <f>SUM('ведомствен.'!G787)</f>
        <v>94633.1</v>
      </c>
    </row>
    <row r="420" spans="1:10" s="119" customFormat="1" ht="47.25" customHeight="1" hidden="1">
      <c r="A420" s="49" t="s">
        <v>172</v>
      </c>
      <c r="B420" s="66"/>
      <c r="C420" s="45" t="s">
        <v>726</v>
      </c>
      <c r="D420" s="45" t="s">
        <v>705</v>
      </c>
      <c r="E420" s="45" t="s">
        <v>191</v>
      </c>
      <c r="F420" s="33" t="s">
        <v>173</v>
      </c>
      <c r="G420" s="31"/>
      <c r="H420" s="31"/>
      <c r="I420" s="31" t="e">
        <f t="shared" si="12"/>
        <v>#DIV/0!</v>
      </c>
      <c r="J420" s="237"/>
    </row>
    <row r="421" spans="1:10" s="119" customFormat="1" ht="49.5" customHeight="1" hidden="1">
      <c r="A421" s="49" t="s">
        <v>192</v>
      </c>
      <c r="B421" s="66"/>
      <c r="C421" s="45" t="s">
        <v>726</v>
      </c>
      <c r="D421" s="45" t="s">
        <v>705</v>
      </c>
      <c r="E421" s="45" t="s">
        <v>191</v>
      </c>
      <c r="F421" s="34" t="s">
        <v>193</v>
      </c>
      <c r="G421" s="31"/>
      <c r="H421" s="31"/>
      <c r="I421" s="31" t="e">
        <f t="shared" si="12"/>
        <v>#DIV/0!</v>
      </c>
      <c r="J421" s="237"/>
    </row>
    <row r="422" spans="1:10" s="119" customFormat="1" ht="67.5" customHeight="1">
      <c r="A422" s="49" t="s">
        <v>174</v>
      </c>
      <c r="B422" s="66"/>
      <c r="C422" s="45" t="s">
        <v>726</v>
      </c>
      <c r="D422" s="45" t="s">
        <v>705</v>
      </c>
      <c r="E422" s="67" t="s">
        <v>194</v>
      </c>
      <c r="F422" s="34"/>
      <c r="G422" s="31">
        <f>SUM(G423)</f>
        <v>656.3</v>
      </c>
      <c r="H422" s="31">
        <f>SUM(H423)</f>
        <v>392.5</v>
      </c>
      <c r="I422" s="31">
        <f t="shared" si="12"/>
        <v>59.8049672405912</v>
      </c>
      <c r="J422" s="237"/>
    </row>
    <row r="423" spans="1:10" s="119" customFormat="1" ht="32.25" customHeight="1">
      <c r="A423" s="49" t="s">
        <v>176</v>
      </c>
      <c r="B423" s="66"/>
      <c r="C423" s="45" t="s">
        <v>726</v>
      </c>
      <c r="D423" s="45" t="s">
        <v>705</v>
      </c>
      <c r="E423" s="67" t="s">
        <v>194</v>
      </c>
      <c r="F423" s="34" t="s">
        <v>177</v>
      </c>
      <c r="G423" s="31">
        <v>656.3</v>
      </c>
      <c r="H423" s="31">
        <v>392.5</v>
      </c>
      <c r="I423" s="31">
        <f t="shared" si="12"/>
        <v>59.8049672405912</v>
      </c>
      <c r="J423" s="237">
        <f>SUM('ведомствен.'!G788)</f>
        <v>656.3</v>
      </c>
    </row>
    <row r="424" spans="1:10" s="119" customFormat="1" ht="32.25" customHeight="1" hidden="1">
      <c r="A424" s="49" t="s">
        <v>195</v>
      </c>
      <c r="B424" s="66"/>
      <c r="C424" s="45" t="s">
        <v>726</v>
      </c>
      <c r="D424" s="45" t="s">
        <v>705</v>
      </c>
      <c r="E424" s="67" t="s">
        <v>196</v>
      </c>
      <c r="F424" s="34"/>
      <c r="G424" s="31">
        <f>SUM(G425)</f>
        <v>0</v>
      </c>
      <c r="H424" s="31">
        <f>SUM(H425)</f>
        <v>0</v>
      </c>
      <c r="I424" s="31" t="e">
        <f t="shared" si="12"/>
        <v>#DIV/0!</v>
      </c>
      <c r="J424" s="237"/>
    </row>
    <row r="425" spans="1:10" s="119" customFormat="1" ht="26.25" customHeight="1" hidden="1">
      <c r="A425" s="49" t="s">
        <v>807</v>
      </c>
      <c r="B425" s="66"/>
      <c r="C425" s="45" t="s">
        <v>726</v>
      </c>
      <c r="D425" s="45" t="s">
        <v>705</v>
      </c>
      <c r="E425" s="67" t="s">
        <v>196</v>
      </c>
      <c r="F425" s="34" t="s">
        <v>808</v>
      </c>
      <c r="G425" s="31"/>
      <c r="H425" s="31"/>
      <c r="I425" s="31" t="e">
        <f t="shared" si="12"/>
        <v>#DIV/0!</v>
      </c>
      <c r="J425" s="237"/>
    </row>
    <row r="426" spans="1:10" s="119" customFormat="1" ht="60.75" customHeight="1">
      <c r="A426" s="49" t="s">
        <v>197</v>
      </c>
      <c r="B426" s="66"/>
      <c r="C426" s="45" t="s">
        <v>726</v>
      </c>
      <c r="D426" s="45" t="s">
        <v>705</v>
      </c>
      <c r="E426" s="45" t="s">
        <v>198</v>
      </c>
      <c r="F426" s="34"/>
      <c r="G426" s="31">
        <f>SUM(G427)</f>
        <v>9564.4</v>
      </c>
      <c r="H426" s="31">
        <f>SUM(H427)</f>
        <v>5014</v>
      </c>
      <c r="I426" s="31">
        <f t="shared" si="12"/>
        <v>52.423570741499724</v>
      </c>
      <c r="J426" s="237"/>
    </row>
    <row r="427" spans="1:10" s="119" customFormat="1" ht="22.5" customHeight="1">
      <c r="A427" s="49" t="s">
        <v>807</v>
      </c>
      <c r="B427" s="66"/>
      <c r="C427" s="45" t="s">
        <v>726</v>
      </c>
      <c r="D427" s="45" t="s">
        <v>705</v>
      </c>
      <c r="E427" s="45" t="s">
        <v>198</v>
      </c>
      <c r="F427" s="34" t="s">
        <v>808</v>
      </c>
      <c r="G427" s="31">
        <v>9564.4</v>
      </c>
      <c r="H427" s="31">
        <v>5014</v>
      </c>
      <c r="I427" s="31">
        <f t="shared" si="12"/>
        <v>52.423570741499724</v>
      </c>
      <c r="J427" s="237">
        <f>SUM('ведомствен.'!G796)</f>
        <v>9564.4</v>
      </c>
    </row>
    <row r="428" spans="1:9" ht="58.5" customHeight="1" hidden="1">
      <c r="A428" s="32" t="s">
        <v>199</v>
      </c>
      <c r="B428" s="36"/>
      <c r="C428" s="45" t="s">
        <v>726</v>
      </c>
      <c r="D428" s="45" t="s">
        <v>705</v>
      </c>
      <c r="E428" s="45" t="s">
        <v>200</v>
      </c>
      <c r="F428" s="34"/>
      <c r="G428" s="31">
        <f>SUM(G429)</f>
        <v>0</v>
      </c>
      <c r="H428" s="31">
        <f>SUM(H429)</f>
        <v>0</v>
      </c>
      <c r="I428" s="31" t="e">
        <f t="shared" si="12"/>
        <v>#DIV/0!</v>
      </c>
    </row>
    <row r="429" spans="1:10" s="119" customFormat="1" ht="18" customHeight="1" hidden="1">
      <c r="A429" s="49" t="s">
        <v>807</v>
      </c>
      <c r="B429" s="66"/>
      <c r="C429" s="45" t="s">
        <v>726</v>
      </c>
      <c r="D429" s="45" t="s">
        <v>705</v>
      </c>
      <c r="E429" s="45" t="s">
        <v>200</v>
      </c>
      <c r="F429" s="34" t="s">
        <v>808</v>
      </c>
      <c r="G429" s="31"/>
      <c r="H429" s="31"/>
      <c r="I429" s="31" t="e">
        <f t="shared" si="12"/>
        <v>#DIV/0!</v>
      </c>
      <c r="J429" s="237"/>
    </row>
    <row r="430" spans="1:9" ht="45" customHeight="1">
      <c r="A430" s="49" t="s">
        <v>201</v>
      </c>
      <c r="B430" s="66"/>
      <c r="C430" s="45" t="s">
        <v>726</v>
      </c>
      <c r="D430" s="45" t="s">
        <v>705</v>
      </c>
      <c r="E430" s="45" t="s">
        <v>202</v>
      </c>
      <c r="F430" s="34"/>
      <c r="G430" s="31">
        <f>SUM(G431)</f>
        <v>799</v>
      </c>
      <c r="H430" s="31">
        <f>SUM(H431)</f>
        <v>454</v>
      </c>
      <c r="I430" s="31">
        <f t="shared" si="12"/>
        <v>56.82102628285357</v>
      </c>
    </row>
    <row r="431" spans="1:10" s="119" customFormat="1" ht="18.75" customHeight="1">
      <c r="A431" s="49" t="s">
        <v>807</v>
      </c>
      <c r="B431" s="66"/>
      <c r="C431" s="45" t="s">
        <v>726</v>
      </c>
      <c r="D431" s="45" t="s">
        <v>705</v>
      </c>
      <c r="E431" s="45" t="s">
        <v>202</v>
      </c>
      <c r="F431" s="34" t="s">
        <v>808</v>
      </c>
      <c r="G431" s="31">
        <f>772.3+26.7</f>
        <v>799</v>
      </c>
      <c r="H431" s="31">
        <v>454</v>
      </c>
      <c r="I431" s="31">
        <f t="shared" si="12"/>
        <v>56.82102628285357</v>
      </c>
      <c r="J431" s="237">
        <f>SUM('ведомствен.'!G799)</f>
        <v>799</v>
      </c>
    </row>
    <row r="432" spans="1:9" ht="27" customHeight="1" hidden="1">
      <c r="A432" s="32" t="s">
        <v>261</v>
      </c>
      <c r="B432" s="66"/>
      <c r="C432" s="45" t="s">
        <v>726</v>
      </c>
      <c r="D432" s="45" t="s">
        <v>705</v>
      </c>
      <c r="E432" s="45" t="s">
        <v>191</v>
      </c>
      <c r="F432" s="34" t="s">
        <v>262</v>
      </c>
      <c r="G432" s="31"/>
      <c r="H432" s="31"/>
      <c r="I432" s="31" t="e">
        <f t="shared" si="12"/>
        <v>#DIV/0!</v>
      </c>
    </row>
    <row r="433" spans="1:9" ht="57" customHeight="1" hidden="1">
      <c r="A433" s="49" t="s">
        <v>263</v>
      </c>
      <c r="B433" s="66"/>
      <c r="C433" s="45" t="s">
        <v>726</v>
      </c>
      <c r="D433" s="45" t="s">
        <v>705</v>
      </c>
      <c r="E433" s="45" t="s">
        <v>264</v>
      </c>
      <c r="F433" s="34"/>
      <c r="G433" s="31">
        <f>SUM(G434)</f>
        <v>0</v>
      </c>
      <c r="H433" s="31">
        <f>SUM(H434)</f>
        <v>0</v>
      </c>
      <c r="I433" s="31" t="e">
        <f t="shared" si="12"/>
        <v>#DIV/0!</v>
      </c>
    </row>
    <row r="434" spans="1:9" ht="25.5" customHeight="1" hidden="1">
      <c r="A434" s="49" t="s">
        <v>265</v>
      </c>
      <c r="B434" s="66"/>
      <c r="C434" s="45" t="s">
        <v>726</v>
      </c>
      <c r="D434" s="45" t="s">
        <v>705</v>
      </c>
      <c r="E434" s="45" t="s">
        <v>264</v>
      </c>
      <c r="F434" s="34" t="s">
        <v>266</v>
      </c>
      <c r="G434" s="31"/>
      <c r="H434" s="31"/>
      <c r="I434" s="31" t="e">
        <f t="shared" si="12"/>
        <v>#DIV/0!</v>
      </c>
    </row>
    <row r="435" spans="1:9" ht="62.25" customHeight="1">
      <c r="A435" s="49" t="s">
        <v>267</v>
      </c>
      <c r="B435" s="66"/>
      <c r="C435" s="45" t="s">
        <v>726</v>
      </c>
      <c r="D435" s="45" t="s">
        <v>705</v>
      </c>
      <c r="E435" s="45" t="s">
        <v>268</v>
      </c>
      <c r="F435" s="34"/>
      <c r="G435" s="31">
        <f>SUM(G436)</f>
        <v>289624.6</v>
      </c>
      <c r="H435" s="31">
        <f>SUM(H436)</f>
        <v>201795.7</v>
      </c>
      <c r="I435" s="31">
        <f t="shared" si="12"/>
        <v>69.67491711684713</v>
      </c>
    </row>
    <row r="436" spans="1:10" ht="20.25" customHeight="1">
      <c r="A436" s="49" t="s">
        <v>807</v>
      </c>
      <c r="B436" s="66"/>
      <c r="C436" s="45" t="s">
        <v>726</v>
      </c>
      <c r="D436" s="45" t="s">
        <v>705</v>
      </c>
      <c r="E436" s="45" t="s">
        <v>268</v>
      </c>
      <c r="F436" s="34" t="s">
        <v>808</v>
      </c>
      <c r="G436" s="31">
        <f>280453.5+9171.1</f>
        <v>289624.6</v>
      </c>
      <c r="H436" s="31">
        <v>201795.7</v>
      </c>
      <c r="I436" s="31">
        <f t="shared" si="12"/>
        <v>69.67491711684713</v>
      </c>
      <c r="J436" s="237">
        <f>SUM('ведомствен.'!G804)</f>
        <v>289624.6</v>
      </c>
    </row>
    <row r="437" spans="1:9" ht="18" customHeight="1">
      <c r="A437" s="27" t="s">
        <v>269</v>
      </c>
      <c r="B437" s="28"/>
      <c r="C437" s="45" t="s">
        <v>726</v>
      </c>
      <c r="D437" s="45" t="s">
        <v>705</v>
      </c>
      <c r="E437" s="45" t="s">
        <v>270</v>
      </c>
      <c r="F437" s="33"/>
      <c r="G437" s="31">
        <f>SUM(G438)</f>
        <v>82637.70000000001</v>
      </c>
      <c r="H437" s="31">
        <f>SUM(H438)</f>
        <v>56800.6</v>
      </c>
      <c r="I437" s="31">
        <f t="shared" si="12"/>
        <v>68.73448801213004</v>
      </c>
    </row>
    <row r="438" spans="1:9" ht="18" customHeight="1">
      <c r="A438" s="32" t="s">
        <v>805</v>
      </c>
      <c r="B438" s="118"/>
      <c r="C438" s="45" t="s">
        <v>726</v>
      </c>
      <c r="D438" s="45" t="s">
        <v>705</v>
      </c>
      <c r="E438" s="45" t="s">
        <v>271</v>
      </c>
      <c r="F438" s="33"/>
      <c r="G438" s="31">
        <f>SUM(G439+G444+G442)</f>
        <v>82637.70000000001</v>
      </c>
      <c r="H438" s="31">
        <f>SUM(H439+H444+H442)</f>
        <v>56800.6</v>
      </c>
      <c r="I438" s="31">
        <f t="shared" si="12"/>
        <v>68.73448801213004</v>
      </c>
    </row>
    <row r="439" spans="1:10" ht="15.75" customHeight="1">
      <c r="A439" s="49" t="s">
        <v>807</v>
      </c>
      <c r="B439" s="66"/>
      <c r="C439" s="45" t="s">
        <v>726</v>
      </c>
      <c r="D439" s="45" t="s">
        <v>705</v>
      </c>
      <c r="E439" s="45" t="s">
        <v>271</v>
      </c>
      <c r="F439" s="34" t="s">
        <v>808</v>
      </c>
      <c r="G439" s="31">
        <f>56649.8+25454.4+177-17-6183.6+6418.5</f>
        <v>82499.1</v>
      </c>
      <c r="H439" s="31">
        <v>56722</v>
      </c>
      <c r="I439" s="31">
        <f t="shared" si="12"/>
        <v>68.75468944509697</v>
      </c>
      <c r="J439" s="228">
        <f>SUM('ведомствен.'!G696+'ведомствен.'!G808+'ведомствен.'!G909)</f>
        <v>82499.1</v>
      </c>
    </row>
    <row r="440" spans="1:9" ht="45.75" customHeight="1" hidden="1">
      <c r="A440" s="49" t="s">
        <v>272</v>
      </c>
      <c r="B440" s="66"/>
      <c r="C440" s="45" t="s">
        <v>726</v>
      </c>
      <c r="D440" s="45" t="s">
        <v>705</v>
      </c>
      <c r="E440" s="45" t="s">
        <v>271</v>
      </c>
      <c r="F440" s="34" t="s">
        <v>273</v>
      </c>
      <c r="G440" s="31"/>
      <c r="H440" s="31"/>
      <c r="I440" s="31" t="e">
        <f t="shared" si="12"/>
        <v>#DIV/0!</v>
      </c>
    </row>
    <row r="441" spans="1:10" s="119" customFormat="1" ht="47.25" customHeight="1" hidden="1">
      <c r="A441" s="49" t="s">
        <v>172</v>
      </c>
      <c r="B441" s="66"/>
      <c r="C441" s="45" t="s">
        <v>726</v>
      </c>
      <c r="D441" s="45" t="s">
        <v>705</v>
      </c>
      <c r="E441" s="45" t="s">
        <v>271</v>
      </c>
      <c r="F441" s="33" t="s">
        <v>173</v>
      </c>
      <c r="G441" s="31"/>
      <c r="H441" s="31"/>
      <c r="I441" s="31" t="e">
        <f t="shared" si="12"/>
        <v>#DIV/0!</v>
      </c>
      <c r="J441" s="237"/>
    </row>
    <row r="442" spans="1:10" s="119" customFormat="1" ht="66.75" customHeight="1">
      <c r="A442" s="49" t="s">
        <v>174</v>
      </c>
      <c r="B442" s="66"/>
      <c r="C442" s="45" t="s">
        <v>726</v>
      </c>
      <c r="D442" s="45" t="s">
        <v>705</v>
      </c>
      <c r="E442" s="67" t="s">
        <v>274</v>
      </c>
      <c r="F442" s="34"/>
      <c r="G442" s="31">
        <f>SUM(G443)</f>
        <v>138.6</v>
      </c>
      <c r="H442" s="31">
        <f>SUM(H443)</f>
        <v>78.6</v>
      </c>
      <c r="I442" s="31">
        <f t="shared" si="12"/>
        <v>56.709956709956714</v>
      </c>
      <c r="J442" s="237"/>
    </row>
    <row r="443" spans="1:10" s="119" customFormat="1" ht="34.5" customHeight="1">
      <c r="A443" s="49" t="s">
        <v>176</v>
      </c>
      <c r="B443" s="66"/>
      <c r="C443" s="45" t="s">
        <v>726</v>
      </c>
      <c r="D443" s="45" t="s">
        <v>705</v>
      </c>
      <c r="E443" s="67" t="s">
        <v>274</v>
      </c>
      <c r="F443" s="34" t="s">
        <v>177</v>
      </c>
      <c r="G443" s="31">
        <v>138.6</v>
      </c>
      <c r="H443" s="31">
        <v>78.6</v>
      </c>
      <c r="I443" s="31">
        <f t="shared" si="12"/>
        <v>56.709956709956714</v>
      </c>
      <c r="J443" s="228">
        <f>SUM('ведомствен.'!G810)</f>
        <v>138.6</v>
      </c>
    </row>
    <row r="444" spans="1:10" s="119" customFormat="1" ht="65.25" customHeight="1" hidden="1">
      <c r="A444" s="32" t="s">
        <v>199</v>
      </c>
      <c r="B444" s="66"/>
      <c r="C444" s="45" t="s">
        <v>726</v>
      </c>
      <c r="D444" s="45" t="s">
        <v>705</v>
      </c>
      <c r="E444" s="45" t="s">
        <v>275</v>
      </c>
      <c r="F444" s="34"/>
      <c r="G444" s="31">
        <f>SUM(G445)</f>
        <v>0</v>
      </c>
      <c r="H444" s="31">
        <f>SUM(H445)</f>
        <v>0</v>
      </c>
      <c r="I444" s="31" t="e">
        <f t="shared" si="12"/>
        <v>#DIV/0!</v>
      </c>
      <c r="J444" s="237"/>
    </row>
    <row r="445" spans="1:9" ht="15.75" customHeight="1" hidden="1">
      <c r="A445" s="49" t="s">
        <v>807</v>
      </c>
      <c r="B445" s="66"/>
      <c r="C445" s="45" t="s">
        <v>726</v>
      </c>
      <c r="D445" s="45" t="s">
        <v>705</v>
      </c>
      <c r="E445" s="45" t="s">
        <v>275</v>
      </c>
      <c r="F445" s="34" t="s">
        <v>808</v>
      </c>
      <c r="G445" s="31"/>
      <c r="H445" s="31"/>
      <c r="I445" s="31" t="e">
        <f t="shared" si="12"/>
        <v>#DIV/0!</v>
      </c>
    </row>
    <row r="446" spans="1:9" ht="18.75" customHeight="1" hidden="1">
      <c r="A446" s="32" t="s">
        <v>261</v>
      </c>
      <c r="B446" s="66"/>
      <c r="C446" s="45" t="s">
        <v>726</v>
      </c>
      <c r="D446" s="45" t="s">
        <v>705</v>
      </c>
      <c r="E446" s="45" t="s">
        <v>271</v>
      </c>
      <c r="F446" s="34" t="s">
        <v>262</v>
      </c>
      <c r="G446" s="31"/>
      <c r="H446" s="31"/>
      <c r="I446" s="31" t="e">
        <f t="shared" si="12"/>
        <v>#DIV/0!</v>
      </c>
    </row>
    <row r="447" spans="1:10" s="2" customFormat="1" ht="15">
      <c r="A447" s="27" t="s">
        <v>276</v>
      </c>
      <c r="B447" s="28"/>
      <c r="C447" s="45" t="s">
        <v>726</v>
      </c>
      <c r="D447" s="45" t="s">
        <v>705</v>
      </c>
      <c r="E447" s="45" t="s">
        <v>277</v>
      </c>
      <c r="F447" s="59"/>
      <c r="G447" s="31">
        <f>SUM(G448)</f>
        <v>40421.700000000004</v>
      </c>
      <c r="H447" s="31">
        <f>SUM(H448)</f>
        <v>25662.5</v>
      </c>
      <c r="I447" s="31">
        <f t="shared" si="12"/>
        <v>63.4869389461601</v>
      </c>
      <c r="J447" s="238"/>
    </row>
    <row r="448" spans="1:10" s="2" customFormat="1" ht="18" customHeight="1">
      <c r="A448" s="32" t="s">
        <v>805</v>
      </c>
      <c r="B448" s="28"/>
      <c r="C448" s="45" t="s">
        <v>726</v>
      </c>
      <c r="D448" s="45" t="s">
        <v>705</v>
      </c>
      <c r="E448" s="45" t="s">
        <v>278</v>
      </c>
      <c r="F448" s="59"/>
      <c r="G448" s="31">
        <f>SUM(G452+G450+G449)</f>
        <v>40421.700000000004</v>
      </c>
      <c r="H448" s="31">
        <f>SUM(H452+H450+H449)</f>
        <v>25662.5</v>
      </c>
      <c r="I448" s="31">
        <f t="shared" si="12"/>
        <v>63.4869389461601</v>
      </c>
      <c r="J448" s="238"/>
    </row>
    <row r="449" spans="1:10" s="2" customFormat="1" ht="18.75" customHeight="1" hidden="1">
      <c r="A449" s="49" t="s">
        <v>807</v>
      </c>
      <c r="B449" s="28"/>
      <c r="C449" s="45" t="s">
        <v>726</v>
      </c>
      <c r="D449" s="45" t="s">
        <v>705</v>
      </c>
      <c r="E449" s="29" t="s">
        <v>279</v>
      </c>
      <c r="F449" s="33" t="s">
        <v>808</v>
      </c>
      <c r="G449" s="31"/>
      <c r="H449" s="31"/>
      <c r="I449" s="31" t="e">
        <f t="shared" si="12"/>
        <v>#DIV/0!</v>
      </c>
      <c r="J449" s="238"/>
    </row>
    <row r="450" spans="1:10" s="2" customFormat="1" ht="47.25" customHeight="1">
      <c r="A450" s="49" t="s">
        <v>201</v>
      </c>
      <c r="B450" s="66"/>
      <c r="C450" s="45" t="s">
        <v>726</v>
      </c>
      <c r="D450" s="45" t="s">
        <v>705</v>
      </c>
      <c r="E450" s="45" t="s">
        <v>280</v>
      </c>
      <c r="F450" s="34"/>
      <c r="G450" s="31">
        <f>SUM(G451)</f>
        <v>42.4</v>
      </c>
      <c r="H450" s="31">
        <f>SUM(H451)</f>
        <v>27.5</v>
      </c>
      <c r="I450" s="31">
        <f t="shared" si="12"/>
        <v>64.85849056603774</v>
      </c>
      <c r="J450" s="238"/>
    </row>
    <row r="451" spans="1:10" s="2" customFormat="1" ht="18.75" customHeight="1">
      <c r="A451" s="49" t="s">
        <v>807</v>
      </c>
      <c r="B451" s="28"/>
      <c r="C451" s="45" t="s">
        <v>726</v>
      </c>
      <c r="D451" s="45" t="s">
        <v>705</v>
      </c>
      <c r="E451" s="45" t="s">
        <v>280</v>
      </c>
      <c r="F451" s="33" t="s">
        <v>808</v>
      </c>
      <c r="G451" s="31">
        <f>19.7+22.7</f>
        <v>42.4</v>
      </c>
      <c r="H451" s="31">
        <v>27.5</v>
      </c>
      <c r="I451" s="31">
        <f t="shared" si="12"/>
        <v>64.85849056603774</v>
      </c>
      <c r="J451" s="238">
        <f>SUM('ведомствен.'!G481)</f>
        <v>42.4</v>
      </c>
    </row>
    <row r="452" spans="1:10" s="2" customFormat="1" ht="32.25" customHeight="1">
      <c r="A452" s="32" t="s">
        <v>281</v>
      </c>
      <c r="B452" s="28"/>
      <c r="C452" s="45" t="s">
        <v>726</v>
      </c>
      <c r="D452" s="45" t="s">
        <v>705</v>
      </c>
      <c r="E452" s="45" t="s">
        <v>282</v>
      </c>
      <c r="F452" s="59"/>
      <c r="G452" s="31">
        <f>SUM(G453)</f>
        <v>40379.3</v>
      </c>
      <c r="H452" s="31">
        <f>SUM(H453)</f>
        <v>25635</v>
      </c>
      <c r="I452" s="31">
        <f t="shared" si="12"/>
        <v>63.485498758027006</v>
      </c>
      <c r="J452" s="238"/>
    </row>
    <row r="453" spans="1:10" s="2" customFormat="1" ht="15">
      <c r="A453" s="46" t="s">
        <v>807</v>
      </c>
      <c r="B453" s="28"/>
      <c r="C453" s="45" t="s">
        <v>726</v>
      </c>
      <c r="D453" s="45" t="s">
        <v>705</v>
      </c>
      <c r="E453" s="45" t="s">
        <v>282</v>
      </c>
      <c r="F453" s="59" t="s">
        <v>808</v>
      </c>
      <c r="G453" s="31">
        <f>39637.9+741.4</f>
        <v>40379.3</v>
      </c>
      <c r="H453" s="31">
        <v>25635</v>
      </c>
      <c r="I453" s="31">
        <f t="shared" si="12"/>
        <v>63.485498758027006</v>
      </c>
      <c r="J453" s="238">
        <f>SUM('ведомствен.'!G483)</f>
        <v>40379.3</v>
      </c>
    </row>
    <row r="454" spans="1:9" ht="18" customHeight="1">
      <c r="A454" s="32" t="s">
        <v>283</v>
      </c>
      <c r="B454" s="45"/>
      <c r="C454" s="45" t="s">
        <v>726</v>
      </c>
      <c r="D454" s="45" t="s">
        <v>705</v>
      </c>
      <c r="E454" s="45" t="s">
        <v>284</v>
      </c>
      <c r="F454" s="33"/>
      <c r="G454" s="31">
        <f>SUM(G455)</f>
        <v>21611.8</v>
      </c>
      <c r="H454" s="31">
        <f>SUM(H455)</f>
        <v>13916.300000000001</v>
      </c>
      <c r="I454" s="31">
        <f t="shared" si="12"/>
        <v>64.39213762851776</v>
      </c>
    </row>
    <row r="455" spans="1:9" ht="16.5" customHeight="1">
      <c r="A455" s="32" t="s">
        <v>805</v>
      </c>
      <c r="B455" s="118"/>
      <c r="C455" s="45" t="s">
        <v>726</v>
      </c>
      <c r="D455" s="45" t="s">
        <v>705</v>
      </c>
      <c r="E455" s="45" t="s">
        <v>285</v>
      </c>
      <c r="F455" s="33"/>
      <c r="G455" s="31">
        <f>SUM(G457+G459+G461)</f>
        <v>21611.8</v>
      </c>
      <c r="H455" s="31">
        <f>SUM(H457+H459+H461)</f>
        <v>13916.300000000001</v>
      </c>
      <c r="I455" s="31">
        <f t="shared" si="12"/>
        <v>64.39213762851776</v>
      </c>
    </row>
    <row r="456" spans="1:9" ht="18" customHeight="1" hidden="1">
      <c r="A456" s="49" t="s">
        <v>807</v>
      </c>
      <c r="B456" s="66"/>
      <c r="C456" s="45" t="s">
        <v>726</v>
      </c>
      <c r="D456" s="45" t="s">
        <v>705</v>
      </c>
      <c r="E456" s="45" t="s">
        <v>285</v>
      </c>
      <c r="F456" s="34" t="s">
        <v>808</v>
      </c>
      <c r="G456" s="31"/>
      <c r="H456" s="31"/>
      <c r="I456" s="31" t="e">
        <f t="shared" si="12"/>
        <v>#DIV/0!</v>
      </c>
    </row>
    <row r="457" spans="1:10" s="119" customFormat="1" ht="66.75" customHeight="1">
      <c r="A457" s="49" t="s">
        <v>174</v>
      </c>
      <c r="B457" s="66"/>
      <c r="C457" s="45" t="s">
        <v>726</v>
      </c>
      <c r="D457" s="45" t="s">
        <v>705</v>
      </c>
      <c r="E457" s="67" t="s">
        <v>274</v>
      </c>
      <c r="F457" s="34"/>
      <c r="G457" s="31">
        <f>SUM(G458)</f>
        <v>62</v>
      </c>
      <c r="H457" s="31">
        <f>SUM(H458)</f>
        <v>40.9</v>
      </c>
      <c r="I457" s="31">
        <f t="shared" si="12"/>
        <v>65.96774193548387</v>
      </c>
      <c r="J457" s="237"/>
    </row>
    <row r="458" spans="1:10" s="119" customFormat="1" ht="34.5" customHeight="1">
      <c r="A458" s="49" t="s">
        <v>176</v>
      </c>
      <c r="B458" s="66"/>
      <c r="C458" s="45" t="s">
        <v>726</v>
      </c>
      <c r="D458" s="45" t="s">
        <v>705</v>
      </c>
      <c r="E458" s="67" t="s">
        <v>274</v>
      </c>
      <c r="F458" s="34" t="s">
        <v>177</v>
      </c>
      <c r="G458" s="31">
        <v>62</v>
      </c>
      <c r="H458" s="31">
        <v>40.9</v>
      </c>
      <c r="I458" s="31">
        <f t="shared" si="12"/>
        <v>65.96774193548387</v>
      </c>
      <c r="J458" s="237">
        <f>SUM('ведомствен.'!G820)</f>
        <v>62</v>
      </c>
    </row>
    <row r="459" spans="1:9" ht="43.5" customHeight="1">
      <c r="A459" s="49" t="s">
        <v>201</v>
      </c>
      <c r="B459" s="66"/>
      <c r="C459" s="45" t="s">
        <v>726</v>
      </c>
      <c r="D459" s="45" t="s">
        <v>705</v>
      </c>
      <c r="E459" s="45" t="s">
        <v>286</v>
      </c>
      <c r="F459" s="34"/>
      <c r="G459" s="31">
        <f>SUM(G460)</f>
        <v>27.6</v>
      </c>
      <c r="H459" s="31">
        <f>SUM(H460)</f>
        <v>12.8</v>
      </c>
      <c r="I459" s="31">
        <f t="shared" si="12"/>
        <v>46.3768115942029</v>
      </c>
    </row>
    <row r="460" spans="1:10" ht="16.5" customHeight="1">
      <c r="A460" s="49" t="s">
        <v>807</v>
      </c>
      <c r="B460" s="66"/>
      <c r="C460" s="45" t="s">
        <v>726</v>
      </c>
      <c r="D460" s="45" t="s">
        <v>705</v>
      </c>
      <c r="E460" s="45" t="s">
        <v>286</v>
      </c>
      <c r="F460" s="34" t="s">
        <v>808</v>
      </c>
      <c r="G460" s="31">
        <v>27.6</v>
      </c>
      <c r="H460" s="31">
        <v>12.8</v>
      </c>
      <c r="I460" s="31">
        <f t="shared" si="12"/>
        <v>46.3768115942029</v>
      </c>
      <c r="J460" s="237">
        <f>SUM('ведомствен.'!G822)</f>
        <v>27.6</v>
      </c>
    </row>
    <row r="461" spans="1:9" ht="89.25" customHeight="1">
      <c r="A461" s="49" t="s">
        <v>287</v>
      </c>
      <c r="B461" s="66"/>
      <c r="C461" s="45" t="s">
        <v>726</v>
      </c>
      <c r="D461" s="45" t="s">
        <v>705</v>
      </c>
      <c r="E461" s="45" t="s">
        <v>288</v>
      </c>
      <c r="F461" s="34"/>
      <c r="G461" s="31">
        <f>SUM(G462)</f>
        <v>21522.2</v>
      </c>
      <c r="H461" s="31">
        <f>SUM(H462)</f>
        <v>13862.6</v>
      </c>
      <c r="I461" s="31">
        <f t="shared" si="12"/>
        <v>64.41070150821012</v>
      </c>
    </row>
    <row r="462" spans="1:10" ht="16.5" customHeight="1">
      <c r="A462" s="49" t="s">
        <v>807</v>
      </c>
      <c r="B462" s="66"/>
      <c r="C462" s="45" t="s">
        <v>726</v>
      </c>
      <c r="D462" s="45" t="s">
        <v>705</v>
      </c>
      <c r="E462" s="45" t="s">
        <v>288</v>
      </c>
      <c r="F462" s="34" t="s">
        <v>808</v>
      </c>
      <c r="G462" s="31">
        <v>21522.2</v>
      </c>
      <c r="H462" s="31">
        <v>13862.6</v>
      </c>
      <c r="I462" s="31">
        <f t="shared" si="12"/>
        <v>64.41070150821012</v>
      </c>
      <c r="J462" s="237">
        <f>SUM('ведомствен.'!G824)</f>
        <v>21522.2</v>
      </c>
    </row>
    <row r="463" spans="1:9" ht="16.5" customHeight="1" hidden="1">
      <c r="A463" s="49" t="s">
        <v>289</v>
      </c>
      <c r="B463" s="66"/>
      <c r="C463" s="45" t="s">
        <v>726</v>
      </c>
      <c r="D463" s="45" t="s">
        <v>705</v>
      </c>
      <c r="E463" s="67" t="s">
        <v>290</v>
      </c>
      <c r="F463" s="34"/>
      <c r="G463" s="120">
        <f>SUM(G464)</f>
        <v>0</v>
      </c>
      <c r="H463" s="120">
        <f>SUM(H464)</f>
        <v>0</v>
      </c>
      <c r="I463" s="31" t="e">
        <f t="shared" si="12"/>
        <v>#DIV/0!</v>
      </c>
    </row>
    <row r="464" spans="1:9" ht="45" customHeight="1" hidden="1">
      <c r="A464" s="49" t="s">
        <v>291</v>
      </c>
      <c r="B464" s="66"/>
      <c r="C464" s="45" t="s">
        <v>726</v>
      </c>
      <c r="D464" s="45" t="s">
        <v>705</v>
      </c>
      <c r="E464" s="67" t="s">
        <v>292</v>
      </c>
      <c r="F464" s="34"/>
      <c r="G464" s="120">
        <f>SUM(G465)</f>
        <v>0</v>
      </c>
      <c r="H464" s="120">
        <f>SUM(H465)</f>
        <v>0</v>
      </c>
      <c r="I464" s="31" t="e">
        <f t="shared" si="12"/>
        <v>#DIV/0!</v>
      </c>
    </row>
    <row r="465" spans="1:9" ht="16.5" customHeight="1" hidden="1">
      <c r="A465" s="49" t="s">
        <v>807</v>
      </c>
      <c r="B465" s="66"/>
      <c r="C465" s="45" t="s">
        <v>726</v>
      </c>
      <c r="D465" s="45" t="s">
        <v>705</v>
      </c>
      <c r="E465" s="67" t="s">
        <v>292</v>
      </c>
      <c r="F465" s="34" t="s">
        <v>808</v>
      </c>
      <c r="G465" s="120"/>
      <c r="H465" s="120"/>
      <c r="I465" s="31" t="e">
        <f t="shared" si="12"/>
        <v>#DIV/0!</v>
      </c>
    </row>
    <row r="466" spans="1:9" ht="32.25" customHeight="1" hidden="1">
      <c r="A466" s="49" t="s">
        <v>293</v>
      </c>
      <c r="B466" s="66"/>
      <c r="C466" s="45" t="s">
        <v>726</v>
      </c>
      <c r="D466" s="45" t="s">
        <v>705</v>
      </c>
      <c r="E466" s="45" t="s">
        <v>294</v>
      </c>
      <c r="F466" s="34"/>
      <c r="G466" s="31">
        <f aca="true" t="shared" si="13" ref="G466:H468">SUM(G467)</f>
        <v>0</v>
      </c>
      <c r="H466" s="31">
        <f t="shared" si="13"/>
        <v>0</v>
      </c>
      <c r="I466" s="31" t="e">
        <f t="shared" si="12"/>
        <v>#DIV/0!</v>
      </c>
    </row>
    <row r="467" spans="1:9" ht="36" customHeight="1" hidden="1">
      <c r="A467" s="49" t="s">
        <v>195</v>
      </c>
      <c r="B467" s="66"/>
      <c r="C467" s="45" t="s">
        <v>726</v>
      </c>
      <c r="D467" s="45" t="s">
        <v>705</v>
      </c>
      <c r="E467" s="45" t="s">
        <v>295</v>
      </c>
      <c r="F467" s="34"/>
      <c r="G467" s="31">
        <f t="shared" si="13"/>
        <v>0</v>
      </c>
      <c r="H467" s="31">
        <f t="shared" si="13"/>
        <v>0</v>
      </c>
      <c r="I467" s="31" t="e">
        <f t="shared" si="12"/>
        <v>#DIV/0!</v>
      </c>
    </row>
    <row r="468" spans="1:9" ht="40.5" customHeight="1" hidden="1">
      <c r="A468" s="49" t="s">
        <v>296</v>
      </c>
      <c r="B468" s="66"/>
      <c r="C468" s="45" t="s">
        <v>726</v>
      </c>
      <c r="D468" s="45" t="s">
        <v>705</v>
      </c>
      <c r="E468" s="45" t="s">
        <v>297</v>
      </c>
      <c r="F468" s="34"/>
      <c r="G468" s="31">
        <f t="shared" si="13"/>
        <v>0</v>
      </c>
      <c r="H468" s="31">
        <f t="shared" si="13"/>
        <v>0</v>
      </c>
      <c r="I468" s="31" t="e">
        <f t="shared" si="12"/>
        <v>#DIV/0!</v>
      </c>
    </row>
    <row r="469" spans="1:9" ht="16.5" customHeight="1" hidden="1">
      <c r="A469" s="49" t="s">
        <v>807</v>
      </c>
      <c r="B469" s="66"/>
      <c r="C469" s="45" t="s">
        <v>726</v>
      </c>
      <c r="D469" s="45" t="s">
        <v>705</v>
      </c>
      <c r="E469" s="45" t="s">
        <v>297</v>
      </c>
      <c r="F469" s="34" t="s">
        <v>808</v>
      </c>
      <c r="G469" s="31"/>
      <c r="H469" s="31"/>
      <c r="I469" s="31" t="e">
        <f t="shared" si="12"/>
        <v>#DIV/0!</v>
      </c>
    </row>
    <row r="470" spans="1:9" ht="20.25" customHeight="1">
      <c r="A470" s="32" t="s">
        <v>165</v>
      </c>
      <c r="B470" s="45"/>
      <c r="C470" s="45" t="s">
        <v>726</v>
      </c>
      <c r="D470" s="45" t="s">
        <v>705</v>
      </c>
      <c r="E470" s="45" t="s">
        <v>298</v>
      </c>
      <c r="F470" s="33"/>
      <c r="G470" s="31">
        <f>SUM(G471+G473)</f>
        <v>12609.3</v>
      </c>
      <c r="H470" s="31">
        <f>SUM(H471+H473)</f>
        <v>8208.5</v>
      </c>
      <c r="I470" s="31">
        <f t="shared" si="12"/>
        <v>65.09877630003253</v>
      </c>
    </row>
    <row r="471" spans="1:9" ht="28.5" customHeight="1">
      <c r="A471" s="46" t="s">
        <v>299</v>
      </c>
      <c r="B471" s="45"/>
      <c r="C471" s="45" t="s">
        <v>726</v>
      </c>
      <c r="D471" s="45" t="s">
        <v>705</v>
      </c>
      <c r="E471" s="45" t="s">
        <v>300</v>
      </c>
      <c r="F471" s="33"/>
      <c r="G471" s="31">
        <f>SUM(G472)</f>
        <v>11615.1</v>
      </c>
      <c r="H471" s="31">
        <f>SUM(H472)</f>
        <v>7214.3</v>
      </c>
      <c r="I471" s="31">
        <f t="shared" si="12"/>
        <v>62.1113894843781</v>
      </c>
    </row>
    <row r="472" spans="1:10" ht="17.25" customHeight="1">
      <c r="A472" s="49" t="s">
        <v>807</v>
      </c>
      <c r="B472" s="45"/>
      <c r="C472" s="45" t="s">
        <v>726</v>
      </c>
      <c r="D472" s="45" t="s">
        <v>705</v>
      </c>
      <c r="E472" s="45" t="s">
        <v>300</v>
      </c>
      <c r="F472" s="33" t="s">
        <v>808</v>
      </c>
      <c r="G472" s="31">
        <f>9628.2+1986.9</f>
        <v>11615.1</v>
      </c>
      <c r="H472" s="31">
        <v>7214.3</v>
      </c>
      <c r="I472" s="31">
        <f t="shared" si="12"/>
        <v>62.1113894843781</v>
      </c>
      <c r="J472" s="237">
        <f>SUM('ведомствен.'!G831)</f>
        <v>11615.1</v>
      </c>
    </row>
    <row r="473" spans="1:9" ht="42" customHeight="1">
      <c r="A473" s="46" t="s">
        <v>301</v>
      </c>
      <c r="B473" s="45"/>
      <c r="C473" s="45" t="s">
        <v>726</v>
      </c>
      <c r="D473" s="45" t="s">
        <v>705</v>
      </c>
      <c r="E473" s="45" t="s">
        <v>302</v>
      </c>
      <c r="F473" s="33"/>
      <c r="G473" s="31">
        <f>SUM(G474)</f>
        <v>994.1999999999998</v>
      </c>
      <c r="H473" s="31">
        <f>SUM(H474)</f>
        <v>994.2</v>
      </c>
      <c r="I473" s="31">
        <f t="shared" si="12"/>
        <v>100.00000000000003</v>
      </c>
    </row>
    <row r="474" spans="1:10" ht="17.25" customHeight="1">
      <c r="A474" s="49" t="s">
        <v>807</v>
      </c>
      <c r="B474" s="45"/>
      <c r="C474" s="45" t="s">
        <v>726</v>
      </c>
      <c r="D474" s="45" t="s">
        <v>705</v>
      </c>
      <c r="E474" s="45" t="s">
        <v>302</v>
      </c>
      <c r="F474" s="33" t="s">
        <v>808</v>
      </c>
      <c r="G474" s="31">
        <f>2981.1-1986.9</f>
        <v>994.1999999999998</v>
      </c>
      <c r="H474" s="31">
        <v>994.2</v>
      </c>
      <c r="I474" s="31">
        <f t="shared" si="12"/>
        <v>100.00000000000003</v>
      </c>
      <c r="J474" s="237">
        <f>SUM('ведомствен.'!G833)</f>
        <v>994.1999999999998</v>
      </c>
    </row>
    <row r="475" spans="1:9" ht="14.25" customHeight="1" hidden="1">
      <c r="A475" s="121" t="s">
        <v>165</v>
      </c>
      <c r="B475" s="45"/>
      <c r="C475" s="45" t="s">
        <v>726</v>
      </c>
      <c r="D475" s="45" t="s">
        <v>705</v>
      </c>
      <c r="E475" s="45" t="s">
        <v>298</v>
      </c>
      <c r="F475" s="33"/>
      <c r="G475" s="31">
        <f>SUM(G476)</f>
        <v>0</v>
      </c>
      <c r="H475" s="31">
        <f>SUM(H476)</f>
        <v>0</v>
      </c>
      <c r="I475" s="31" t="e">
        <f t="shared" si="12"/>
        <v>#DIV/0!</v>
      </c>
    </row>
    <row r="476" spans="1:9" ht="17.25" customHeight="1" hidden="1">
      <c r="A476" s="103" t="s">
        <v>303</v>
      </c>
      <c r="B476" s="45"/>
      <c r="C476" s="45" t="s">
        <v>726</v>
      </c>
      <c r="D476" s="45" t="s">
        <v>705</v>
      </c>
      <c r="E476" s="45" t="s">
        <v>298</v>
      </c>
      <c r="F476" s="33" t="s">
        <v>304</v>
      </c>
      <c r="G476" s="31"/>
      <c r="H476" s="31"/>
      <c r="I476" s="31" t="e">
        <f t="shared" si="12"/>
        <v>#DIV/0!</v>
      </c>
    </row>
    <row r="477" spans="1:9" ht="17.25" customHeight="1" hidden="1">
      <c r="A477" s="32" t="s">
        <v>765</v>
      </c>
      <c r="B477" s="45"/>
      <c r="C477" s="45" t="s">
        <v>726</v>
      </c>
      <c r="D477" s="45" t="s">
        <v>705</v>
      </c>
      <c r="E477" s="45" t="s">
        <v>766</v>
      </c>
      <c r="F477" s="33"/>
      <c r="G477" s="31">
        <f>SUM(G478)</f>
        <v>0</v>
      </c>
      <c r="H477" s="31">
        <f>SUM(H478)</f>
        <v>0</v>
      </c>
      <c r="I477" s="31" t="e">
        <f t="shared" si="12"/>
        <v>#DIV/0!</v>
      </c>
    </row>
    <row r="478" spans="1:9" ht="17.25" customHeight="1" hidden="1">
      <c r="A478" s="49" t="s">
        <v>305</v>
      </c>
      <c r="B478" s="45"/>
      <c r="C478" s="45" t="s">
        <v>726</v>
      </c>
      <c r="D478" s="45" t="s">
        <v>705</v>
      </c>
      <c r="E478" s="45" t="s">
        <v>766</v>
      </c>
      <c r="F478" s="33" t="s">
        <v>306</v>
      </c>
      <c r="G478" s="31"/>
      <c r="H478" s="31"/>
      <c r="I478" s="31" t="e">
        <f t="shared" si="12"/>
        <v>#DIV/0!</v>
      </c>
    </row>
    <row r="479" spans="1:9" ht="15">
      <c r="A479" s="32" t="s">
        <v>727</v>
      </c>
      <c r="B479" s="36"/>
      <c r="C479" s="29" t="s">
        <v>726</v>
      </c>
      <c r="D479" s="29" t="s">
        <v>726</v>
      </c>
      <c r="E479" s="29"/>
      <c r="F479" s="30"/>
      <c r="G479" s="31">
        <f>SUM(G484+G494+G501+G480)</f>
        <v>31536.100000000002</v>
      </c>
      <c r="H479" s="31">
        <f>SUM(H484+H494+H501+H480)</f>
        <v>31018</v>
      </c>
      <c r="I479" s="31">
        <f t="shared" si="12"/>
        <v>98.35712088685665</v>
      </c>
    </row>
    <row r="480" spans="1:9" ht="15">
      <c r="A480" s="27" t="s">
        <v>794</v>
      </c>
      <c r="B480" s="28"/>
      <c r="C480" s="29" t="s">
        <v>726</v>
      </c>
      <c r="D480" s="29" t="s">
        <v>726</v>
      </c>
      <c r="E480" s="29" t="s">
        <v>796</v>
      </c>
      <c r="F480" s="30"/>
      <c r="G480" s="31">
        <f>SUM(G481)</f>
        <v>1564</v>
      </c>
      <c r="H480" s="31">
        <f>SUM(H481)</f>
        <v>1563.8</v>
      </c>
      <c r="I480" s="31">
        <f t="shared" si="12"/>
        <v>99.98721227621483</v>
      </c>
    </row>
    <row r="481" spans="1:9" ht="15">
      <c r="A481" s="27" t="s">
        <v>765</v>
      </c>
      <c r="B481" s="28"/>
      <c r="C481" s="29" t="s">
        <v>726</v>
      </c>
      <c r="D481" s="29" t="s">
        <v>726</v>
      </c>
      <c r="E481" s="29" t="s">
        <v>766</v>
      </c>
      <c r="F481" s="30"/>
      <c r="G481" s="31">
        <f>SUM(G482+G483)</f>
        <v>1564</v>
      </c>
      <c r="H481" s="31">
        <f>SUM(H482+H483)</f>
        <v>1563.8</v>
      </c>
      <c r="I481" s="31">
        <f t="shared" si="12"/>
        <v>99.98721227621483</v>
      </c>
    </row>
    <row r="482" spans="1:10" ht="15">
      <c r="A482" s="49" t="s">
        <v>807</v>
      </c>
      <c r="B482" s="44"/>
      <c r="C482" s="29" t="s">
        <v>726</v>
      </c>
      <c r="D482" s="29" t="s">
        <v>726</v>
      </c>
      <c r="E482" s="29" t="s">
        <v>766</v>
      </c>
      <c r="F482" s="33" t="s">
        <v>808</v>
      </c>
      <c r="G482" s="31">
        <f>1000-36</f>
        <v>964</v>
      </c>
      <c r="H482" s="31">
        <v>964</v>
      </c>
      <c r="I482" s="31">
        <f aca="true" t="shared" si="14" ref="I482:I547">SUM(H482/G482*100)</f>
        <v>100</v>
      </c>
      <c r="J482" s="228">
        <f>SUM('ведомствен.'!G837)</f>
        <v>964</v>
      </c>
    </row>
    <row r="483" spans="1:10" ht="15">
      <c r="A483" s="49" t="s">
        <v>305</v>
      </c>
      <c r="B483" s="44"/>
      <c r="C483" s="29" t="s">
        <v>726</v>
      </c>
      <c r="D483" s="29" t="s">
        <v>726</v>
      </c>
      <c r="E483" s="29" t="s">
        <v>766</v>
      </c>
      <c r="F483" s="33" t="s">
        <v>306</v>
      </c>
      <c r="G483" s="31">
        <v>600</v>
      </c>
      <c r="H483" s="31">
        <v>599.8</v>
      </c>
      <c r="I483" s="31">
        <f t="shared" si="14"/>
        <v>99.96666666666665</v>
      </c>
      <c r="J483" s="228">
        <f>SUM('ведомствен.'!G838+'ведомствен.'!G917+'ведомствен.'!G493)</f>
        <v>600</v>
      </c>
    </row>
    <row r="484" spans="1:9" ht="15">
      <c r="A484" s="43" t="s">
        <v>307</v>
      </c>
      <c r="B484" s="44"/>
      <c r="C484" s="45" t="s">
        <v>726</v>
      </c>
      <c r="D484" s="45" t="s">
        <v>726</v>
      </c>
      <c r="E484" s="45" t="s">
        <v>308</v>
      </c>
      <c r="F484" s="33"/>
      <c r="G484" s="31">
        <f>SUM(G485+G492+G490)</f>
        <v>2330.7</v>
      </c>
      <c r="H484" s="31">
        <f>SUM(H485+H492+H490)</f>
        <v>1812.7999999999997</v>
      </c>
      <c r="I484" s="31">
        <f t="shared" si="14"/>
        <v>77.77920796327284</v>
      </c>
    </row>
    <row r="485" spans="1:9" ht="18" customHeight="1">
      <c r="A485" s="43" t="s">
        <v>309</v>
      </c>
      <c r="B485" s="45"/>
      <c r="C485" s="45" t="s">
        <v>726</v>
      </c>
      <c r="D485" s="45" t="s">
        <v>726</v>
      </c>
      <c r="E485" s="45" t="s">
        <v>310</v>
      </c>
      <c r="F485" s="33"/>
      <c r="G485" s="31">
        <f>SUM(G486:G488)</f>
        <v>372.8</v>
      </c>
      <c r="H485" s="31">
        <f>SUM(H486:H488)</f>
        <v>341.9</v>
      </c>
      <c r="I485" s="31">
        <f t="shared" si="14"/>
        <v>91.71137339055792</v>
      </c>
    </row>
    <row r="486" spans="1:10" ht="13.5" customHeight="1">
      <c r="A486" s="49" t="s">
        <v>807</v>
      </c>
      <c r="B486" s="44"/>
      <c r="C486" s="45" t="s">
        <v>726</v>
      </c>
      <c r="D486" s="45" t="s">
        <v>726</v>
      </c>
      <c r="E486" s="45" t="s">
        <v>310</v>
      </c>
      <c r="F486" s="33" t="s">
        <v>808</v>
      </c>
      <c r="G486" s="31">
        <f>372.8-20.9+20.9</f>
        <v>372.8</v>
      </c>
      <c r="H486" s="31">
        <v>341.9</v>
      </c>
      <c r="I486" s="31">
        <f t="shared" si="14"/>
        <v>91.71137339055792</v>
      </c>
      <c r="J486" s="228">
        <f>SUM('ведомствен.'!G841+'ведомствен.'!G706)</f>
        <v>372.8</v>
      </c>
    </row>
    <row r="487" spans="1:9" ht="21" customHeight="1" hidden="1">
      <c r="A487" s="32" t="s">
        <v>710</v>
      </c>
      <c r="B487" s="36"/>
      <c r="C487" s="45" t="s">
        <v>726</v>
      </c>
      <c r="D487" s="45" t="s">
        <v>726</v>
      </c>
      <c r="E487" s="45" t="s">
        <v>310</v>
      </c>
      <c r="F487" s="30" t="s">
        <v>711</v>
      </c>
      <c r="G487" s="31"/>
      <c r="H487" s="31"/>
      <c r="I487" s="31" t="e">
        <f t="shared" si="14"/>
        <v>#DIV/0!</v>
      </c>
    </row>
    <row r="488" spans="1:9" ht="17.25" customHeight="1" hidden="1">
      <c r="A488" s="27" t="s">
        <v>805</v>
      </c>
      <c r="B488" s="44"/>
      <c r="C488" s="45" t="s">
        <v>726</v>
      </c>
      <c r="D488" s="45" t="s">
        <v>726</v>
      </c>
      <c r="E488" s="45" t="s">
        <v>311</v>
      </c>
      <c r="F488" s="33"/>
      <c r="G488" s="31">
        <f>SUM(G489)</f>
        <v>0</v>
      </c>
      <c r="H488" s="31">
        <f>SUM(H489)</f>
        <v>0</v>
      </c>
      <c r="I488" s="31" t="e">
        <f t="shared" si="14"/>
        <v>#DIV/0!</v>
      </c>
    </row>
    <row r="489" spans="1:9" ht="17.25" customHeight="1" hidden="1">
      <c r="A489" s="49" t="s">
        <v>807</v>
      </c>
      <c r="B489" s="44"/>
      <c r="C489" s="45" t="s">
        <v>726</v>
      </c>
      <c r="D489" s="45" t="s">
        <v>726</v>
      </c>
      <c r="E489" s="45" t="s">
        <v>311</v>
      </c>
      <c r="F489" s="33" t="s">
        <v>808</v>
      </c>
      <c r="G489" s="31"/>
      <c r="H489" s="31"/>
      <c r="I489" s="31" t="e">
        <f t="shared" si="14"/>
        <v>#DIV/0!</v>
      </c>
    </row>
    <row r="490" spans="1:9" ht="54.75" customHeight="1">
      <c r="A490" s="49" t="s">
        <v>312</v>
      </c>
      <c r="B490" s="44"/>
      <c r="C490" s="45" t="s">
        <v>726</v>
      </c>
      <c r="D490" s="45" t="s">
        <v>726</v>
      </c>
      <c r="E490" s="45" t="s">
        <v>313</v>
      </c>
      <c r="F490" s="33"/>
      <c r="G490" s="31">
        <f>SUM(G491)</f>
        <v>530</v>
      </c>
      <c r="H490" s="31">
        <f>SUM(H491)</f>
        <v>444.6</v>
      </c>
      <c r="I490" s="31">
        <f t="shared" si="14"/>
        <v>83.88679245283019</v>
      </c>
    </row>
    <row r="491" spans="1:10" ht="17.25" customHeight="1">
      <c r="A491" s="49" t="s">
        <v>807</v>
      </c>
      <c r="B491" s="44"/>
      <c r="C491" s="45" t="s">
        <v>726</v>
      </c>
      <c r="D491" s="45" t="s">
        <v>726</v>
      </c>
      <c r="E491" s="45" t="s">
        <v>313</v>
      </c>
      <c r="F491" s="33" t="s">
        <v>808</v>
      </c>
      <c r="G491" s="31">
        <f>530-85.4+85.4</f>
        <v>530</v>
      </c>
      <c r="H491" s="31">
        <v>444.6</v>
      </c>
      <c r="I491" s="31">
        <f t="shared" si="14"/>
        <v>83.88679245283019</v>
      </c>
      <c r="J491" s="228">
        <f>SUM('ведомствен.'!G844+'ведомствен.'!G708)</f>
        <v>530</v>
      </c>
    </row>
    <row r="492" spans="1:9" ht="17.25" customHeight="1">
      <c r="A492" s="27" t="s">
        <v>805</v>
      </c>
      <c r="B492" s="44"/>
      <c r="C492" s="45" t="s">
        <v>726</v>
      </c>
      <c r="D492" s="45" t="s">
        <v>726</v>
      </c>
      <c r="E492" s="45" t="s">
        <v>314</v>
      </c>
      <c r="F492" s="33"/>
      <c r="G492" s="31">
        <f>SUM(G493)</f>
        <v>1427.9</v>
      </c>
      <c r="H492" s="31">
        <f>SUM(H493)</f>
        <v>1026.3</v>
      </c>
      <c r="I492" s="31">
        <f t="shared" si="14"/>
        <v>71.87478114713915</v>
      </c>
    </row>
    <row r="493" spans="1:10" ht="18.75" customHeight="1">
      <c r="A493" s="49" t="s">
        <v>807</v>
      </c>
      <c r="B493" s="44"/>
      <c r="C493" s="45" t="s">
        <v>726</v>
      </c>
      <c r="D493" s="45" t="s">
        <v>726</v>
      </c>
      <c r="E493" s="45" t="s">
        <v>314</v>
      </c>
      <c r="F493" s="33" t="s">
        <v>808</v>
      </c>
      <c r="G493" s="31">
        <f>1428.5-0.6-273.3+273.3</f>
        <v>1427.9</v>
      </c>
      <c r="H493" s="31">
        <v>1026.3</v>
      </c>
      <c r="I493" s="31">
        <f t="shared" si="14"/>
        <v>71.87478114713915</v>
      </c>
      <c r="J493" s="228">
        <f>SUM('ведомствен.'!G847+'ведомствен.'!G710)</f>
        <v>1427.9</v>
      </c>
    </row>
    <row r="494" spans="1:9" ht="28.5">
      <c r="A494" s="46" t="s">
        <v>315</v>
      </c>
      <c r="B494" s="36"/>
      <c r="C494" s="29" t="s">
        <v>726</v>
      </c>
      <c r="D494" s="29" t="s">
        <v>726</v>
      </c>
      <c r="E494" s="29" t="s">
        <v>729</v>
      </c>
      <c r="F494" s="30"/>
      <c r="G494" s="31">
        <f>SUM(G495)</f>
        <v>27641.4</v>
      </c>
      <c r="H494" s="31">
        <f>SUM(H495)</f>
        <v>27641.4</v>
      </c>
      <c r="I494" s="31">
        <f t="shared" si="14"/>
        <v>100</v>
      </c>
    </row>
    <row r="495" spans="1:9" ht="15">
      <c r="A495" s="46" t="s">
        <v>316</v>
      </c>
      <c r="B495" s="36"/>
      <c r="C495" s="29" t="s">
        <v>726</v>
      </c>
      <c r="D495" s="29" t="s">
        <v>726</v>
      </c>
      <c r="E495" s="29" t="s">
        <v>317</v>
      </c>
      <c r="F495" s="30"/>
      <c r="G495" s="31">
        <f>SUM(G496+G497+G499)</f>
        <v>27641.4</v>
      </c>
      <c r="H495" s="31">
        <f>SUM(H496+H497+H499)</f>
        <v>27641.4</v>
      </c>
      <c r="I495" s="31">
        <f t="shared" si="14"/>
        <v>100</v>
      </c>
    </row>
    <row r="496" spans="1:10" ht="17.25" customHeight="1">
      <c r="A496" s="49" t="s">
        <v>807</v>
      </c>
      <c r="B496" s="36"/>
      <c r="C496" s="29" t="s">
        <v>726</v>
      </c>
      <c r="D496" s="29" t="s">
        <v>726</v>
      </c>
      <c r="E496" s="29" t="s">
        <v>317</v>
      </c>
      <c r="F496" s="30" t="s">
        <v>808</v>
      </c>
      <c r="G496" s="31">
        <f>2818.4+200-0.7-61.1</f>
        <v>2956.6000000000004</v>
      </c>
      <c r="H496" s="31">
        <v>2956.6</v>
      </c>
      <c r="I496" s="31">
        <f t="shared" si="14"/>
        <v>99.99999999999999</v>
      </c>
      <c r="J496" s="228">
        <f>SUM('ведомствен.'!G850+'ведомствен.'!G920)</f>
        <v>2956.6000000000004</v>
      </c>
    </row>
    <row r="497" spans="1:9" ht="75" customHeight="1">
      <c r="A497" s="49" t="s">
        <v>263</v>
      </c>
      <c r="B497" s="66"/>
      <c r="C497" s="29" t="s">
        <v>726</v>
      </c>
      <c r="D497" s="29" t="s">
        <v>726</v>
      </c>
      <c r="E497" s="45" t="s">
        <v>318</v>
      </c>
      <c r="F497" s="34"/>
      <c r="G497" s="31">
        <f>SUM(G498)</f>
        <v>6986.3</v>
      </c>
      <c r="H497" s="31">
        <f>SUM(H498)</f>
        <v>6986.3</v>
      </c>
      <c r="I497" s="31">
        <f t="shared" si="14"/>
        <v>100</v>
      </c>
    </row>
    <row r="498" spans="1:10" ht="17.25" customHeight="1">
      <c r="A498" s="49" t="s">
        <v>265</v>
      </c>
      <c r="B498" s="66"/>
      <c r="C498" s="29" t="s">
        <v>726</v>
      </c>
      <c r="D498" s="29" t="s">
        <v>726</v>
      </c>
      <c r="E498" s="45" t="s">
        <v>318</v>
      </c>
      <c r="F498" s="34" t="s">
        <v>266</v>
      </c>
      <c r="G498" s="31">
        <v>6986.3</v>
      </c>
      <c r="H498" s="31">
        <v>6986.3</v>
      </c>
      <c r="I498" s="31">
        <f t="shared" si="14"/>
        <v>100</v>
      </c>
      <c r="J498" s="228">
        <f>SUM('ведомствен.'!G852)</f>
        <v>6986.3</v>
      </c>
    </row>
    <row r="499" spans="1:9" ht="58.5" customHeight="1">
      <c r="A499" s="49" t="s">
        <v>319</v>
      </c>
      <c r="B499" s="36"/>
      <c r="C499" s="45" t="s">
        <v>726</v>
      </c>
      <c r="D499" s="29" t="s">
        <v>726</v>
      </c>
      <c r="E499" s="45" t="s">
        <v>320</v>
      </c>
      <c r="F499" s="30"/>
      <c r="G499" s="31">
        <f>SUM(G500)</f>
        <v>17698.5</v>
      </c>
      <c r="H499" s="31">
        <f>SUM(H500)</f>
        <v>17698.5</v>
      </c>
      <c r="I499" s="31">
        <f t="shared" si="14"/>
        <v>100</v>
      </c>
    </row>
    <row r="500" spans="1:10" ht="17.25" customHeight="1">
      <c r="A500" s="49" t="s">
        <v>4</v>
      </c>
      <c r="B500" s="36"/>
      <c r="C500" s="45" t="s">
        <v>726</v>
      </c>
      <c r="D500" s="29" t="s">
        <v>726</v>
      </c>
      <c r="E500" s="45" t="s">
        <v>320</v>
      </c>
      <c r="F500" s="30" t="s">
        <v>5</v>
      </c>
      <c r="G500" s="31">
        <v>17698.5</v>
      </c>
      <c r="H500" s="31">
        <v>17698.5</v>
      </c>
      <c r="I500" s="31">
        <f t="shared" si="14"/>
        <v>100</v>
      </c>
      <c r="J500" s="228">
        <f>SUM('ведомствен.'!G854)</f>
        <v>17698.5</v>
      </c>
    </row>
    <row r="501" spans="1:9" ht="20.25" customHeight="1" hidden="1">
      <c r="A501" s="122" t="s">
        <v>321</v>
      </c>
      <c r="B501" s="45"/>
      <c r="C501" s="45" t="s">
        <v>726</v>
      </c>
      <c r="D501" s="29" t="s">
        <v>726</v>
      </c>
      <c r="E501" s="45" t="s">
        <v>322</v>
      </c>
      <c r="F501" s="33"/>
      <c r="G501" s="31">
        <f aca="true" t="shared" si="15" ref="G501:H503">SUM(G502)</f>
        <v>0</v>
      </c>
      <c r="H501" s="31">
        <f t="shared" si="15"/>
        <v>0</v>
      </c>
      <c r="I501" s="31" t="e">
        <f t="shared" si="14"/>
        <v>#DIV/0!</v>
      </c>
    </row>
    <row r="502" spans="1:9" ht="57" customHeight="1" hidden="1">
      <c r="A502" s="49" t="s">
        <v>323</v>
      </c>
      <c r="B502" s="36"/>
      <c r="C502" s="45" t="s">
        <v>726</v>
      </c>
      <c r="D502" s="29" t="s">
        <v>726</v>
      </c>
      <c r="E502" s="45" t="s">
        <v>324</v>
      </c>
      <c r="F502" s="30"/>
      <c r="G502" s="31">
        <f t="shared" si="15"/>
        <v>0</v>
      </c>
      <c r="H502" s="31">
        <f t="shared" si="15"/>
        <v>0</v>
      </c>
      <c r="I502" s="31" t="e">
        <f t="shared" si="14"/>
        <v>#DIV/0!</v>
      </c>
    </row>
    <row r="503" spans="1:9" ht="43.5" customHeight="1" hidden="1">
      <c r="A503" s="49" t="s">
        <v>325</v>
      </c>
      <c r="B503" s="36"/>
      <c r="C503" s="45" t="s">
        <v>726</v>
      </c>
      <c r="D503" s="29" t="s">
        <v>726</v>
      </c>
      <c r="E503" s="45" t="s">
        <v>326</v>
      </c>
      <c r="F503" s="30"/>
      <c r="G503" s="31">
        <f t="shared" si="15"/>
        <v>0</v>
      </c>
      <c r="H503" s="31">
        <f t="shared" si="15"/>
        <v>0</v>
      </c>
      <c r="I503" s="31" t="e">
        <f t="shared" si="14"/>
        <v>#DIV/0!</v>
      </c>
    </row>
    <row r="504" spans="1:9" ht="13.5" customHeight="1" hidden="1">
      <c r="A504" s="49" t="s">
        <v>327</v>
      </c>
      <c r="B504" s="36"/>
      <c r="C504" s="45" t="s">
        <v>726</v>
      </c>
      <c r="D504" s="29" t="s">
        <v>726</v>
      </c>
      <c r="E504" s="45" t="s">
        <v>326</v>
      </c>
      <c r="F504" s="30" t="s">
        <v>328</v>
      </c>
      <c r="G504" s="31"/>
      <c r="H504" s="31"/>
      <c r="I504" s="31" t="e">
        <f t="shared" si="14"/>
        <v>#DIV/0!</v>
      </c>
    </row>
    <row r="505" spans="1:9" ht="15">
      <c r="A505" s="27" t="s">
        <v>329</v>
      </c>
      <c r="B505" s="28"/>
      <c r="C505" s="45" t="s">
        <v>726</v>
      </c>
      <c r="D505" s="45" t="s">
        <v>861</v>
      </c>
      <c r="E505" s="45"/>
      <c r="F505" s="33"/>
      <c r="G505" s="31">
        <f>SUM(G509+G513+G520+G534+G506)</f>
        <v>60112.5</v>
      </c>
      <c r="H505" s="31">
        <f>SUM(H509+H513+H520+H534+H506)</f>
        <v>39045.399999999994</v>
      </c>
      <c r="I505" s="31">
        <f t="shared" si="14"/>
        <v>64.9538781451445</v>
      </c>
    </row>
    <row r="506" spans="1:10" s="47" customFormat="1" ht="28.5" customHeight="1" hidden="1">
      <c r="A506" s="43" t="s">
        <v>812</v>
      </c>
      <c r="B506" s="44"/>
      <c r="C506" s="45" t="s">
        <v>726</v>
      </c>
      <c r="D506" s="45" t="s">
        <v>861</v>
      </c>
      <c r="E506" s="45" t="s">
        <v>751</v>
      </c>
      <c r="F506" s="33"/>
      <c r="G506" s="31">
        <f>SUM(G507)</f>
        <v>0</v>
      </c>
      <c r="H506" s="31">
        <f>SUM(H507)</f>
        <v>0</v>
      </c>
      <c r="I506" s="31" t="e">
        <f t="shared" si="14"/>
        <v>#DIV/0!</v>
      </c>
      <c r="J506" s="233"/>
    </row>
    <row r="507" spans="1:10" s="47" customFormat="1" ht="27.75" customHeight="1" hidden="1">
      <c r="A507" s="43" t="s">
        <v>330</v>
      </c>
      <c r="B507" s="44"/>
      <c r="C507" s="45" t="s">
        <v>726</v>
      </c>
      <c r="D507" s="45" t="s">
        <v>861</v>
      </c>
      <c r="E507" s="45" t="s">
        <v>814</v>
      </c>
      <c r="F507" s="33"/>
      <c r="G507" s="31">
        <f>SUM(G508)</f>
        <v>0</v>
      </c>
      <c r="H507" s="31">
        <f>SUM(H508)</f>
        <v>0</v>
      </c>
      <c r="I507" s="31" t="e">
        <f t="shared" si="14"/>
        <v>#DIV/0!</v>
      </c>
      <c r="J507" s="233"/>
    </row>
    <row r="508" spans="1:10" s="47" customFormat="1" ht="18" customHeight="1" hidden="1">
      <c r="A508" s="43" t="s">
        <v>129</v>
      </c>
      <c r="B508" s="44"/>
      <c r="C508" s="45" t="s">
        <v>726</v>
      </c>
      <c r="D508" s="45" t="s">
        <v>861</v>
      </c>
      <c r="E508" s="45" t="s">
        <v>814</v>
      </c>
      <c r="F508" s="33" t="s">
        <v>816</v>
      </c>
      <c r="G508" s="31"/>
      <c r="H508" s="31"/>
      <c r="I508" s="31" t="e">
        <f t="shared" si="14"/>
        <v>#DIV/0!</v>
      </c>
      <c r="J508" s="233"/>
    </row>
    <row r="509" spans="1:9" ht="15">
      <c r="A509" s="92" t="s">
        <v>289</v>
      </c>
      <c r="B509" s="79"/>
      <c r="C509" s="45" t="s">
        <v>726</v>
      </c>
      <c r="D509" s="45" t="s">
        <v>861</v>
      </c>
      <c r="E509" s="45" t="s">
        <v>290</v>
      </c>
      <c r="F509" s="33"/>
      <c r="G509" s="31">
        <f aca="true" t="shared" si="16" ref="G509:H511">SUM(G510)</f>
        <v>2757.6</v>
      </c>
      <c r="H509" s="31">
        <f t="shared" si="16"/>
        <v>1869.7</v>
      </c>
      <c r="I509" s="31">
        <f t="shared" si="14"/>
        <v>67.80171163330434</v>
      </c>
    </row>
    <row r="510" spans="1:9" ht="19.5" customHeight="1">
      <c r="A510" s="32" t="s">
        <v>331</v>
      </c>
      <c r="B510" s="79"/>
      <c r="C510" s="45" t="s">
        <v>726</v>
      </c>
      <c r="D510" s="45" t="s">
        <v>861</v>
      </c>
      <c r="E510" s="45" t="s">
        <v>332</v>
      </c>
      <c r="F510" s="33"/>
      <c r="G510" s="31">
        <f t="shared" si="16"/>
        <v>2757.6</v>
      </c>
      <c r="H510" s="31">
        <f t="shared" si="16"/>
        <v>1869.7</v>
      </c>
      <c r="I510" s="31">
        <f t="shared" si="14"/>
        <v>67.80171163330434</v>
      </c>
    </row>
    <row r="511" spans="1:9" ht="30" customHeight="1">
      <c r="A511" s="49" t="s">
        <v>333</v>
      </c>
      <c r="B511" s="79"/>
      <c r="C511" s="45" t="s">
        <v>726</v>
      </c>
      <c r="D511" s="45" t="s">
        <v>861</v>
      </c>
      <c r="E511" s="45" t="s">
        <v>334</v>
      </c>
      <c r="F511" s="33"/>
      <c r="G511" s="31">
        <f t="shared" si="16"/>
        <v>2757.6</v>
      </c>
      <c r="H511" s="31">
        <f t="shared" si="16"/>
        <v>1869.7</v>
      </c>
      <c r="I511" s="31">
        <f t="shared" si="14"/>
        <v>67.80171163330434</v>
      </c>
    </row>
    <row r="512" spans="1:10" ht="18" customHeight="1">
      <c r="A512" s="32" t="s">
        <v>710</v>
      </c>
      <c r="B512" s="79"/>
      <c r="C512" s="45" t="s">
        <v>726</v>
      </c>
      <c r="D512" s="45" t="s">
        <v>861</v>
      </c>
      <c r="E512" s="45" t="s">
        <v>334</v>
      </c>
      <c r="F512" s="33" t="s">
        <v>711</v>
      </c>
      <c r="G512" s="31">
        <f>2671+86.6</f>
        <v>2757.6</v>
      </c>
      <c r="H512" s="31">
        <v>1869.7</v>
      </c>
      <c r="I512" s="31">
        <f t="shared" si="14"/>
        <v>67.80171163330434</v>
      </c>
      <c r="J512" s="228">
        <f>SUM('ведомствен.'!G860)</f>
        <v>2757.6</v>
      </c>
    </row>
    <row r="513" spans="1:9" ht="57">
      <c r="A513" s="46" t="s">
        <v>335</v>
      </c>
      <c r="B513" s="28"/>
      <c r="C513" s="45" t="s">
        <v>726</v>
      </c>
      <c r="D513" s="45" t="s">
        <v>861</v>
      </c>
      <c r="E513" s="45" t="s">
        <v>336</v>
      </c>
      <c r="F513" s="33"/>
      <c r="G513" s="31">
        <f>SUM(G514)</f>
        <v>25654.8</v>
      </c>
      <c r="H513" s="31">
        <f>SUM(H514)</f>
        <v>17823.6</v>
      </c>
      <c r="I513" s="31">
        <f t="shared" si="14"/>
        <v>69.47471818139294</v>
      </c>
    </row>
    <row r="514" spans="1:9" ht="23.25" customHeight="1">
      <c r="A514" s="32" t="s">
        <v>805</v>
      </c>
      <c r="B514" s="79"/>
      <c r="C514" s="45" t="s">
        <v>726</v>
      </c>
      <c r="D514" s="45" t="s">
        <v>861</v>
      </c>
      <c r="E514" s="45" t="s">
        <v>337</v>
      </c>
      <c r="F514" s="33"/>
      <c r="G514" s="31">
        <f>SUM(G515+G516+G518)</f>
        <v>25654.8</v>
      </c>
      <c r="H514" s="31">
        <f>SUM(H515+H516+H518)</f>
        <v>17823.6</v>
      </c>
      <c r="I514" s="31">
        <f t="shared" si="14"/>
        <v>69.47471818139294</v>
      </c>
    </row>
    <row r="515" spans="1:10" ht="18" customHeight="1">
      <c r="A515" s="49" t="s">
        <v>807</v>
      </c>
      <c r="B515" s="79"/>
      <c r="C515" s="45" t="s">
        <v>726</v>
      </c>
      <c r="D515" s="45" t="s">
        <v>861</v>
      </c>
      <c r="E515" s="45" t="s">
        <v>337</v>
      </c>
      <c r="F515" s="33" t="s">
        <v>808</v>
      </c>
      <c r="G515" s="31">
        <f>25758.5-27.4-197.8</f>
        <v>25533.3</v>
      </c>
      <c r="H515" s="31">
        <v>17823.6</v>
      </c>
      <c r="I515" s="31">
        <f t="shared" si="14"/>
        <v>69.8053130617664</v>
      </c>
      <c r="J515" s="228">
        <f>SUM('ведомствен.'!G863)</f>
        <v>25533.3</v>
      </c>
    </row>
    <row r="516" spans="1:9" ht="59.25" customHeight="1">
      <c r="A516" s="46" t="s">
        <v>335</v>
      </c>
      <c r="B516" s="79"/>
      <c r="C516" s="45" t="s">
        <v>726</v>
      </c>
      <c r="D516" s="45" t="s">
        <v>861</v>
      </c>
      <c r="E516" s="45" t="s">
        <v>342</v>
      </c>
      <c r="F516" s="33"/>
      <c r="G516" s="31">
        <f>SUM(G517)</f>
        <v>121.5</v>
      </c>
      <c r="H516" s="31">
        <f>SUM(H517)</f>
        <v>0</v>
      </c>
      <c r="I516" s="31">
        <f t="shared" si="14"/>
        <v>0</v>
      </c>
    </row>
    <row r="517" spans="1:10" ht="21" customHeight="1">
      <c r="A517" s="49" t="s">
        <v>807</v>
      </c>
      <c r="B517" s="79"/>
      <c r="C517" s="45" t="s">
        <v>726</v>
      </c>
      <c r="D517" s="45" t="s">
        <v>861</v>
      </c>
      <c r="E517" s="45" t="s">
        <v>342</v>
      </c>
      <c r="F517" s="33" t="s">
        <v>808</v>
      </c>
      <c r="G517" s="31">
        <v>121.5</v>
      </c>
      <c r="H517" s="31"/>
      <c r="I517" s="31">
        <f t="shared" si="14"/>
        <v>0</v>
      </c>
      <c r="J517" s="228">
        <f>SUM('ведомствен.'!G865)</f>
        <v>121.5</v>
      </c>
    </row>
    <row r="518" spans="1:9" ht="62.25" customHeight="1" hidden="1">
      <c r="A518" s="32" t="s">
        <v>199</v>
      </c>
      <c r="B518" s="66"/>
      <c r="C518" s="45" t="s">
        <v>726</v>
      </c>
      <c r="D518" s="45" t="s">
        <v>861</v>
      </c>
      <c r="E518" s="45" t="s">
        <v>343</v>
      </c>
      <c r="F518" s="34"/>
      <c r="G518" s="31">
        <f>SUM(G519)</f>
        <v>0</v>
      </c>
      <c r="H518" s="31">
        <f>SUM(H519)</f>
        <v>0</v>
      </c>
      <c r="I518" s="31" t="e">
        <f t="shared" si="14"/>
        <v>#DIV/0!</v>
      </c>
    </row>
    <row r="519" spans="1:9" ht="18" customHeight="1" hidden="1">
      <c r="A519" s="49" t="s">
        <v>807</v>
      </c>
      <c r="B519" s="79"/>
      <c r="C519" s="45" t="s">
        <v>726</v>
      </c>
      <c r="D519" s="45" t="s">
        <v>861</v>
      </c>
      <c r="E519" s="45" t="s">
        <v>343</v>
      </c>
      <c r="F519" s="33" t="s">
        <v>808</v>
      </c>
      <c r="G519" s="31"/>
      <c r="H519" s="31"/>
      <c r="I519" s="31" t="e">
        <f t="shared" si="14"/>
        <v>#DIV/0!</v>
      </c>
    </row>
    <row r="520" spans="1:9" ht="15.75">
      <c r="A520" s="32" t="s">
        <v>881</v>
      </c>
      <c r="B520" s="66"/>
      <c r="C520" s="45" t="s">
        <v>726</v>
      </c>
      <c r="D520" s="45" t="s">
        <v>861</v>
      </c>
      <c r="E520" s="45" t="s">
        <v>882</v>
      </c>
      <c r="F520" s="34"/>
      <c r="G520" s="31">
        <f>SUM(G521+G525+G529+G523)+G527</f>
        <v>1045.2</v>
      </c>
      <c r="H520" s="31">
        <f>SUM(H521+H525+H529+H523)+H527+H532</f>
        <v>572</v>
      </c>
      <c r="I520" s="31">
        <f t="shared" si="14"/>
        <v>54.72636815920397</v>
      </c>
    </row>
    <row r="521" spans="1:9" ht="43.5">
      <c r="A521" s="32" t="s">
        <v>344</v>
      </c>
      <c r="B521" s="66"/>
      <c r="C521" s="45" t="s">
        <v>726</v>
      </c>
      <c r="D521" s="45" t="s">
        <v>861</v>
      </c>
      <c r="E521" s="45" t="s">
        <v>345</v>
      </c>
      <c r="F521" s="34"/>
      <c r="G521" s="31">
        <f>SUM(G522)</f>
        <v>346</v>
      </c>
      <c r="H521" s="31">
        <f>SUM(H522)</f>
        <v>3.5</v>
      </c>
      <c r="I521" s="31"/>
    </row>
    <row r="522" spans="1:10" ht="15.75">
      <c r="A522" s="49" t="s">
        <v>807</v>
      </c>
      <c r="B522" s="66"/>
      <c r="C522" s="45" t="s">
        <v>726</v>
      </c>
      <c r="D522" s="45" t="s">
        <v>861</v>
      </c>
      <c r="E522" s="45" t="s">
        <v>345</v>
      </c>
      <c r="F522" s="34" t="s">
        <v>808</v>
      </c>
      <c r="G522" s="31">
        <v>346</v>
      </c>
      <c r="H522" s="31">
        <v>3.5</v>
      </c>
      <c r="I522" s="31"/>
      <c r="J522" s="228">
        <f>SUM('ведомствен.'!G870)</f>
        <v>346</v>
      </c>
    </row>
    <row r="523" spans="1:9" ht="72" hidden="1">
      <c r="A523" s="32" t="s">
        <v>346</v>
      </c>
      <c r="B523" s="66"/>
      <c r="C523" s="45" t="s">
        <v>726</v>
      </c>
      <c r="D523" s="45" t="s">
        <v>861</v>
      </c>
      <c r="E523" s="45" t="s">
        <v>347</v>
      </c>
      <c r="F523" s="34"/>
      <c r="G523" s="31">
        <f>SUM(G524)</f>
        <v>0</v>
      </c>
      <c r="H523" s="31">
        <f>SUM(H524)</f>
        <v>0</v>
      </c>
      <c r="I523" s="31" t="e">
        <f t="shared" si="14"/>
        <v>#DIV/0!</v>
      </c>
    </row>
    <row r="524" spans="1:9" ht="29.25" hidden="1">
      <c r="A524" s="32" t="s">
        <v>195</v>
      </c>
      <c r="B524" s="66"/>
      <c r="C524" s="45" t="s">
        <v>726</v>
      </c>
      <c r="D524" s="45" t="s">
        <v>861</v>
      </c>
      <c r="E524" s="45" t="s">
        <v>347</v>
      </c>
      <c r="F524" s="34" t="s">
        <v>348</v>
      </c>
      <c r="G524" s="31"/>
      <c r="H524" s="31"/>
      <c r="I524" s="31" t="e">
        <f t="shared" si="14"/>
        <v>#DIV/0!</v>
      </c>
    </row>
    <row r="525" spans="1:9" ht="43.5" hidden="1">
      <c r="A525" s="32" t="s">
        <v>184</v>
      </c>
      <c r="B525" s="66"/>
      <c r="C525" s="45" t="s">
        <v>726</v>
      </c>
      <c r="D525" s="45" t="s">
        <v>861</v>
      </c>
      <c r="E525" s="45" t="s">
        <v>185</v>
      </c>
      <c r="F525" s="34"/>
      <c r="G525" s="31">
        <f>SUM(G526)</f>
        <v>0</v>
      </c>
      <c r="H525" s="31">
        <f>SUM(H526)</f>
        <v>0</v>
      </c>
      <c r="I525" s="31" t="e">
        <f t="shared" si="14"/>
        <v>#DIV/0!</v>
      </c>
    </row>
    <row r="526" spans="1:9" ht="15.75" hidden="1">
      <c r="A526" s="49" t="s">
        <v>807</v>
      </c>
      <c r="B526" s="66"/>
      <c r="C526" s="45" t="s">
        <v>726</v>
      </c>
      <c r="D526" s="45" t="s">
        <v>861</v>
      </c>
      <c r="E526" s="45" t="s">
        <v>185</v>
      </c>
      <c r="F526" s="34" t="s">
        <v>808</v>
      </c>
      <c r="G526" s="31"/>
      <c r="H526" s="31"/>
      <c r="I526" s="31" t="e">
        <f t="shared" si="14"/>
        <v>#DIV/0!</v>
      </c>
    </row>
    <row r="527" spans="1:9" ht="29.25" hidden="1">
      <c r="A527" s="49" t="s">
        <v>349</v>
      </c>
      <c r="B527" s="66"/>
      <c r="C527" s="45" t="s">
        <v>726</v>
      </c>
      <c r="D527" s="45" t="s">
        <v>861</v>
      </c>
      <c r="E527" s="45" t="s">
        <v>350</v>
      </c>
      <c r="F527" s="34"/>
      <c r="G527" s="31">
        <f>SUM(G528)</f>
        <v>0</v>
      </c>
      <c r="H527" s="31">
        <f>SUM(H528)</f>
        <v>0</v>
      </c>
      <c r="I527" s="31" t="e">
        <f t="shared" si="14"/>
        <v>#DIV/0!</v>
      </c>
    </row>
    <row r="528" spans="1:9" ht="29.25" hidden="1">
      <c r="A528" s="32" t="s">
        <v>195</v>
      </c>
      <c r="B528" s="66"/>
      <c r="C528" s="45" t="s">
        <v>726</v>
      </c>
      <c r="D528" s="45" t="s">
        <v>861</v>
      </c>
      <c r="E528" s="45" t="s">
        <v>350</v>
      </c>
      <c r="F528" s="34" t="s">
        <v>348</v>
      </c>
      <c r="G528" s="31"/>
      <c r="H528" s="31"/>
      <c r="I528" s="31" t="e">
        <f t="shared" si="14"/>
        <v>#DIV/0!</v>
      </c>
    </row>
    <row r="529" spans="1:9" ht="28.5" customHeight="1">
      <c r="A529" s="32" t="s">
        <v>351</v>
      </c>
      <c r="B529" s="66"/>
      <c r="C529" s="45" t="s">
        <v>726</v>
      </c>
      <c r="D529" s="45" t="s">
        <v>861</v>
      </c>
      <c r="E529" s="45" t="s">
        <v>352</v>
      </c>
      <c r="F529" s="34"/>
      <c r="G529" s="31">
        <f>SUM(G530+G531+G532)</f>
        <v>699.2</v>
      </c>
      <c r="H529" s="31">
        <f>SUM(H530)</f>
        <v>0</v>
      </c>
      <c r="I529" s="31">
        <f t="shared" si="14"/>
        <v>0</v>
      </c>
    </row>
    <row r="530" spans="1:9" ht="24.75" customHeight="1" hidden="1">
      <c r="A530" s="32" t="s">
        <v>353</v>
      </c>
      <c r="B530" s="66"/>
      <c r="C530" s="45" t="s">
        <v>726</v>
      </c>
      <c r="D530" s="45" t="s">
        <v>861</v>
      </c>
      <c r="E530" s="45" t="s">
        <v>352</v>
      </c>
      <c r="F530" s="34" t="s">
        <v>177</v>
      </c>
      <c r="G530" s="31">
        <f>SUM('[1]Ведомств.'!F586)</f>
        <v>0</v>
      </c>
      <c r="H530" s="31">
        <f>SUM('[1]Ведомств.'!G586)</f>
        <v>0</v>
      </c>
      <c r="I530" s="31" t="e">
        <f t="shared" si="14"/>
        <v>#DIV/0!</v>
      </c>
    </row>
    <row r="531" spans="1:10" ht="30.75" customHeight="1">
      <c r="A531" s="49" t="s">
        <v>856</v>
      </c>
      <c r="B531" s="66"/>
      <c r="C531" s="45" t="s">
        <v>726</v>
      </c>
      <c r="D531" s="45" t="s">
        <v>861</v>
      </c>
      <c r="E531" s="45" t="s">
        <v>352</v>
      </c>
      <c r="F531" s="34" t="s">
        <v>177</v>
      </c>
      <c r="G531" s="31">
        <v>73.2</v>
      </c>
      <c r="H531" s="31"/>
      <c r="I531" s="31"/>
      <c r="J531">
        <f>SUM('ведомствен.'!G883)</f>
        <v>73.2</v>
      </c>
    </row>
    <row r="532" spans="1:9" ht="87.75" customHeight="1">
      <c r="A532" s="122" t="s">
        <v>354</v>
      </c>
      <c r="B532" s="66"/>
      <c r="C532" s="45" t="s">
        <v>726</v>
      </c>
      <c r="D532" s="45" t="s">
        <v>861</v>
      </c>
      <c r="E532" s="45" t="s">
        <v>355</v>
      </c>
      <c r="F532" s="34"/>
      <c r="G532" s="31">
        <f>SUM(G533)</f>
        <v>626</v>
      </c>
      <c r="H532" s="31">
        <f>SUM(H533)</f>
        <v>568.5</v>
      </c>
      <c r="I532" s="31">
        <f t="shared" si="14"/>
        <v>90.814696485623</v>
      </c>
    </row>
    <row r="533" spans="1:10" ht="15.75">
      <c r="A533" s="49" t="s">
        <v>807</v>
      </c>
      <c r="B533" s="66"/>
      <c r="C533" s="45" t="s">
        <v>726</v>
      </c>
      <c r="D533" s="45" t="s">
        <v>861</v>
      </c>
      <c r="E533" s="45" t="s">
        <v>355</v>
      </c>
      <c r="F533" s="34" t="s">
        <v>808</v>
      </c>
      <c r="G533" s="31">
        <v>626</v>
      </c>
      <c r="H533" s="31">
        <v>568.5</v>
      </c>
      <c r="I533" s="31">
        <f t="shared" si="14"/>
        <v>90.814696485623</v>
      </c>
      <c r="J533" s="228">
        <f>SUM('ведомствен.'!G885)</f>
        <v>626</v>
      </c>
    </row>
    <row r="534" spans="1:10" s="124" customFormat="1" ht="15">
      <c r="A534" s="103" t="s">
        <v>767</v>
      </c>
      <c r="B534" s="123"/>
      <c r="C534" s="45" t="s">
        <v>726</v>
      </c>
      <c r="D534" s="45" t="s">
        <v>861</v>
      </c>
      <c r="E534" s="45" t="s">
        <v>768</v>
      </c>
      <c r="F534" s="34"/>
      <c r="G534" s="31">
        <f>SUM(G535,G537,G538,G539,G540,G541)</f>
        <v>30654.899999999998</v>
      </c>
      <c r="H534" s="31">
        <f>SUM(H535)</f>
        <v>18780.1</v>
      </c>
      <c r="I534" s="31">
        <f t="shared" si="14"/>
        <v>61.26296285422559</v>
      </c>
      <c r="J534" s="239"/>
    </row>
    <row r="535" spans="1:10" s="124" customFormat="1" ht="42.75" customHeight="1">
      <c r="A535" s="103" t="s">
        <v>854</v>
      </c>
      <c r="B535" s="123"/>
      <c r="C535" s="45" t="s">
        <v>726</v>
      </c>
      <c r="D535" s="45" t="s">
        <v>861</v>
      </c>
      <c r="E535" s="45" t="s">
        <v>855</v>
      </c>
      <c r="F535" s="34"/>
      <c r="G535" s="31">
        <f>SUM(G536)</f>
        <v>2030</v>
      </c>
      <c r="H535" s="31">
        <f>SUM(H537:H541)</f>
        <v>18780.1</v>
      </c>
      <c r="I535" s="31">
        <f t="shared" si="14"/>
        <v>925.1280788177339</v>
      </c>
      <c r="J535" s="239"/>
    </row>
    <row r="536" spans="1:10" ht="26.25" customHeight="1">
      <c r="A536" s="27" t="s">
        <v>4</v>
      </c>
      <c r="B536" s="123"/>
      <c r="C536" s="45" t="s">
        <v>857</v>
      </c>
      <c r="D536" s="45" t="s">
        <v>861</v>
      </c>
      <c r="E536" s="45" t="s">
        <v>855</v>
      </c>
      <c r="F536" s="34" t="s">
        <v>5</v>
      </c>
      <c r="G536" s="31">
        <v>2030</v>
      </c>
      <c r="H536" s="31"/>
      <c r="I536" s="31"/>
      <c r="J536">
        <f>SUM('ведомствен.'!G345)</f>
        <v>2030</v>
      </c>
    </row>
    <row r="537" spans="1:10" s="124" customFormat="1" ht="42" customHeight="1">
      <c r="A537" s="80" t="s">
        <v>356</v>
      </c>
      <c r="B537" s="123"/>
      <c r="C537" s="45" t="s">
        <v>726</v>
      </c>
      <c r="D537" s="45" t="s">
        <v>861</v>
      </c>
      <c r="E537" s="45" t="s">
        <v>357</v>
      </c>
      <c r="F537" s="34" t="s">
        <v>306</v>
      </c>
      <c r="G537" s="31">
        <f>250-55.1+55.1</f>
        <v>250</v>
      </c>
      <c r="H537" s="31">
        <v>179.9</v>
      </c>
      <c r="I537" s="31">
        <f t="shared" si="14"/>
        <v>71.96000000000001</v>
      </c>
      <c r="J537" s="228">
        <f>SUM('ведомствен.'!G889+'ведомствен.'!G714)</f>
        <v>250</v>
      </c>
    </row>
    <row r="538" spans="1:10" ht="14.25" customHeight="1">
      <c r="A538" s="80" t="s">
        <v>358</v>
      </c>
      <c r="B538" s="28"/>
      <c r="C538" s="45" t="s">
        <v>726</v>
      </c>
      <c r="D538" s="45" t="s">
        <v>861</v>
      </c>
      <c r="E538" s="45" t="s">
        <v>359</v>
      </c>
      <c r="F538" s="34" t="s">
        <v>306</v>
      </c>
      <c r="G538" s="64">
        <f>20953-672.2</f>
        <v>20280.8</v>
      </c>
      <c r="H538" s="64">
        <v>14959.3</v>
      </c>
      <c r="I538" s="31">
        <f t="shared" si="14"/>
        <v>73.76089700603526</v>
      </c>
      <c r="J538" s="228">
        <f>SUM('ведомствен.'!G890)</f>
        <v>20280.8</v>
      </c>
    </row>
    <row r="539" spans="1:10" ht="75.75" customHeight="1">
      <c r="A539" s="80" t="s">
        <v>360</v>
      </c>
      <c r="B539" s="28"/>
      <c r="C539" s="45" t="s">
        <v>726</v>
      </c>
      <c r="D539" s="45" t="s">
        <v>861</v>
      </c>
      <c r="E539" s="45" t="s">
        <v>361</v>
      </c>
      <c r="F539" s="34" t="s">
        <v>306</v>
      </c>
      <c r="G539" s="64">
        <f>5042.9-265.3+69.5</f>
        <v>4847.099999999999</v>
      </c>
      <c r="H539" s="64">
        <v>2979.3</v>
      </c>
      <c r="I539" s="31">
        <f t="shared" si="14"/>
        <v>61.46561861731759</v>
      </c>
      <c r="J539" s="228">
        <f>SUM('ведомствен.'!G891+'ведомствен.'!G715)</f>
        <v>4847.099999999999</v>
      </c>
    </row>
    <row r="540" spans="1:10" ht="30.75" customHeight="1">
      <c r="A540" s="80" t="s">
        <v>362</v>
      </c>
      <c r="B540" s="28"/>
      <c r="C540" s="45" t="s">
        <v>726</v>
      </c>
      <c r="D540" s="45" t="s">
        <v>861</v>
      </c>
      <c r="E540" s="45" t="s">
        <v>363</v>
      </c>
      <c r="F540" s="34" t="s">
        <v>306</v>
      </c>
      <c r="G540" s="64">
        <f>2545-12.7+12.7</f>
        <v>2545</v>
      </c>
      <c r="H540" s="64">
        <v>20.5</v>
      </c>
      <c r="I540" s="31">
        <f t="shared" si="14"/>
        <v>0.8055009823182712</v>
      </c>
      <c r="J540" s="228">
        <f>SUM('ведомствен.'!G892+'ведомствен.'!G716)</f>
        <v>2545</v>
      </c>
    </row>
    <row r="541" spans="1:10" ht="18" customHeight="1">
      <c r="A541" s="80" t="s">
        <v>364</v>
      </c>
      <c r="B541" s="28"/>
      <c r="C541" s="45" t="s">
        <v>726</v>
      </c>
      <c r="D541" s="45" t="s">
        <v>861</v>
      </c>
      <c r="E541" s="45" t="s">
        <v>365</v>
      </c>
      <c r="F541" s="34" t="s">
        <v>306</v>
      </c>
      <c r="G541" s="64">
        <v>702</v>
      </c>
      <c r="H541" s="64">
        <v>641.1</v>
      </c>
      <c r="I541" s="31">
        <f t="shared" si="14"/>
        <v>91.32478632478633</v>
      </c>
      <c r="J541" s="228">
        <f>SUM('ведомствен.'!G893)</f>
        <v>702</v>
      </c>
    </row>
    <row r="542" spans="1:10" s="26" customFormat="1" ht="30">
      <c r="A542" s="50" t="s">
        <v>366</v>
      </c>
      <c r="B542" s="51"/>
      <c r="C542" s="52" t="s">
        <v>739</v>
      </c>
      <c r="D542" s="52"/>
      <c r="E542" s="52"/>
      <c r="F542" s="53"/>
      <c r="G542" s="54">
        <f>SUM(G543+G568)</f>
        <v>52576.600000000006</v>
      </c>
      <c r="H542" s="54">
        <f>SUM(H543+H568)</f>
        <v>34106.3</v>
      </c>
      <c r="I542" s="54">
        <f t="shared" si="14"/>
        <v>64.86973292301138</v>
      </c>
      <c r="J542" s="229"/>
    </row>
    <row r="543" spans="1:9" ht="15">
      <c r="A543" s="27" t="s">
        <v>367</v>
      </c>
      <c r="B543" s="28"/>
      <c r="C543" s="45" t="s">
        <v>739</v>
      </c>
      <c r="D543" s="45" t="s">
        <v>703</v>
      </c>
      <c r="E543" s="45"/>
      <c r="F543" s="33"/>
      <c r="G543" s="31">
        <f>SUM(G556+G550+G544+G564)</f>
        <v>41187.100000000006</v>
      </c>
      <c r="H543" s="31">
        <f>SUM(H556+H550+H544+H564)</f>
        <v>27050.9</v>
      </c>
      <c r="I543" s="31">
        <f t="shared" si="14"/>
        <v>65.67808852771863</v>
      </c>
    </row>
    <row r="544" spans="1:9" ht="28.5">
      <c r="A544" s="27" t="s">
        <v>817</v>
      </c>
      <c r="B544" s="28"/>
      <c r="C544" s="45" t="s">
        <v>739</v>
      </c>
      <c r="D544" s="45" t="s">
        <v>703</v>
      </c>
      <c r="E544" s="45" t="s">
        <v>818</v>
      </c>
      <c r="F544" s="33"/>
      <c r="G544" s="31">
        <f>SUM(G545)</f>
        <v>20978.9</v>
      </c>
      <c r="H544" s="31">
        <f>SUM(H545)</f>
        <v>14679.5</v>
      </c>
      <c r="I544" s="31">
        <f t="shared" si="14"/>
        <v>69.97268684249413</v>
      </c>
    </row>
    <row r="545" spans="1:9" ht="24.75" customHeight="1">
      <c r="A545" s="32" t="s">
        <v>805</v>
      </c>
      <c r="B545" s="118"/>
      <c r="C545" s="45" t="s">
        <v>739</v>
      </c>
      <c r="D545" s="45" t="s">
        <v>703</v>
      </c>
      <c r="E545" s="45" t="s">
        <v>819</v>
      </c>
      <c r="F545" s="33"/>
      <c r="G545" s="31">
        <f>SUM(G546:G548)</f>
        <v>20978.9</v>
      </c>
      <c r="H545" s="31">
        <f>SUM(H546:H548)</f>
        <v>14679.5</v>
      </c>
      <c r="I545" s="31">
        <f t="shared" si="14"/>
        <v>69.97268684249413</v>
      </c>
    </row>
    <row r="546" spans="1:10" ht="15" customHeight="1">
      <c r="A546" s="49" t="s">
        <v>807</v>
      </c>
      <c r="B546" s="66"/>
      <c r="C546" s="45" t="s">
        <v>739</v>
      </c>
      <c r="D546" s="45" t="s">
        <v>703</v>
      </c>
      <c r="E546" s="45" t="s">
        <v>819</v>
      </c>
      <c r="F546" s="34" t="s">
        <v>808</v>
      </c>
      <c r="G546" s="31">
        <v>20978.9</v>
      </c>
      <c r="H546" s="31">
        <v>14679.5</v>
      </c>
      <c r="I546" s="31">
        <f t="shared" si="14"/>
        <v>69.97268684249413</v>
      </c>
      <c r="J546" s="228">
        <f>SUM('ведомствен.'!G350+'ведомствен.'!G925)</f>
        <v>20978.9</v>
      </c>
    </row>
    <row r="547" spans="1:9" ht="46.5" customHeight="1" hidden="1">
      <c r="A547" s="49" t="s">
        <v>368</v>
      </c>
      <c r="B547" s="66"/>
      <c r="C547" s="45" t="s">
        <v>739</v>
      </c>
      <c r="D547" s="45" t="s">
        <v>703</v>
      </c>
      <c r="E547" s="45" t="s">
        <v>819</v>
      </c>
      <c r="F547" s="34" t="s">
        <v>369</v>
      </c>
      <c r="G547" s="31"/>
      <c r="H547" s="31"/>
      <c r="I547" s="31" t="e">
        <f t="shared" si="14"/>
        <v>#DIV/0!</v>
      </c>
    </row>
    <row r="548" spans="1:9" ht="57.75" customHeight="1" hidden="1">
      <c r="A548" s="32" t="s">
        <v>199</v>
      </c>
      <c r="B548" s="36"/>
      <c r="C548" s="45" t="s">
        <v>739</v>
      </c>
      <c r="D548" s="45" t="s">
        <v>703</v>
      </c>
      <c r="E548" s="45" t="s">
        <v>370</v>
      </c>
      <c r="F548" s="34"/>
      <c r="G548" s="31">
        <f>SUM(G549)</f>
        <v>0</v>
      </c>
      <c r="H548" s="31">
        <f>SUM(H549)</f>
        <v>0</v>
      </c>
      <c r="I548" s="31" t="e">
        <f aca="true" t="shared" si="17" ref="I548:I613">SUM(H548/G548*100)</f>
        <v>#DIV/0!</v>
      </c>
    </row>
    <row r="549" spans="1:9" ht="22.5" customHeight="1" hidden="1">
      <c r="A549" s="49" t="s">
        <v>807</v>
      </c>
      <c r="B549" s="66"/>
      <c r="C549" s="45" t="s">
        <v>739</v>
      </c>
      <c r="D549" s="45" t="s">
        <v>703</v>
      </c>
      <c r="E549" s="45" t="s">
        <v>370</v>
      </c>
      <c r="F549" s="34" t="s">
        <v>808</v>
      </c>
      <c r="G549" s="31"/>
      <c r="H549" s="31"/>
      <c r="I549" s="31" t="e">
        <f t="shared" si="17"/>
        <v>#DIV/0!</v>
      </c>
    </row>
    <row r="550" spans="1:9" ht="15">
      <c r="A550" s="27" t="s">
        <v>371</v>
      </c>
      <c r="B550" s="28"/>
      <c r="C550" s="45" t="s">
        <v>739</v>
      </c>
      <c r="D550" s="45" t="s">
        <v>703</v>
      </c>
      <c r="E550" s="45" t="s">
        <v>372</v>
      </c>
      <c r="F550" s="33"/>
      <c r="G550" s="31">
        <f>SUM(G551)</f>
        <v>3218.7</v>
      </c>
      <c r="H550" s="31">
        <f>SUM(H551)</f>
        <v>2102.5</v>
      </c>
      <c r="I550" s="31">
        <f t="shared" si="17"/>
        <v>65.32140305092118</v>
      </c>
    </row>
    <row r="551" spans="1:9" ht="19.5" customHeight="1">
      <c r="A551" s="32" t="s">
        <v>805</v>
      </c>
      <c r="B551" s="118"/>
      <c r="C551" s="45" t="s">
        <v>739</v>
      </c>
      <c r="D551" s="45" t="s">
        <v>703</v>
      </c>
      <c r="E551" s="45" t="s">
        <v>373</v>
      </c>
      <c r="F551" s="33"/>
      <c r="G551" s="31">
        <f>SUM(G552)+G554</f>
        <v>3218.7</v>
      </c>
      <c r="H551" s="31">
        <f>SUM(H552)+H554</f>
        <v>2102.5</v>
      </c>
      <c r="I551" s="31">
        <f t="shared" si="17"/>
        <v>65.32140305092118</v>
      </c>
    </row>
    <row r="552" spans="1:10" ht="17.25" customHeight="1">
      <c r="A552" s="49" t="s">
        <v>807</v>
      </c>
      <c r="B552" s="66"/>
      <c r="C552" s="45" t="s">
        <v>739</v>
      </c>
      <c r="D552" s="45" t="s">
        <v>703</v>
      </c>
      <c r="E552" s="45" t="s">
        <v>373</v>
      </c>
      <c r="F552" s="34" t="s">
        <v>808</v>
      </c>
      <c r="G552" s="31">
        <v>3218.7</v>
      </c>
      <c r="H552" s="31">
        <v>2102.5</v>
      </c>
      <c r="I552" s="31">
        <f t="shared" si="17"/>
        <v>65.32140305092118</v>
      </c>
      <c r="J552" s="228">
        <f>SUM('ведомствен.'!G931)</f>
        <v>3218.7</v>
      </c>
    </row>
    <row r="553" spans="1:9" ht="46.5" customHeight="1" hidden="1">
      <c r="A553" s="49" t="s">
        <v>368</v>
      </c>
      <c r="B553" s="66"/>
      <c r="C553" s="45" t="s">
        <v>739</v>
      </c>
      <c r="D553" s="45" t="s">
        <v>703</v>
      </c>
      <c r="E553" s="45" t="s">
        <v>373</v>
      </c>
      <c r="F553" s="34" t="s">
        <v>369</v>
      </c>
      <c r="G553" s="31"/>
      <c r="H553" s="31"/>
      <c r="I553" s="31" t="e">
        <f t="shared" si="17"/>
        <v>#DIV/0!</v>
      </c>
    </row>
    <row r="554" spans="1:9" ht="57" customHeight="1" hidden="1">
      <c r="A554" s="32" t="s">
        <v>199</v>
      </c>
      <c r="B554" s="36"/>
      <c r="C554" s="45" t="s">
        <v>739</v>
      </c>
      <c r="D554" s="45" t="s">
        <v>703</v>
      </c>
      <c r="E554" s="45" t="s">
        <v>374</v>
      </c>
      <c r="F554" s="34"/>
      <c r="G554" s="31">
        <f>SUM(G555)</f>
        <v>0</v>
      </c>
      <c r="H554" s="31">
        <f>SUM(H555)</f>
        <v>0</v>
      </c>
      <c r="I554" s="31" t="e">
        <f t="shared" si="17"/>
        <v>#DIV/0!</v>
      </c>
    </row>
    <row r="555" spans="1:9" ht="18.75" customHeight="1" hidden="1">
      <c r="A555" s="49" t="s">
        <v>807</v>
      </c>
      <c r="B555" s="66"/>
      <c r="C555" s="45" t="s">
        <v>739</v>
      </c>
      <c r="D555" s="45" t="s">
        <v>703</v>
      </c>
      <c r="E555" s="45" t="s">
        <v>374</v>
      </c>
      <c r="F555" s="34" t="s">
        <v>808</v>
      </c>
      <c r="G555" s="31"/>
      <c r="H555" s="31"/>
      <c r="I555" s="31" t="e">
        <f t="shared" si="17"/>
        <v>#DIV/0!</v>
      </c>
    </row>
    <row r="556" spans="1:9" ht="15">
      <c r="A556" s="27" t="s">
        <v>375</v>
      </c>
      <c r="B556" s="28"/>
      <c r="C556" s="45" t="s">
        <v>739</v>
      </c>
      <c r="D556" s="45" t="s">
        <v>703</v>
      </c>
      <c r="E556" s="45" t="s">
        <v>376</v>
      </c>
      <c r="F556" s="33"/>
      <c r="G556" s="31">
        <f>SUM(G557)</f>
        <v>16619.5</v>
      </c>
      <c r="H556" s="31">
        <f>SUM(H557)</f>
        <v>10268.9</v>
      </c>
      <c r="I556" s="31">
        <f t="shared" si="17"/>
        <v>61.78826077800175</v>
      </c>
    </row>
    <row r="557" spans="1:9" ht="19.5" customHeight="1">
      <c r="A557" s="32" t="s">
        <v>805</v>
      </c>
      <c r="B557" s="118"/>
      <c r="C557" s="45" t="s">
        <v>739</v>
      </c>
      <c r="D557" s="45" t="s">
        <v>703</v>
      </c>
      <c r="E557" s="45" t="s">
        <v>377</v>
      </c>
      <c r="F557" s="33"/>
      <c r="G557" s="31">
        <f>SUM(G558+G560+G562)</f>
        <v>16619.5</v>
      </c>
      <c r="H557" s="31">
        <f>SUM(H558+H560+H562)</f>
        <v>10268.9</v>
      </c>
      <c r="I557" s="31">
        <f t="shared" si="17"/>
        <v>61.78826077800175</v>
      </c>
    </row>
    <row r="558" spans="1:10" ht="15.75" customHeight="1">
      <c r="A558" s="49" t="s">
        <v>807</v>
      </c>
      <c r="B558" s="66"/>
      <c r="C558" s="45" t="s">
        <v>739</v>
      </c>
      <c r="D558" s="45" t="s">
        <v>703</v>
      </c>
      <c r="E558" s="45" t="s">
        <v>377</v>
      </c>
      <c r="F558" s="34" t="s">
        <v>808</v>
      </c>
      <c r="G558" s="31">
        <v>14521.8</v>
      </c>
      <c r="H558" s="31">
        <v>8963.8</v>
      </c>
      <c r="I558" s="31">
        <f t="shared" si="17"/>
        <v>61.72650773320112</v>
      </c>
      <c r="J558" s="228">
        <f>SUM('ведомствен.'!G937)</f>
        <v>14521.8</v>
      </c>
    </row>
    <row r="559" spans="1:9" ht="43.5" customHeight="1" hidden="1">
      <c r="A559" s="49" t="s">
        <v>368</v>
      </c>
      <c r="B559" s="66"/>
      <c r="C559" s="45" t="s">
        <v>739</v>
      </c>
      <c r="D559" s="45" t="s">
        <v>703</v>
      </c>
      <c r="E559" s="45" t="s">
        <v>377</v>
      </c>
      <c r="F559" s="34" t="s">
        <v>369</v>
      </c>
      <c r="G559" s="31"/>
      <c r="H559" s="31"/>
      <c r="I559" s="31" t="e">
        <f t="shared" si="17"/>
        <v>#DIV/0!</v>
      </c>
    </row>
    <row r="560" spans="1:9" ht="57.75" customHeight="1" hidden="1">
      <c r="A560" s="32" t="s">
        <v>199</v>
      </c>
      <c r="B560" s="36"/>
      <c r="C560" s="45" t="s">
        <v>739</v>
      </c>
      <c r="D560" s="45" t="s">
        <v>703</v>
      </c>
      <c r="E560" s="45" t="s">
        <v>378</v>
      </c>
      <c r="F560" s="34"/>
      <c r="G560" s="31">
        <f>SUM(G561)</f>
        <v>0</v>
      </c>
      <c r="H560" s="31">
        <f>SUM(H561)</f>
        <v>0</v>
      </c>
      <c r="I560" s="31" t="e">
        <f t="shared" si="17"/>
        <v>#DIV/0!</v>
      </c>
    </row>
    <row r="561" spans="1:9" ht="16.5" customHeight="1" hidden="1">
      <c r="A561" s="49" t="s">
        <v>807</v>
      </c>
      <c r="B561" s="66"/>
      <c r="C561" s="45" t="s">
        <v>739</v>
      </c>
      <c r="D561" s="45" t="s">
        <v>703</v>
      </c>
      <c r="E561" s="45" t="s">
        <v>378</v>
      </c>
      <c r="F561" s="34" t="s">
        <v>808</v>
      </c>
      <c r="G561" s="31"/>
      <c r="H561" s="31"/>
      <c r="I561" s="31" t="e">
        <f t="shared" si="17"/>
        <v>#DIV/0!</v>
      </c>
    </row>
    <row r="562" spans="1:9" ht="60" customHeight="1">
      <c r="A562" s="49" t="s">
        <v>379</v>
      </c>
      <c r="B562" s="66"/>
      <c r="C562" s="45" t="s">
        <v>739</v>
      </c>
      <c r="D562" s="45" t="s">
        <v>703</v>
      </c>
      <c r="E562" s="45" t="s">
        <v>380</v>
      </c>
      <c r="F562" s="34"/>
      <c r="G562" s="31">
        <f>SUM(G563)</f>
        <v>2097.7</v>
      </c>
      <c r="H562" s="31">
        <f>SUM(H563)</f>
        <v>1305.1</v>
      </c>
      <c r="I562" s="31">
        <f t="shared" si="17"/>
        <v>62.21576011822473</v>
      </c>
    </row>
    <row r="563" spans="1:10" ht="16.5" customHeight="1">
      <c r="A563" s="49" t="s">
        <v>807</v>
      </c>
      <c r="B563" s="66"/>
      <c r="C563" s="45" t="s">
        <v>739</v>
      </c>
      <c r="D563" s="45" t="s">
        <v>703</v>
      </c>
      <c r="E563" s="45" t="s">
        <v>380</v>
      </c>
      <c r="F563" s="34" t="s">
        <v>808</v>
      </c>
      <c r="G563" s="31">
        <f>2030+67.7</f>
        <v>2097.7</v>
      </c>
      <c r="H563" s="31">
        <v>1305.1</v>
      </c>
      <c r="I563" s="31">
        <f t="shared" si="17"/>
        <v>62.21576011822473</v>
      </c>
      <c r="J563" s="228">
        <f>SUM('ведомствен.'!G942)</f>
        <v>2097.7</v>
      </c>
    </row>
    <row r="564" spans="1:9" ht="30" customHeight="1">
      <c r="A564" s="49" t="s">
        <v>381</v>
      </c>
      <c r="B564" s="66"/>
      <c r="C564" s="45" t="s">
        <v>739</v>
      </c>
      <c r="D564" s="45" t="s">
        <v>703</v>
      </c>
      <c r="E564" s="45" t="s">
        <v>382</v>
      </c>
      <c r="F564" s="34"/>
      <c r="G564" s="31">
        <f>SUM(G565+G566)</f>
        <v>370</v>
      </c>
      <c r="H564" s="31">
        <f>SUM(H565+H566)</f>
        <v>0</v>
      </c>
      <c r="I564" s="31">
        <f t="shared" si="17"/>
        <v>0</v>
      </c>
    </row>
    <row r="565" spans="1:10" ht="30" customHeight="1">
      <c r="A565" s="49" t="s">
        <v>807</v>
      </c>
      <c r="B565" s="66"/>
      <c r="C565" s="45" t="s">
        <v>739</v>
      </c>
      <c r="D565" s="45" t="s">
        <v>703</v>
      </c>
      <c r="E565" s="45" t="s">
        <v>382</v>
      </c>
      <c r="F565" s="34" t="s">
        <v>808</v>
      </c>
      <c r="G565" s="31">
        <v>268</v>
      </c>
      <c r="H565" s="31"/>
      <c r="I565" s="31">
        <f t="shared" si="17"/>
        <v>0</v>
      </c>
      <c r="J565" s="228">
        <f>SUM('ведомствен.'!G944)</f>
        <v>268</v>
      </c>
    </row>
    <row r="566" spans="1:9" ht="42" customHeight="1">
      <c r="A566" s="49" t="s">
        <v>383</v>
      </c>
      <c r="B566" s="66"/>
      <c r="C566" s="45" t="s">
        <v>739</v>
      </c>
      <c r="D566" s="45" t="s">
        <v>703</v>
      </c>
      <c r="E566" s="45" t="s">
        <v>384</v>
      </c>
      <c r="F566" s="34"/>
      <c r="G566" s="31">
        <f>SUM(G567)</f>
        <v>102</v>
      </c>
      <c r="H566" s="31">
        <f>SUM(H567)</f>
        <v>0</v>
      </c>
      <c r="I566" s="31">
        <f t="shared" si="17"/>
        <v>0</v>
      </c>
    </row>
    <row r="567" spans="1:10" ht="21" customHeight="1">
      <c r="A567" s="49" t="s">
        <v>807</v>
      </c>
      <c r="B567" s="66"/>
      <c r="C567" s="45" t="s">
        <v>739</v>
      </c>
      <c r="D567" s="45" t="s">
        <v>703</v>
      </c>
      <c r="E567" s="45" t="s">
        <v>384</v>
      </c>
      <c r="F567" s="34" t="s">
        <v>808</v>
      </c>
      <c r="G567" s="31">
        <v>102</v>
      </c>
      <c r="H567" s="31"/>
      <c r="I567" s="31">
        <f t="shared" si="17"/>
        <v>0</v>
      </c>
      <c r="J567" s="228">
        <f>SUM('ведомствен.'!G946)</f>
        <v>102</v>
      </c>
    </row>
    <row r="568" spans="1:9" ht="28.5" customHeight="1">
      <c r="A568" s="46" t="s">
        <v>385</v>
      </c>
      <c r="B568" s="51"/>
      <c r="C568" s="40" t="s">
        <v>739</v>
      </c>
      <c r="D568" s="40" t="s">
        <v>776</v>
      </c>
      <c r="E568" s="40"/>
      <c r="F568" s="125"/>
      <c r="G568" s="31">
        <f>SUM(G572+G575)+G569</f>
        <v>11389.5</v>
      </c>
      <c r="H568" s="31">
        <f>SUM(H572+H575)+H569</f>
        <v>7055.4</v>
      </c>
      <c r="I568" s="31">
        <f t="shared" si="17"/>
        <v>61.94652969840643</v>
      </c>
    </row>
    <row r="569" spans="1:9" ht="20.25" customHeight="1">
      <c r="A569" s="27" t="s">
        <v>794</v>
      </c>
      <c r="B569" s="51"/>
      <c r="C569" s="45" t="s">
        <v>739</v>
      </c>
      <c r="D569" s="45" t="s">
        <v>776</v>
      </c>
      <c r="E569" s="45" t="s">
        <v>796</v>
      </c>
      <c r="F569" s="125"/>
      <c r="G569" s="31">
        <f>SUM(G570)</f>
        <v>900</v>
      </c>
      <c r="H569" s="31">
        <f>SUM(H570)</f>
        <v>900</v>
      </c>
      <c r="I569" s="31">
        <f t="shared" si="17"/>
        <v>100</v>
      </c>
    </row>
    <row r="570" spans="1:9" ht="18.75" customHeight="1">
      <c r="A570" s="27" t="s">
        <v>765</v>
      </c>
      <c r="B570" s="51"/>
      <c r="C570" s="45" t="s">
        <v>739</v>
      </c>
      <c r="D570" s="45" t="s">
        <v>776</v>
      </c>
      <c r="E570" s="45" t="s">
        <v>766</v>
      </c>
      <c r="F570" s="125"/>
      <c r="G570" s="31">
        <f>SUM(G571)</f>
        <v>900</v>
      </c>
      <c r="H570" s="31">
        <f>SUM(H571)</f>
        <v>900</v>
      </c>
      <c r="I570" s="31">
        <f t="shared" si="17"/>
        <v>100</v>
      </c>
    </row>
    <row r="571" spans="1:10" ht="45.75" customHeight="1">
      <c r="A571" s="27" t="s">
        <v>386</v>
      </c>
      <c r="B571" s="51"/>
      <c r="C571" s="45" t="s">
        <v>739</v>
      </c>
      <c r="D571" s="45" t="s">
        <v>776</v>
      </c>
      <c r="E571" s="45" t="s">
        <v>766</v>
      </c>
      <c r="F571" s="125" t="s">
        <v>387</v>
      </c>
      <c r="G571" s="31">
        <v>900</v>
      </c>
      <c r="H571" s="31">
        <v>900</v>
      </c>
      <c r="I571" s="31">
        <f t="shared" si="17"/>
        <v>100</v>
      </c>
      <c r="J571" s="228">
        <f>SUM('ведомствен.'!G950)</f>
        <v>900</v>
      </c>
    </row>
    <row r="572" spans="1:9" ht="62.25" customHeight="1">
      <c r="A572" s="46" t="s">
        <v>335</v>
      </c>
      <c r="B572" s="118"/>
      <c r="C572" s="45" t="s">
        <v>739</v>
      </c>
      <c r="D572" s="45" t="s">
        <v>776</v>
      </c>
      <c r="E572" s="45" t="s">
        <v>336</v>
      </c>
      <c r="F572" s="33"/>
      <c r="G572" s="31">
        <f>SUM(G573)</f>
        <v>5467.5</v>
      </c>
      <c r="H572" s="31">
        <f>SUM(H573)</f>
        <v>3733.8</v>
      </c>
      <c r="I572" s="31">
        <f t="shared" si="17"/>
        <v>68.29080932784638</v>
      </c>
    </row>
    <row r="573" spans="1:9" ht="22.5" customHeight="1">
      <c r="A573" s="32" t="s">
        <v>805</v>
      </c>
      <c r="B573" s="118"/>
      <c r="C573" s="45" t="s">
        <v>739</v>
      </c>
      <c r="D573" s="45" t="s">
        <v>776</v>
      </c>
      <c r="E573" s="45" t="s">
        <v>337</v>
      </c>
      <c r="F573" s="33"/>
      <c r="G573" s="31">
        <f>SUM(G574)</f>
        <v>5467.5</v>
      </c>
      <c r="H573" s="31">
        <f>SUM(H574)</f>
        <v>3733.8</v>
      </c>
      <c r="I573" s="31">
        <f t="shared" si="17"/>
        <v>68.29080932784638</v>
      </c>
    </row>
    <row r="574" spans="1:10" ht="17.25" customHeight="1">
      <c r="A574" s="49" t="s">
        <v>807</v>
      </c>
      <c r="B574" s="66"/>
      <c r="C574" s="45" t="s">
        <v>739</v>
      </c>
      <c r="D574" s="45" t="s">
        <v>776</v>
      </c>
      <c r="E574" s="45" t="s">
        <v>337</v>
      </c>
      <c r="F574" s="34" t="s">
        <v>808</v>
      </c>
      <c r="G574" s="31">
        <f>4914+405.5+148</f>
        <v>5467.5</v>
      </c>
      <c r="H574" s="31">
        <v>3733.8</v>
      </c>
      <c r="I574" s="31">
        <f t="shared" si="17"/>
        <v>68.29080932784638</v>
      </c>
      <c r="J574" s="228">
        <f>SUM('ведомствен.'!G953)</f>
        <v>5467.5</v>
      </c>
    </row>
    <row r="575" spans="1:9" ht="15.75">
      <c r="A575" s="103" t="s">
        <v>767</v>
      </c>
      <c r="B575" s="51"/>
      <c r="C575" s="40" t="s">
        <v>739</v>
      </c>
      <c r="D575" s="40" t="s">
        <v>776</v>
      </c>
      <c r="E575" s="40" t="s">
        <v>768</v>
      </c>
      <c r="F575" s="125"/>
      <c r="G575" s="31">
        <f>SUM(G576+G579)</f>
        <v>5022</v>
      </c>
      <c r="H575" s="31">
        <f>SUM(H576)</f>
        <v>2421.6</v>
      </c>
      <c r="I575" s="31">
        <f t="shared" si="17"/>
        <v>48.219832735961766</v>
      </c>
    </row>
    <row r="576" spans="1:9" ht="42.75" customHeight="1">
      <c r="A576" s="27" t="s">
        <v>386</v>
      </c>
      <c r="B576" s="51"/>
      <c r="C576" s="40" t="s">
        <v>739</v>
      </c>
      <c r="D576" s="40" t="s">
        <v>776</v>
      </c>
      <c r="E576" s="40" t="s">
        <v>768</v>
      </c>
      <c r="F576" s="125" t="s">
        <v>387</v>
      </c>
      <c r="G576" s="31">
        <f>SUM(G581:G582)</f>
        <v>4717</v>
      </c>
      <c r="H576" s="31">
        <f>SUM(H577:H582)</f>
        <v>2421.6</v>
      </c>
      <c r="I576" s="31">
        <f t="shared" si="17"/>
        <v>51.3377146491414</v>
      </c>
    </row>
    <row r="577" spans="1:9" ht="29.25" customHeight="1" hidden="1">
      <c r="A577" s="80" t="s">
        <v>356</v>
      </c>
      <c r="B577" s="51"/>
      <c r="C577" s="40" t="s">
        <v>739</v>
      </c>
      <c r="D577" s="40" t="s">
        <v>776</v>
      </c>
      <c r="E577" s="40" t="s">
        <v>357</v>
      </c>
      <c r="F577" s="125" t="s">
        <v>387</v>
      </c>
      <c r="G577" s="31"/>
      <c r="H577" s="31"/>
      <c r="I577" s="31" t="e">
        <f t="shared" si="17"/>
        <v>#DIV/0!</v>
      </c>
    </row>
    <row r="578" spans="1:10" s="126" customFormat="1" ht="28.5" customHeight="1" hidden="1">
      <c r="A578" s="38" t="s">
        <v>388</v>
      </c>
      <c r="B578" s="51"/>
      <c r="C578" s="40" t="s">
        <v>739</v>
      </c>
      <c r="D578" s="40" t="s">
        <v>776</v>
      </c>
      <c r="E578" s="40" t="s">
        <v>389</v>
      </c>
      <c r="F578" s="125" t="s">
        <v>387</v>
      </c>
      <c r="G578" s="64"/>
      <c r="H578" s="64"/>
      <c r="I578" s="31" t="e">
        <f t="shared" si="17"/>
        <v>#DIV/0!</v>
      </c>
      <c r="J578" s="240"/>
    </row>
    <row r="579" spans="1:10" ht="45.75" customHeight="1">
      <c r="A579" s="38" t="s">
        <v>854</v>
      </c>
      <c r="B579" s="51"/>
      <c r="C579" s="40" t="s">
        <v>739</v>
      </c>
      <c r="D579" s="40" t="s">
        <v>776</v>
      </c>
      <c r="E579" s="40" t="s">
        <v>855</v>
      </c>
      <c r="F579" s="125"/>
      <c r="G579" s="64">
        <f>SUM(G580)</f>
        <v>305</v>
      </c>
      <c r="H579" s="64"/>
      <c r="I579" s="31"/>
      <c r="J579"/>
    </row>
    <row r="580" spans="1:10" ht="24.75" customHeight="1">
      <c r="A580" s="27" t="s">
        <v>4</v>
      </c>
      <c r="B580" s="51"/>
      <c r="C580" s="40" t="s">
        <v>739</v>
      </c>
      <c r="D580" s="40" t="s">
        <v>776</v>
      </c>
      <c r="E580" s="40" t="s">
        <v>855</v>
      </c>
      <c r="F580" s="125" t="s">
        <v>5</v>
      </c>
      <c r="G580" s="64">
        <v>305</v>
      </c>
      <c r="H580" s="64"/>
      <c r="I580" s="31"/>
      <c r="J580">
        <f>SUM('ведомствен.'!G361)</f>
        <v>305</v>
      </c>
    </row>
    <row r="581" spans="1:10" s="126" customFormat="1" ht="32.25" customHeight="1">
      <c r="A581" s="38" t="s">
        <v>390</v>
      </c>
      <c r="B581" s="51"/>
      <c r="C581" s="40" t="s">
        <v>739</v>
      </c>
      <c r="D581" s="40" t="s">
        <v>776</v>
      </c>
      <c r="E581" s="40" t="s">
        <v>391</v>
      </c>
      <c r="F581" s="125" t="s">
        <v>387</v>
      </c>
      <c r="G581" s="64">
        <v>495</v>
      </c>
      <c r="H581" s="64"/>
      <c r="I581" s="31">
        <f t="shared" si="17"/>
        <v>0</v>
      </c>
      <c r="J581" s="228">
        <f>SUM('ведомствен.'!G959)</f>
        <v>495</v>
      </c>
    </row>
    <row r="582" spans="1:10" s="126" customFormat="1" ht="36" customHeight="1">
      <c r="A582" s="38" t="s">
        <v>392</v>
      </c>
      <c r="B582" s="51"/>
      <c r="C582" s="40" t="s">
        <v>739</v>
      </c>
      <c r="D582" s="40" t="s">
        <v>776</v>
      </c>
      <c r="E582" s="40" t="s">
        <v>393</v>
      </c>
      <c r="F582" s="125" t="s">
        <v>387</v>
      </c>
      <c r="G582" s="64">
        <v>4222</v>
      </c>
      <c r="H582" s="64">
        <v>2421.6</v>
      </c>
      <c r="I582" s="31">
        <f t="shared" si="17"/>
        <v>57.356702984367594</v>
      </c>
      <c r="J582" s="228">
        <f>SUM('ведомствен.'!G960)</f>
        <v>4222</v>
      </c>
    </row>
    <row r="583" spans="1:9" ht="15.75" customHeight="1" hidden="1">
      <c r="A583" s="27" t="s">
        <v>725</v>
      </c>
      <c r="B583" s="118"/>
      <c r="C583" s="45" t="s">
        <v>726</v>
      </c>
      <c r="D583" s="45"/>
      <c r="E583" s="45"/>
      <c r="F583" s="33"/>
      <c r="G583" s="31">
        <f>SUM(G584)+G587</f>
        <v>0</v>
      </c>
      <c r="H583" s="31">
        <f>SUM(H584)+H587</f>
        <v>0</v>
      </c>
      <c r="I583" s="31" t="e">
        <f t="shared" si="17"/>
        <v>#DIV/0!</v>
      </c>
    </row>
    <row r="584" spans="1:9" ht="15.75" customHeight="1" hidden="1">
      <c r="A584" s="32" t="s">
        <v>727</v>
      </c>
      <c r="B584" s="36"/>
      <c r="C584" s="29" t="s">
        <v>726</v>
      </c>
      <c r="D584" s="29" t="s">
        <v>726</v>
      </c>
      <c r="E584" s="29"/>
      <c r="F584" s="30"/>
      <c r="G584" s="31">
        <f>SUM(G585)</f>
        <v>0</v>
      </c>
      <c r="H584" s="31">
        <f>SUM(H585)</f>
        <v>0</v>
      </c>
      <c r="I584" s="31" t="e">
        <f t="shared" si="17"/>
        <v>#DIV/0!</v>
      </c>
    </row>
    <row r="585" spans="1:9" ht="27.75" customHeight="1" hidden="1">
      <c r="A585" s="32" t="s">
        <v>728</v>
      </c>
      <c r="B585" s="36"/>
      <c r="C585" s="29" t="s">
        <v>726</v>
      </c>
      <c r="D585" s="29" t="s">
        <v>726</v>
      </c>
      <c r="E585" s="29" t="s">
        <v>729</v>
      </c>
      <c r="F585" s="30"/>
      <c r="G585" s="31">
        <f>SUM(G586)</f>
        <v>0</v>
      </c>
      <c r="H585" s="31">
        <f>SUM(H586)</f>
        <v>0</v>
      </c>
      <c r="I585" s="31" t="e">
        <f t="shared" si="17"/>
        <v>#DIV/0!</v>
      </c>
    </row>
    <row r="586" spans="1:9" ht="13.5" customHeight="1" hidden="1">
      <c r="A586" s="32" t="s">
        <v>730</v>
      </c>
      <c r="B586" s="36"/>
      <c r="C586" s="29" t="s">
        <v>726</v>
      </c>
      <c r="D586" s="29" t="s">
        <v>726</v>
      </c>
      <c r="E586" s="29" t="s">
        <v>729</v>
      </c>
      <c r="F586" s="30" t="s">
        <v>731</v>
      </c>
      <c r="G586" s="31"/>
      <c r="H586" s="31"/>
      <c r="I586" s="31" t="e">
        <f t="shared" si="17"/>
        <v>#DIV/0!</v>
      </c>
    </row>
    <row r="587" spans="1:9" ht="13.5" customHeight="1" hidden="1">
      <c r="A587" s="103" t="s">
        <v>329</v>
      </c>
      <c r="B587" s="36"/>
      <c r="C587" s="29" t="s">
        <v>726</v>
      </c>
      <c r="D587" s="29" t="s">
        <v>861</v>
      </c>
      <c r="E587" s="29"/>
      <c r="F587" s="30"/>
      <c r="G587" s="31">
        <f>SUM(G588)</f>
        <v>0</v>
      </c>
      <c r="H587" s="31">
        <f>SUM(H588)</f>
        <v>0</v>
      </c>
      <c r="I587" s="31" t="e">
        <f t="shared" si="17"/>
        <v>#DIV/0!</v>
      </c>
    </row>
    <row r="588" spans="1:9" ht="13.5" customHeight="1" hidden="1">
      <c r="A588" s="103" t="s">
        <v>767</v>
      </c>
      <c r="B588" s="36"/>
      <c r="C588" s="29" t="s">
        <v>726</v>
      </c>
      <c r="D588" s="29" t="s">
        <v>861</v>
      </c>
      <c r="E588" s="29" t="s">
        <v>768</v>
      </c>
      <c r="F588" s="30"/>
      <c r="G588" s="31">
        <f>SUM(G589)</f>
        <v>0</v>
      </c>
      <c r="H588" s="31">
        <f>SUM(H589)</f>
        <v>0</v>
      </c>
      <c r="I588" s="31" t="e">
        <f t="shared" si="17"/>
        <v>#DIV/0!</v>
      </c>
    </row>
    <row r="589" spans="1:9" ht="13.5" customHeight="1" hidden="1">
      <c r="A589" s="32" t="s">
        <v>394</v>
      </c>
      <c r="B589" s="36"/>
      <c r="C589" s="29" t="s">
        <v>726</v>
      </c>
      <c r="D589" s="29" t="s">
        <v>861</v>
      </c>
      <c r="E589" s="29" t="s">
        <v>768</v>
      </c>
      <c r="F589" s="30" t="s">
        <v>395</v>
      </c>
      <c r="G589" s="31"/>
      <c r="H589" s="31"/>
      <c r="I589" s="31" t="e">
        <f t="shared" si="17"/>
        <v>#DIV/0!</v>
      </c>
    </row>
    <row r="590" spans="1:10" s="26" customFormat="1" ht="15.75">
      <c r="A590" s="50" t="s">
        <v>396</v>
      </c>
      <c r="B590" s="51"/>
      <c r="C590" s="52" t="s">
        <v>861</v>
      </c>
      <c r="D590" s="52"/>
      <c r="E590" s="52"/>
      <c r="F590" s="53"/>
      <c r="G590" s="54">
        <f>SUM(G591+G605+G624+G629+G639+G648)</f>
        <v>216138.19999999998</v>
      </c>
      <c r="H590" s="54">
        <f>SUM(H591+H605+H624+H629+H639+H648)</f>
        <v>141283.9</v>
      </c>
      <c r="I590" s="54">
        <f t="shared" si="17"/>
        <v>65.36738993847455</v>
      </c>
      <c r="J590" s="229"/>
    </row>
    <row r="591" spans="1:9" ht="16.5" customHeight="1">
      <c r="A591" s="27" t="s">
        <v>397</v>
      </c>
      <c r="B591" s="28"/>
      <c r="C591" s="45" t="s">
        <v>861</v>
      </c>
      <c r="D591" s="45" t="s">
        <v>703</v>
      </c>
      <c r="E591" s="45"/>
      <c r="F591" s="33"/>
      <c r="G591" s="31">
        <f>SUM(G596+G598)</f>
        <v>72354.59999999999</v>
      </c>
      <c r="H591" s="31">
        <f>SUM(H596+H598)</f>
        <v>49456.8</v>
      </c>
      <c r="I591" s="31">
        <f t="shared" si="17"/>
        <v>68.35335970346047</v>
      </c>
    </row>
    <row r="592" spans="1:9" ht="19.5" customHeight="1" hidden="1">
      <c r="A592" s="72" t="s">
        <v>398</v>
      </c>
      <c r="B592" s="28"/>
      <c r="C592" s="45" t="s">
        <v>861</v>
      </c>
      <c r="D592" s="45" t="s">
        <v>703</v>
      </c>
      <c r="E592" s="45" t="s">
        <v>399</v>
      </c>
      <c r="F592" s="33"/>
      <c r="G592" s="31">
        <f>SUM(G593)</f>
        <v>0</v>
      </c>
      <c r="H592" s="31">
        <f>SUM(H593)</f>
        <v>0</v>
      </c>
      <c r="I592" s="31" t="e">
        <f t="shared" si="17"/>
        <v>#DIV/0!</v>
      </c>
    </row>
    <row r="593" spans="1:9" ht="18.75" customHeight="1" hidden="1">
      <c r="A593" s="32" t="s">
        <v>805</v>
      </c>
      <c r="B593" s="28"/>
      <c r="C593" s="45" t="s">
        <v>861</v>
      </c>
      <c r="D593" s="45" t="s">
        <v>703</v>
      </c>
      <c r="E593" s="45" t="s">
        <v>400</v>
      </c>
      <c r="F593" s="33"/>
      <c r="G593" s="31">
        <f>SUM(G594)</f>
        <v>0</v>
      </c>
      <c r="H593" s="31">
        <f>SUM(H594)</f>
        <v>0</v>
      </c>
      <c r="I593" s="31" t="e">
        <f t="shared" si="17"/>
        <v>#DIV/0!</v>
      </c>
    </row>
    <row r="594" spans="1:9" ht="17.25" customHeight="1" hidden="1">
      <c r="A594" s="49" t="s">
        <v>807</v>
      </c>
      <c r="B594" s="28"/>
      <c r="C594" s="45" t="s">
        <v>861</v>
      </c>
      <c r="D594" s="45" t="s">
        <v>703</v>
      </c>
      <c r="E594" s="45" t="s">
        <v>400</v>
      </c>
      <c r="F594" s="33" t="s">
        <v>808</v>
      </c>
      <c r="G594" s="31"/>
      <c r="H594" s="31"/>
      <c r="I594" s="31" t="e">
        <f t="shared" si="17"/>
        <v>#DIV/0!</v>
      </c>
    </row>
    <row r="595" spans="1:9" ht="17.25" customHeight="1">
      <c r="A595" s="27" t="s">
        <v>794</v>
      </c>
      <c r="B595" s="28"/>
      <c r="C595" s="45" t="s">
        <v>861</v>
      </c>
      <c r="D595" s="45" t="s">
        <v>703</v>
      </c>
      <c r="E595" s="29" t="s">
        <v>796</v>
      </c>
      <c r="F595" s="30"/>
      <c r="G595" s="31">
        <f>SUM(G596)</f>
        <v>147.2</v>
      </c>
      <c r="H595" s="31">
        <f>SUM(H596)</f>
        <v>146.8</v>
      </c>
      <c r="I595" s="31">
        <f t="shared" si="17"/>
        <v>99.72826086956523</v>
      </c>
    </row>
    <row r="596" spans="1:9" ht="15.75" customHeight="1">
      <c r="A596" s="27" t="s">
        <v>765</v>
      </c>
      <c r="B596" s="28"/>
      <c r="C596" s="45" t="s">
        <v>861</v>
      </c>
      <c r="D596" s="45" t="s">
        <v>703</v>
      </c>
      <c r="E596" s="29" t="s">
        <v>766</v>
      </c>
      <c r="F596" s="30"/>
      <c r="G596" s="31">
        <f>SUM(G597)</f>
        <v>147.2</v>
      </c>
      <c r="H596" s="31">
        <f>SUM(H597)</f>
        <v>146.8</v>
      </c>
      <c r="I596" s="31">
        <f t="shared" si="17"/>
        <v>99.72826086956523</v>
      </c>
    </row>
    <row r="597" spans="1:10" ht="17.25" customHeight="1">
      <c r="A597" s="49" t="s">
        <v>807</v>
      </c>
      <c r="B597" s="44"/>
      <c r="C597" s="45" t="s">
        <v>861</v>
      </c>
      <c r="D597" s="45" t="s">
        <v>703</v>
      </c>
      <c r="E597" s="29" t="s">
        <v>766</v>
      </c>
      <c r="F597" s="33" t="s">
        <v>808</v>
      </c>
      <c r="G597" s="31">
        <v>147.2</v>
      </c>
      <c r="H597" s="31">
        <v>146.8</v>
      </c>
      <c r="I597" s="31">
        <f t="shared" si="17"/>
        <v>99.72826086956523</v>
      </c>
      <c r="J597" s="228">
        <f>SUM('ведомствен.'!G974)</f>
        <v>147.2</v>
      </c>
    </row>
    <row r="598" spans="1:9" ht="15">
      <c r="A598" s="27" t="s">
        <v>401</v>
      </c>
      <c r="B598" s="28"/>
      <c r="C598" s="45" t="s">
        <v>861</v>
      </c>
      <c r="D598" s="45" t="s">
        <v>703</v>
      </c>
      <c r="E598" s="45" t="s">
        <v>402</v>
      </c>
      <c r="F598" s="33"/>
      <c r="G598" s="31">
        <f>SUM(G599)</f>
        <v>72207.4</v>
      </c>
      <c r="H598" s="31">
        <f>SUM(H599)</f>
        <v>49310</v>
      </c>
      <c r="I598" s="31">
        <f t="shared" si="17"/>
        <v>68.28939970141565</v>
      </c>
    </row>
    <row r="599" spans="1:9" ht="18" customHeight="1">
      <c r="A599" s="32" t="s">
        <v>805</v>
      </c>
      <c r="B599" s="28"/>
      <c r="C599" s="45" t="s">
        <v>861</v>
      </c>
      <c r="D599" s="45" t="s">
        <v>703</v>
      </c>
      <c r="E599" s="45" t="s">
        <v>403</v>
      </c>
      <c r="F599" s="33"/>
      <c r="G599" s="31">
        <f>SUM(G600:G603)</f>
        <v>72207.4</v>
      </c>
      <c r="H599" s="31">
        <f>SUM(H600:H603)</f>
        <v>49310</v>
      </c>
      <c r="I599" s="31">
        <f t="shared" si="17"/>
        <v>68.28939970141565</v>
      </c>
    </row>
    <row r="600" spans="1:10" ht="15.75" customHeight="1">
      <c r="A600" s="49" t="s">
        <v>807</v>
      </c>
      <c r="B600" s="28"/>
      <c r="C600" s="45" t="s">
        <v>404</v>
      </c>
      <c r="D600" s="45" t="s">
        <v>703</v>
      </c>
      <c r="E600" s="45" t="s">
        <v>403</v>
      </c>
      <c r="F600" s="33" t="s">
        <v>808</v>
      </c>
      <c r="G600" s="31">
        <v>72207.4</v>
      </c>
      <c r="H600" s="31">
        <v>49310</v>
      </c>
      <c r="I600" s="31">
        <f t="shared" si="17"/>
        <v>68.28939970141565</v>
      </c>
      <c r="J600" s="228">
        <f>SUM('ведомствен.'!G977+'ведомствен.'!G368)</f>
        <v>72207.4</v>
      </c>
    </row>
    <row r="601" spans="1:9" ht="42" customHeight="1" hidden="1">
      <c r="A601" s="49" t="s">
        <v>405</v>
      </c>
      <c r="B601" s="28"/>
      <c r="C601" s="45" t="s">
        <v>404</v>
      </c>
      <c r="D601" s="45" t="s">
        <v>703</v>
      </c>
      <c r="E601" s="45" t="s">
        <v>403</v>
      </c>
      <c r="F601" s="33" t="s">
        <v>406</v>
      </c>
      <c r="G601" s="31"/>
      <c r="H601" s="31"/>
      <c r="I601" s="31" t="e">
        <f t="shared" si="17"/>
        <v>#DIV/0!</v>
      </c>
    </row>
    <row r="602" spans="1:9" ht="48" customHeight="1" hidden="1">
      <c r="A602" s="49" t="s">
        <v>192</v>
      </c>
      <c r="B602" s="28"/>
      <c r="C602" s="45" t="s">
        <v>404</v>
      </c>
      <c r="D602" s="45" t="s">
        <v>703</v>
      </c>
      <c r="E602" s="45" t="s">
        <v>403</v>
      </c>
      <c r="F602" s="33" t="s">
        <v>193</v>
      </c>
      <c r="G602" s="31"/>
      <c r="H602" s="31"/>
      <c r="I602" s="31" t="e">
        <f t="shared" si="17"/>
        <v>#DIV/0!</v>
      </c>
    </row>
    <row r="603" spans="1:9" ht="57.75" customHeight="1" hidden="1">
      <c r="A603" s="32" t="s">
        <v>199</v>
      </c>
      <c r="B603" s="28"/>
      <c r="C603" s="45" t="s">
        <v>404</v>
      </c>
      <c r="D603" s="45" t="s">
        <v>703</v>
      </c>
      <c r="E603" s="45" t="s">
        <v>407</v>
      </c>
      <c r="F603" s="33"/>
      <c r="G603" s="31">
        <f>SUM(G604)</f>
        <v>0</v>
      </c>
      <c r="H603" s="31">
        <f>SUM(H604)</f>
        <v>0</v>
      </c>
      <c r="I603" s="31" t="e">
        <f t="shared" si="17"/>
        <v>#DIV/0!</v>
      </c>
    </row>
    <row r="604" spans="1:9" ht="14.25" customHeight="1" hidden="1">
      <c r="A604" s="49" t="s">
        <v>807</v>
      </c>
      <c r="B604" s="28"/>
      <c r="C604" s="45" t="s">
        <v>404</v>
      </c>
      <c r="D604" s="45" t="s">
        <v>703</v>
      </c>
      <c r="E604" s="45" t="s">
        <v>407</v>
      </c>
      <c r="F604" s="33" t="s">
        <v>808</v>
      </c>
      <c r="G604" s="31"/>
      <c r="H604" s="31"/>
      <c r="I604" s="31" t="e">
        <f t="shared" si="17"/>
        <v>#DIV/0!</v>
      </c>
    </row>
    <row r="605" spans="1:9" ht="18.75" customHeight="1">
      <c r="A605" s="27" t="s">
        <v>408</v>
      </c>
      <c r="B605" s="28"/>
      <c r="C605" s="45" t="s">
        <v>861</v>
      </c>
      <c r="D605" s="45" t="s">
        <v>705</v>
      </c>
      <c r="E605" s="45"/>
      <c r="F605" s="33"/>
      <c r="G605" s="31">
        <f>SUM(G606+G613+G617+G621)</f>
        <v>49908</v>
      </c>
      <c r="H605" s="31">
        <f>SUM(H606+H613+H617+H621)</f>
        <v>31448.399999999998</v>
      </c>
      <c r="I605" s="31">
        <f t="shared" si="17"/>
        <v>63.01274344794421</v>
      </c>
    </row>
    <row r="606" spans="1:9" ht="18.75" customHeight="1">
      <c r="A606" s="27" t="s">
        <v>401</v>
      </c>
      <c r="B606" s="28"/>
      <c r="C606" s="45" t="s">
        <v>861</v>
      </c>
      <c r="D606" s="45" t="s">
        <v>705</v>
      </c>
      <c r="E606" s="45" t="s">
        <v>402</v>
      </c>
      <c r="F606" s="33"/>
      <c r="G606" s="31">
        <f>SUM(G607)</f>
        <v>35615.2</v>
      </c>
      <c r="H606" s="31">
        <f>SUM(H607)</f>
        <v>21823.6</v>
      </c>
      <c r="I606" s="31">
        <f t="shared" si="17"/>
        <v>61.27608436847189</v>
      </c>
    </row>
    <row r="607" spans="1:9" ht="21" customHeight="1">
      <c r="A607" s="32" t="s">
        <v>805</v>
      </c>
      <c r="B607" s="28"/>
      <c r="C607" s="45" t="s">
        <v>861</v>
      </c>
      <c r="D607" s="45" t="s">
        <v>705</v>
      </c>
      <c r="E607" s="45" t="s">
        <v>403</v>
      </c>
      <c r="F607" s="33"/>
      <c r="G607" s="31">
        <f>SUM(G608:G611)</f>
        <v>35615.2</v>
      </c>
      <c r="H607" s="31">
        <f>SUM(H608:H611)</f>
        <v>21823.6</v>
      </c>
      <c r="I607" s="31">
        <f t="shared" si="17"/>
        <v>61.27608436847189</v>
      </c>
    </row>
    <row r="608" spans="1:10" ht="16.5" customHeight="1">
      <c r="A608" s="49" t="s">
        <v>807</v>
      </c>
      <c r="B608" s="28"/>
      <c r="C608" s="45" t="s">
        <v>861</v>
      </c>
      <c r="D608" s="45" t="s">
        <v>705</v>
      </c>
      <c r="E608" s="45" t="s">
        <v>403</v>
      </c>
      <c r="F608" s="33" t="s">
        <v>808</v>
      </c>
      <c r="G608" s="31">
        <v>35615.2</v>
      </c>
      <c r="H608" s="31">
        <v>21823.6</v>
      </c>
      <c r="I608" s="31">
        <f t="shared" si="17"/>
        <v>61.27608436847189</v>
      </c>
      <c r="J608" s="228">
        <f>SUM('ведомствен.'!G372+'ведомствен.'!G985)</f>
        <v>35615.200000000004</v>
      </c>
    </row>
    <row r="609" spans="1:9" ht="45.75" customHeight="1" hidden="1">
      <c r="A609" s="49" t="s">
        <v>405</v>
      </c>
      <c r="B609" s="28"/>
      <c r="C609" s="45" t="s">
        <v>861</v>
      </c>
      <c r="D609" s="45" t="s">
        <v>705</v>
      </c>
      <c r="E609" s="45" t="s">
        <v>403</v>
      </c>
      <c r="F609" s="33" t="s">
        <v>406</v>
      </c>
      <c r="G609" s="31"/>
      <c r="H609" s="31"/>
      <c r="I609" s="31" t="e">
        <f t="shared" si="17"/>
        <v>#DIV/0!</v>
      </c>
    </row>
    <row r="610" spans="1:9" ht="41.25" customHeight="1" hidden="1">
      <c r="A610" s="49" t="s">
        <v>192</v>
      </c>
      <c r="B610" s="28"/>
      <c r="C610" s="45" t="s">
        <v>861</v>
      </c>
      <c r="D610" s="45" t="s">
        <v>705</v>
      </c>
      <c r="E610" s="45" t="s">
        <v>403</v>
      </c>
      <c r="F610" s="33" t="s">
        <v>193</v>
      </c>
      <c r="G610" s="31"/>
      <c r="H610" s="31"/>
      <c r="I610" s="31" t="e">
        <f t="shared" si="17"/>
        <v>#DIV/0!</v>
      </c>
    </row>
    <row r="611" spans="1:9" ht="57" customHeight="1" hidden="1">
      <c r="A611" s="32" t="s">
        <v>199</v>
      </c>
      <c r="B611" s="28"/>
      <c r="C611" s="45" t="s">
        <v>861</v>
      </c>
      <c r="D611" s="45" t="s">
        <v>705</v>
      </c>
      <c r="E611" s="45" t="s">
        <v>407</v>
      </c>
      <c r="F611" s="33"/>
      <c r="G611" s="31">
        <f>SUM(G612)</f>
        <v>0</v>
      </c>
      <c r="H611" s="31">
        <f>SUM(H612)</f>
        <v>0</v>
      </c>
      <c r="I611" s="31" t="e">
        <f t="shared" si="17"/>
        <v>#DIV/0!</v>
      </c>
    </row>
    <row r="612" spans="1:9" ht="17.25" customHeight="1" hidden="1">
      <c r="A612" s="49" t="s">
        <v>807</v>
      </c>
      <c r="B612" s="28"/>
      <c r="C612" s="45" t="s">
        <v>861</v>
      </c>
      <c r="D612" s="45" t="s">
        <v>705</v>
      </c>
      <c r="E612" s="45" t="s">
        <v>407</v>
      </c>
      <c r="F612" s="33" t="s">
        <v>808</v>
      </c>
      <c r="G612" s="31"/>
      <c r="H612" s="31"/>
      <c r="I612" s="31" t="e">
        <f t="shared" si="17"/>
        <v>#DIV/0!</v>
      </c>
    </row>
    <row r="613" spans="1:9" ht="15.75" customHeight="1">
      <c r="A613" s="27" t="s">
        <v>409</v>
      </c>
      <c r="B613" s="28"/>
      <c r="C613" s="45" t="s">
        <v>861</v>
      </c>
      <c r="D613" s="45" t="s">
        <v>705</v>
      </c>
      <c r="E613" s="45" t="s">
        <v>410</v>
      </c>
      <c r="F613" s="33"/>
      <c r="G613" s="31">
        <f>SUM(G614)</f>
        <v>11057.3</v>
      </c>
      <c r="H613" s="31">
        <f>SUM(H614)</f>
        <v>7467.6</v>
      </c>
      <c r="I613" s="31">
        <f t="shared" si="17"/>
        <v>67.5354743020448</v>
      </c>
    </row>
    <row r="614" spans="1:9" ht="14.25" customHeight="1">
      <c r="A614" s="32" t="s">
        <v>805</v>
      </c>
      <c r="B614" s="28"/>
      <c r="C614" s="45" t="s">
        <v>861</v>
      </c>
      <c r="D614" s="45" t="s">
        <v>705</v>
      </c>
      <c r="E614" s="45" t="s">
        <v>411</v>
      </c>
      <c r="F614" s="33"/>
      <c r="G614" s="31">
        <f>SUM(G615:G616)</f>
        <v>11057.3</v>
      </c>
      <c r="H614" s="31">
        <f>SUM(H615:H616)</f>
        <v>7467.6</v>
      </c>
      <c r="I614" s="31">
        <f aca="true" t="shared" si="18" ref="I614:I684">SUM(H614/G614*100)</f>
        <v>67.5354743020448</v>
      </c>
    </row>
    <row r="615" spans="1:10" ht="13.5" customHeight="1">
      <c r="A615" s="49" t="s">
        <v>807</v>
      </c>
      <c r="B615" s="28"/>
      <c r="C615" s="45" t="s">
        <v>861</v>
      </c>
      <c r="D615" s="45" t="s">
        <v>705</v>
      </c>
      <c r="E615" s="45" t="s">
        <v>411</v>
      </c>
      <c r="F615" s="33" t="s">
        <v>808</v>
      </c>
      <c r="G615" s="31">
        <v>11057.3</v>
      </c>
      <c r="H615" s="31">
        <v>7467.6</v>
      </c>
      <c r="I615" s="31">
        <f t="shared" si="18"/>
        <v>67.5354743020448</v>
      </c>
      <c r="J615" s="228">
        <f>SUM('ведомствен.'!G992)</f>
        <v>11057.3</v>
      </c>
    </row>
    <row r="616" spans="1:9" ht="56.25" customHeight="1" hidden="1">
      <c r="A616" s="32" t="s">
        <v>199</v>
      </c>
      <c r="B616" s="28"/>
      <c r="C616" s="45" t="s">
        <v>861</v>
      </c>
      <c r="D616" s="45" t="s">
        <v>705</v>
      </c>
      <c r="E616" s="45" t="s">
        <v>411</v>
      </c>
      <c r="F616" s="33" t="s">
        <v>412</v>
      </c>
      <c r="G616" s="31"/>
      <c r="H616" s="31"/>
      <c r="I616" s="31" t="e">
        <f t="shared" si="18"/>
        <v>#DIV/0!</v>
      </c>
    </row>
    <row r="617" spans="1:9" ht="14.25" customHeight="1">
      <c r="A617" s="27" t="s">
        <v>413</v>
      </c>
      <c r="B617" s="28"/>
      <c r="C617" s="45" t="s">
        <v>861</v>
      </c>
      <c r="D617" s="45" t="s">
        <v>705</v>
      </c>
      <c r="E617" s="45" t="s">
        <v>414</v>
      </c>
      <c r="F617" s="33"/>
      <c r="G617" s="31">
        <f>SUM(G618)</f>
        <v>2704.3</v>
      </c>
      <c r="H617" s="31">
        <f>SUM(H618)</f>
        <v>1817.2</v>
      </c>
      <c r="I617" s="31">
        <f t="shared" si="18"/>
        <v>67.19668675812595</v>
      </c>
    </row>
    <row r="618" spans="1:9" ht="14.25" customHeight="1">
      <c r="A618" s="32" t="s">
        <v>805</v>
      </c>
      <c r="B618" s="28"/>
      <c r="C618" s="45" t="s">
        <v>861</v>
      </c>
      <c r="D618" s="45" t="s">
        <v>705</v>
      </c>
      <c r="E618" s="45" t="s">
        <v>415</v>
      </c>
      <c r="F618" s="33"/>
      <c r="G618" s="31">
        <f>SUM(G619:G620)</f>
        <v>2704.3</v>
      </c>
      <c r="H618" s="31">
        <f>SUM(H619:H620)</f>
        <v>1817.2</v>
      </c>
      <c r="I618" s="31">
        <f t="shared" si="18"/>
        <v>67.19668675812595</v>
      </c>
    </row>
    <row r="619" spans="1:10" ht="13.5" customHeight="1">
      <c r="A619" s="49" t="s">
        <v>807</v>
      </c>
      <c r="B619" s="28"/>
      <c r="C619" s="45" t="s">
        <v>861</v>
      </c>
      <c r="D619" s="45" t="s">
        <v>705</v>
      </c>
      <c r="E619" s="45" t="s">
        <v>415</v>
      </c>
      <c r="F619" s="33" t="s">
        <v>808</v>
      </c>
      <c r="G619" s="31">
        <v>2704.3</v>
      </c>
      <c r="H619" s="31">
        <v>1817.2</v>
      </c>
      <c r="I619" s="31">
        <f t="shared" si="18"/>
        <v>67.19668675812595</v>
      </c>
      <c r="J619" s="228">
        <f>SUM('ведомствен.'!G996)</f>
        <v>2704.3</v>
      </c>
    </row>
    <row r="620" spans="1:9" ht="55.5" customHeight="1" hidden="1">
      <c r="A620" s="32" t="s">
        <v>199</v>
      </c>
      <c r="B620" s="28"/>
      <c r="C620" s="45" t="s">
        <v>861</v>
      </c>
      <c r="D620" s="45" t="s">
        <v>705</v>
      </c>
      <c r="E620" s="45" t="s">
        <v>415</v>
      </c>
      <c r="F620" s="33" t="s">
        <v>412</v>
      </c>
      <c r="G620" s="31"/>
      <c r="H620" s="31"/>
      <c r="I620" s="31" t="e">
        <f t="shared" si="18"/>
        <v>#DIV/0!</v>
      </c>
    </row>
    <row r="621" spans="1:9" ht="14.25" customHeight="1">
      <c r="A621" s="80" t="s">
        <v>165</v>
      </c>
      <c r="B621" s="28"/>
      <c r="C621" s="45" t="s">
        <v>861</v>
      </c>
      <c r="D621" s="45" t="s">
        <v>705</v>
      </c>
      <c r="E621" s="45" t="s">
        <v>166</v>
      </c>
      <c r="F621" s="33"/>
      <c r="G621" s="31">
        <f>SUM(G622)</f>
        <v>531.2</v>
      </c>
      <c r="H621" s="31">
        <f>SUM(H622)</f>
        <v>340</v>
      </c>
      <c r="I621" s="31">
        <f t="shared" si="18"/>
        <v>64.00602409638554</v>
      </c>
    </row>
    <row r="622" spans="1:9" ht="42" customHeight="1">
      <c r="A622" s="46" t="s">
        <v>416</v>
      </c>
      <c r="B622" s="28"/>
      <c r="C622" s="45" t="s">
        <v>861</v>
      </c>
      <c r="D622" s="45" t="s">
        <v>705</v>
      </c>
      <c r="E622" s="45" t="s">
        <v>417</v>
      </c>
      <c r="F622" s="33"/>
      <c r="G622" s="31">
        <f>SUM(G623)</f>
        <v>531.2</v>
      </c>
      <c r="H622" s="31">
        <f>SUM(H623)</f>
        <v>340</v>
      </c>
      <c r="I622" s="31">
        <f t="shared" si="18"/>
        <v>64.00602409638554</v>
      </c>
    </row>
    <row r="623" spans="1:10" ht="14.25" customHeight="1">
      <c r="A623" s="49" t="s">
        <v>807</v>
      </c>
      <c r="B623" s="28"/>
      <c r="C623" s="45" t="s">
        <v>861</v>
      </c>
      <c r="D623" s="45" t="s">
        <v>705</v>
      </c>
      <c r="E623" s="45" t="s">
        <v>417</v>
      </c>
      <c r="F623" s="33" t="s">
        <v>808</v>
      </c>
      <c r="G623" s="31">
        <f>531.2</f>
        <v>531.2</v>
      </c>
      <c r="H623" s="31">
        <v>340</v>
      </c>
      <c r="I623" s="31">
        <f t="shared" si="18"/>
        <v>64.00602409638554</v>
      </c>
      <c r="J623" s="228">
        <f>SUM('ведомствен.'!G1000)</f>
        <v>531.2</v>
      </c>
    </row>
    <row r="624" spans="1:9" ht="14.25" customHeight="1">
      <c r="A624" s="127" t="s">
        <v>418</v>
      </c>
      <c r="B624" s="79"/>
      <c r="C624" s="45" t="s">
        <v>861</v>
      </c>
      <c r="D624" s="45" t="s">
        <v>713</v>
      </c>
      <c r="E624" s="45"/>
      <c r="F624" s="33"/>
      <c r="G624" s="31">
        <f>SUM(G625)</f>
        <v>13007.2</v>
      </c>
      <c r="H624" s="31">
        <f>SUM(H625)</f>
        <v>9494.7</v>
      </c>
      <c r="I624" s="31">
        <f t="shared" si="18"/>
        <v>72.99572544436927</v>
      </c>
    </row>
    <row r="625" spans="1:9" ht="20.25" customHeight="1">
      <c r="A625" s="127" t="s">
        <v>419</v>
      </c>
      <c r="B625" s="79"/>
      <c r="C625" s="45" t="s">
        <v>861</v>
      </c>
      <c r="D625" s="45" t="s">
        <v>713</v>
      </c>
      <c r="E625" s="45" t="s">
        <v>402</v>
      </c>
      <c r="F625" s="33"/>
      <c r="G625" s="31">
        <f>SUM(G626)</f>
        <v>13007.2</v>
      </c>
      <c r="H625" s="31">
        <f>SUM(H626)</f>
        <v>9494.7</v>
      </c>
      <c r="I625" s="31">
        <f t="shared" si="18"/>
        <v>72.99572544436927</v>
      </c>
    </row>
    <row r="626" spans="1:9" ht="14.25" customHeight="1">
      <c r="A626" s="128" t="s">
        <v>805</v>
      </c>
      <c r="B626" s="79"/>
      <c r="C626" s="45" t="s">
        <v>861</v>
      </c>
      <c r="D626" s="45" t="s">
        <v>713</v>
      </c>
      <c r="E626" s="45" t="s">
        <v>403</v>
      </c>
      <c r="F626" s="33"/>
      <c r="G626" s="31">
        <f>SUM(G627:G628)</f>
        <v>13007.2</v>
      </c>
      <c r="H626" s="31">
        <f>SUM(H627:H628)</f>
        <v>9494.7</v>
      </c>
      <c r="I626" s="31">
        <f t="shared" si="18"/>
        <v>72.99572544436927</v>
      </c>
    </row>
    <row r="627" spans="1:10" ht="14.25" customHeight="1">
      <c r="A627" s="128" t="s">
        <v>807</v>
      </c>
      <c r="B627" s="79"/>
      <c r="C627" s="45" t="s">
        <v>861</v>
      </c>
      <c r="D627" s="45" t="s">
        <v>713</v>
      </c>
      <c r="E627" s="45" t="s">
        <v>403</v>
      </c>
      <c r="F627" s="33" t="s">
        <v>808</v>
      </c>
      <c r="G627" s="31">
        <v>13007.2</v>
      </c>
      <c r="H627" s="31">
        <v>9494.7</v>
      </c>
      <c r="I627" s="31">
        <f t="shared" si="18"/>
        <v>72.99572544436927</v>
      </c>
      <c r="J627" s="228">
        <f>SUM('ведомствен.'!G1004)</f>
        <v>13007.2</v>
      </c>
    </row>
    <row r="628" spans="1:9" ht="14.25" customHeight="1" hidden="1">
      <c r="A628" s="32" t="s">
        <v>199</v>
      </c>
      <c r="B628" s="28"/>
      <c r="C628" s="45" t="s">
        <v>861</v>
      </c>
      <c r="D628" s="45" t="s">
        <v>713</v>
      </c>
      <c r="E628" s="45" t="s">
        <v>411</v>
      </c>
      <c r="F628" s="33" t="s">
        <v>412</v>
      </c>
      <c r="G628" s="31"/>
      <c r="H628" s="31"/>
      <c r="I628" s="31" t="e">
        <f t="shared" si="18"/>
        <v>#DIV/0!</v>
      </c>
    </row>
    <row r="629" spans="1:9" ht="15">
      <c r="A629" s="49" t="s">
        <v>420</v>
      </c>
      <c r="B629" s="28"/>
      <c r="C629" s="45" t="s">
        <v>861</v>
      </c>
      <c r="D629" s="45" t="s">
        <v>737</v>
      </c>
      <c r="E629" s="45"/>
      <c r="F629" s="33"/>
      <c r="G629" s="31">
        <f>SUM(G632+G636+G630)</f>
        <v>57769.3</v>
      </c>
      <c r="H629" s="31">
        <f>SUM(H632+H636+H630)</f>
        <v>40136</v>
      </c>
      <c r="I629" s="31">
        <f t="shared" si="18"/>
        <v>69.47634816416331</v>
      </c>
    </row>
    <row r="630" spans="1:9" ht="15">
      <c r="A630" s="49" t="s">
        <v>765</v>
      </c>
      <c r="B630" s="28"/>
      <c r="C630" s="45" t="s">
        <v>861</v>
      </c>
      <c r="D630" s="45" t="s">
        <v>737</v>
      </c>
      <c r="E630" s="45" t="s">
        <v>766</v>
      </c>
      <c r="F630" s="33"/>
      <c r="G630" s="31">
        <f>SUM(G631)</f>
        <v>60</v>
      </c>
      <c r="H630" s="31">
        <f>SUM(H631)</f>
        <v>60</v>
      </c>
      <c r="I630" s="31">
        <f t="shared" si="18"/>
        <v>100</v>
      </c>
    </row>
    <row r="631" spans="1:10" ht="15">
      <c r="A631" s="49" t="s">
        <v>807</v>
      </c>
      <c r="B631" s="28"/>
      <c r="C631" s="45" t="s">
        <v>861</v>
      </c>
      <c r="D631" s="45" t="s">
        <v>737</v>
      </c>
      <c r="E631" s="45" t="s">
        <v>766</v>
      </c>
      <c r="F631" s="33" t="s">
        <v>808</v>
      </c>
      <c r="G631" s="31">
        <v>60</v>
      </c>
      <c r="H631" s="31">
        <v>60</v>
      </c>
      <c r="I631" s="31">
        <f t="shared" si="18"/>
        <v>100</v>
      </c>
      <c r="J631" s="228">
        <f>SUM('ведомствен.'!G1008)</f>
        <v>60</v>
      </c>
    </row>
    <row r="632" spans="1:9" ht="15" customHeight="1">
      <c r="A632" s="27" t="s">
        <v>421</v>
      </c>
      <c r="B632" s="28"/>
      <c r="C632" s="45" t="s">
        <v>861</v>
      </c>
      <c r="D632" s="45" t="s">
        <v>737</v>
      </c>
      <c r="E632" s="45" t="s">
        <v>422</v>
      </c>
      <c r="F632" s="33"/>
      <c r="G632" s="31">
        <f>SUM(G633)</f>
        <v>49359.1</v>
      </c>
      <c r="H632" s="31">
        <f>SUM(H633)</f>
        <v>34637.7</v>
      </c>
      <c r="I632" s="31">
        <f t="shared" si="18"/>
        <v>70.17490189245751</v>
      </c>
    </row>
    <row r="633" spans="1:9" ht="18" customHeight="1">
      <c r="A633" s="32" t="s">
        <v>805</v>
      </c>
      <c r="B633" s="28"/>
      <c r="C633" s="45" t="s">
        <v>861</v>
      </c>
      <c r="D633" s="45" t="s">
        <v>737</v>
      </c>
      <c r="E633" s="45" t="s">
        <v>423</v>
      </c>
      <c r="F633" s="33"/>
      <c r="G633" s="31">
        <f>SUM(G634:G635)</f>
        <v>49359.1</v>
      </c>
      <c r="H633" s="31">
        <f>SUM(H634:H635)</f>
        <v>34637.7</v>
      </c>
      <c r="I633" s="31">
        <f t="shared" si="18"/>
        <v>70.17490189245751</v>
      </c>
    </row>
    <row r="634" spans="1:10" ht="17.25" customHeight="1">
      <c r="A634" s="49" t="s">
        <v>807</v>
      </c>
      <c r="B634" s="28"/>
      <c r="C634" s="45" t="s">
        <v>861</v>
      </c>
      <c r="D634" s="45" t="s">
        <v>737</v>
      </c>
      <c r="E634" s="45" t="s">
        <v>423</v>
      </c>
      <c r="F634" s="33" t="s">
        <v>808</v>
      </c>
      <c r="G634" s="31">
        <v>49359.1</v>
      </c>
      <c r="H634" s="31">
        <v>34637.7</v>
      </c>
      <c r="I634" s="31">
        <f t="shared" si="18"/>
        <v>70.17490189245751</v>
      </c>
      <c r="J634" s="228">
        <f>SUM('ведомствен.'!G1011)</f>
        <v>49359.1</v>
      </c>
    </row>
    <row r="635" spans="1:9" ht="57" customHeight="1" hidden="1">
      <c r="A635" s="32" t="s">
        <v>199</v>
      </c>
      <c r="B635" s="28"/>
      <c r="C635" s="45" t="s">
        <v>861</v>
      </c>
      <c r="D635" s="45" t="s">
        <v>737</v>
      </c>
      <c r="E635" s="45" t="s">
        <v>423</v>
      </c>
      <c r="F635" s="33" t="s">
        <v>412</v>
      </c>
      <c r="G635" s="31"/>
      <c r="H635" s="31"/>
      <c r="I635" s="31" t="e">
        <f t="shared" si="18"/>
        <v>#DIV/0!</v>
      </c>
    </row>
    <row r="636" spans="1:9" ht="27" customHeight="1">
      <c r="A636" s="80" t="s">
        <v>165</v>
      </c>
      <c r="B636" s="28"/>
      <c r="C636" s="45" t="s">
        <v>861</v>
      </c>
      <c r="D636" s="45" t="s">
        <v>737</v>
      </c>
      <c r="E636" s="45" t="s">
        <v>166</v>
      </c>
      <c r="F636" s="33"/>
      <c r="G636" s="31">
        <f>SUM(G637)</f>
        <v>8350.2</v>
      </c>
      <c r="H636" s="31">
        <f>SUM(H637)</f>
        <v>5438.3</v>
      </c>
      <c r="I636" s="31">
        <f t="shared" si="18"/>
        <v>65.12778137050609</v>
      </c>
    </row>
    <row r="637" spans="1:10" s="129" customFormat="1" ht="41.25" customHeight="1">
      <c r="A637" s="46" t="s">
        <v>416</v>
      </c>
      <c r="B637" s="28"/>
      <c r="C637" s="45" t="s">
        <v>861</v>
      </c>
      <c r="D637" s="45" t="s">
        <v>737</v>
      </c>
      <c r="E637" s="45" t="s">
        <v>417</v>
      </c>
      <c r="F637" s="33"/>
      <c r="G637" s="31">
        <f>SUM(G638)</f>
        <v>8350.2</v>
      </c>
      <c r="H637" s="31">
        <f>SUM(H638)</f>
        <v>5438.3</v>
      </c>
      <c r="I637" s="31">
        <f t="shared" si="18"/>
        <v>65.12778137050609</v>
      </c>
      <c r="J637" s="241"/>
    </row>
    <row r="638" spans="1:10" ht="15">
      <c r="A638" s="49" t="s">
        <v>807</v>
      </c>
      <c r="B638" s="28"/>
      <c r="C638" s="45" t="s">
        <v>861</v>
      </c>
      <c r="D638" s="45" t="s">
        <v>737</v>
      </c>
      <c r="E638" s="45" t="s">
        <v>417</v>
      </c>
      <c r="F638" s="33" t="s">
        <v>808</v>
      </c>
      <c r="G638" s="31">
        <v>8350.2</v>
      </c>
      <c r="H638" s="31">
        <v>5438.3</v>
      </c>
      <c r="I638" s="31">
        <f t="shared" si="18"/>
        <v>65.12778137050609</v>
      </c>
      <c r="J638" s="228">
        <f>SUM('ведомствен.'!G1015)</f>
        <v>8350.2</v>
      </c>
    </row>
    <row r="639" spans="1:9" ht="15">
      <c r="A639" s="27" t="s">
        <v>424</v>
      </c>
      <c r="B639" s="28"/>
      <c r="C639" s="29" t="s">
        <v>861</v>
      </c>
      <c r="D639" s="29" t="s">
        <v>739</v>
      </c>
      <c r="E639" s="29"/>
      <c r="F639" s="30"/>
      <c r="G639" s="31">
        <f>SUM(G642+G645+G640)</f>
        <v>2055.6</v>
      </c>
      <c r="H639" s="31">
        <f>SUM(H642+H645+H640)</f>
        <v>1344.5</v>
      </c>
      <c r="I639" s="31">
        <f t="shared" si="18"/>
        <v>65.40669390932088</v>
      </c>
    </row>
    <row r="640" spans="1:9" ht="15">
      <c r="A640" s="49" t="s">
        <v>765</v>
      </c>
      <c r="B640" s="28"/>
      <c r="C640" s="29" t="s">
        <v>861</v>
      </c>
      <c r="D640" s="29" t="s">
        <v>739</v>
      </c>
      <c r="E640" s="45" t="s">
        <v>766</v>
      </c>
      <c r="F640" s="33"/>
      <c r="G640" s="31">
        <f>SUM(G641)</f>
        <v>199.5</v>
      </c>
      <c r="H640" s="31">
        <f>SUM(H641)</f>
        <v>79.5</v>
      </c>
      <c r="I640" s="31"/>
    </row>
    <row r="641" spans="1:10" ht="15">
      <c r="A641" s="32" t="s">
        <v>710</v>
      </c>
      <c r="B641" s="28"/>
      <c r="C641" s="29" t="s">
        <v>861</v>
      </c>
      <c r="D641" s="29" t="s">
        <v>739</v>
      </c>
      <c r="E641" s="45" t="s">
        <v>766</v>
      </c>
      <c r="F641" s="33" t="s">
        <v>711</v>
      </c>
      <c r="G641" s="31">
        <f>250-50.3-0.2</f>
        <v>199.5</v>
      </c>
      <c r="H641" s="31">
        <v>79.5</v>
      </c>
      <c r="I641" s="31"/>
      <c r="J641" s="228">
        <f>SUM('ведомствен.'!G720+'ведомствен.'!G379)</f>
        <v>199.5</v>
      </c>
    </row>
    <row r="642" spans="1:9" ht="28.5">
      <c r="A642" s="27" t="s">
        <v>425</v>
      </c>
      <c r="B642" s="28"/>
      <c r="C642" s="29" t="s">
        <v>861</v>
      </c>
      <c r="D642" s="29" t="s">
        <v>739</v>
      </c>
      <c r="E642" s="55" t="s">
        <v>294</v>
      </c>
      <c r="F642" s="30"/>
      <c r="G642" s="31">
        <f>SUM(G643)</f>
        <v>1856.1</v>
      </c>
      <c r="H642" s="31">
        <f>SUM(H643)</f>
        <v>1265</v>
      </c>
      <c r="I642" s="31">
        <f t="shared" si="18"/>
        <v>68.15365551425032</v>
      </c>
    </row>
    <row r="643" spans="1:9" ht="26.25" customHeight="1">
      <c r="A643" s="27" t="s">
        <v>195</v>
      </c>
      <c r="B643" s="28"/>
      <c r="C643" s="29" t="s">
        <v>861</v>
      </c>
      <c r="D643" s="29" t="s">
        <v>739</v>
      </c>
      <c r="E643" s="55" t="s">
        <v>295</v>
      </c>
      <c r="F643" s="30"/>
      <c r="G643" s="31">
        <f>SUM(G644)</f>
        <v>1856.1</v>
      </c>
      <c r="H643" s="31">
        <f>SUM(H644)</f>
        <v>1265</v>
      </c>
      <c r="I643" s="31">
        <f t="shared" si="18"/>
        <v>68.15365551425032</v>
      </c>
    </row>
    <row r="644" spans="1:10" ht="15" customHeight="1">
      <c r="A644" s="32" t="s">
        <v>710</v>
      </c>
      <c r="B644" s="28"/>
      <c r="C644" s="29" t="s">
        <v>861</v>
      </c>
      <c r="D644" s="29" t="s">
        <v>739</v>
      </c>
      <c r="E644" s="55" t="s">
        <v>295</v>
      </c>
      <c r="F644" s="30" t="s">
        <v>711</v>
      </c>
      <c r="G644" s="31">
        <f>100+1738.6+17.5</f>
        <v>1856.1</v>
      </c>
      <c r="H644" s="31">
        <v>1265</v>
      </c>
      <c r="I644" s="31">
        <f t="shared" si="18"/>
        <v>68.15365551425032</v>
      </c>
      <c r="J644" s="228">
        <f>SUM('ведомствен.'!G723+'ведомствен.'!G382)</f>
        <v>1856.1</v>
      </c>
    </row>
    <row r="645" spans="1:9" ht="15" hidden="1">
      <c r="A645" s="103" t="s">
        <v>767</v>
      </c>
      <c r="B645" s="44"/>
      <c r="C645" s="29" t="s">
        <v>861</v>
      </c>
      <c r="D645" s="29" t="s">
        <v>739</v>
      </c>
      <c r="E645" s="45" t="s">
        <v>768</v>
      </c>
      <c r="F645" s="33"/>
      <c r="G645" s="31">
        <f>SUM(G646)</f>
        <v>0</v>
      </c>
      <c r="H645" s="31">
        <f>SUM(H646)</f>
        <v>0</v>
      </c>
      <c r="I645" s="31" t="e">
        <f t="shared" si="18"/>
        <v>#DIV/0!</v>
      </c>
    </row>
    <row r="646" spans="1:9" ht="15.75" customHeight="1" hidden="1">
      <c r="A646" s="32" t="s">
        <v>710</v>
      </c>
      <c r="B646" s="104"/>
      <c r="C646" s="29" t="s">
        <v>861</v>
      </c>
      <c r="D646" s="29" t="s">
        <v>739</v>
      </c>
      <c r="E646" s="67" t="s">
        <v>768</v>
      </c>
      <c r="F646" s="34" t="s">
        <v>711</v>
      </c>
      <c r="G646" s="31">
        <f>SUM(G647)</f>
        <v>0</v>
      </c>
      <c r="H646" s="31">
        <f>SUM(H647)</f>
        <v>0</v>
      </c>
      <c r="I646" s="31" t="e">
        <f t="shared" si="18"/>
        <v>#DIV/0!</v>
      </c>
    </row>
    <row r="647" spans="1:9" ht="28.5" customHeight="1" hidden="1">
      <c r="A647" s="32" t="s">
        <v>426</v>
      </c>
      <c r="B647" s="28"/>
      <c r="C647" s="29" t="s">
        <v>861</v>
      </c>
      <c r="D647" s="29" t="s">
        <v>739</v>
      </c>
      <c r="E647" s="67" t="s">
        <v>427</v>
      </c>
      <c r="F647" s="34" t="s">
        <v>711</v>
      </c>
      <c r="G647" s="31">
        <f>1738.6-1738.6</f>
        <v>0</v>
      </c>
      <c r="H647" s="31">
        <f>1738.6-1738.6</f>
        <v>0</v>
      </c>
      <c r="I647" s="31" t="e">
        <f t="shared" si="18"/>
        <v>#DIV/0!</v>
      </c>
    </row>
    <row r="648" spans="1:9" ht="28.5">
      <c r="A648" s="27" t="s">
        <v>428</v>
      </c>
      <c r="B648" s="28"/>
      <c r="C648" s="45" t="s">
        <v>861</v>
      </c>
      <c r="D648" s="45" t="s">
        <v>1</v>
      </c>
      <c r="E648" s="45"/>
      <c r="F648" s="33"/>
      <c r="G648" s="31">
        <f>SUM(G649+G657+G664+G666+G662+G652+G654)</f>
        <v>21043.5</v>
      </c>
      <c r="H648" s="31">
        <f>SUM(H649+H657+H664+H666+H662)</f>
        <v>9403.5</v>
      </c>
      <c r="I648" s="31">
        <f t="shared" si="18"/>
        <v>44.686007555777316</v>
      </c>
    </row>
    <row r="649" spans="1:9" ht="30.75" customHeight="1">
      <c r="A649" s="32" t="s">
        <v>706</v>
      </c>
      <c r="B649" s="28"/>
      <c r="C649" s="45" t="s">
        <v>861</v>
      </c>
      <c r="D649" s="45" t="s">
        <v>1</v>
      </c>
      <c r="E649" s="29" t="s">
        <v>707</v>
      </c>
      <c r="F649" s="33"/>
      <c r="G649" s="31">
        <f>SUM(G650)</f>
        <v>1584.2</v>
      </c>
      <c r="H649" s="199"/>
      <c r="I649" s="31"/>
    </row>
    <row r="650" spans="1:9" ht="20.25" customHeight="1">
      <c r="A650" s="32" t="s">
        <v>714</v>
      </c>
      <c r="B650" s="28"/>
      <c r="C650" s="45" t="s">
        <v>861</v>
      </c>
      <c r="D650" s="45" t="s">
        <v>1</v>
      </c>
      <c r="E650" s="29" t="s">
        <v>716</v>
      </c>
      <c r="F650" s="33"/>
      <c r="G650" s="31">
        <f>SUM(G651)</f>
        <v>1584.2</v>
      </c>
      <c r="H650" s="199"/>
      <c r="I650" s="31"/>
    </row>
    <row r="651" spans="1:10" ht="21.75" customHeight="1">
      <c r="A651" s="32" t="s">
        <v>710</v>
      </c>
      <c r="B651" s="28"/>
      <c r="C651" s="45" t="s">
        <v>861</v>
      </c>
      <c r="D651" s="45" t="s">
        <v>1</v>
      </c>
      <c r="E651" s="29" t="s">
        <v>716</v>
      </c>
      <c r="F651" s="30" t="s">
        <v>711</v>
      </c>
      <c r="G651" s="31">
        <v>1584.2</v>
      </c>
      <c r="H651" s="199"/>
      <c r="I651" s="31"/>
      <c r="J651" s="228">
        <f>SUM('ведомствен.'!G727)</f>
        <v>1584.2</v>
      </c>
    </row>
    <row r="652" spans="1:10" ht="15">
      <c r="A652" s="49" t="s">
        <v>765</v>
      </c>
      <c r="B652" s="28"/>
      <c r="C652" s="29" t="s">
        <v>861</v>
      </c>
      <c r="D652" s="29" t="s">
        <v>1</v>
      </c>
      <c r="E652" s="45" t="s">
        <v>766</v>
      </c>
      <c r="F652" s="33"/>
      <c r="G652" s="31">
        <f>SUM(G653)</f>
        <v>5.3</v>
      </c>
      <c r="H652" s="31">
        <f>SUM(H653)</f>
        <v>79.5</v>
      </c>
      <c r="I652" s="31"/>
      <c r="J652"/>
    </row>
    <row r="653" spans="1:10" ht="15">
      <c r="A653" s="32" t="s">
        <v>710</v>
      </c>
      <c r="B653" s="28"/>
      <c r="C653" s="29" t="s">
        <v>861</v>
      </c>
      <c r="D653" s="29" t="s">
        <v>1</v>
      </c>
      <c r="E653" s="45" t="s">
        <v>766</v>
      </c>
      <c r="F653" s="33" t="s">
        <v>711</v>
      </c>
      <c r="G653" s="31">
        <v>5.3</v>
      </c>
      <c r="H653" s="31">
        <v>79.5</v>
      </c>
      <c r="I653" s="31"/>
      <c r="J653">
        <f>SUM('ведомствен.'!G729)</f>
        <v>5.3</v>
      </c>
    </row>
    <row r="654" spans="1:10" ht="28.5">
      <c r="A654" s="46" t="s">
        <v>721</v>
      </c>
      <c r="B654" s="28"/>
      <c r="C654" s="29" t="s">
        <v>861</v>
      </c>
      <c r="D654" s="29" t="s">
        <v>1</v>
      </c>
      <c r="E654" s="29" t="s">
        <v>722</v>
      </c>
      <c r="F654" s="34"/>
      <c r="G654" s="31">
        <f>SUM(G656)</f>
        <v>276.8</v>
      </c>
      <c r="H654" s="31">
        <f>SUM(H656)</f>
        <v>186.6</v>
      </c>
      <c r="I654" s="31">
        <f>SUM(H654/G654*100)</f>
        <v>67.41329479768787</v>
      </c>
      <c r="J654"/>
    </row>
    <row r="655" spans="1:10" ht="15">
      <c r="A655" s="46" t="s">
        <v>723</v>
      </c>
      <c r="B655" s="28"/>
      <c r="C655" s="29" t="s">
        <v>861</v>
      </c>
      <c r="D655" s="29" t="s">
        <v>1</v>
      </c>
      <c r="E655" s="29" t="s">
        <v>811</v>
      </c>
      <c r="F655" s="34"/>
      <c r="G655" s="31">
        <f>SUM(G656)</f>
        <v>276.8</v>
      </c>
      <c r="H655" s="31">
        <f>SUM(H656)</f>
        <v>186.6</v>
      </c>
      <c r="I655" s="31">
        <f>SUM(H655/G655*100)</f>
        <v>67.41329479768787</v>
      </c>
      <c r="J655"/>
    </row>
    <row r="656" spans="1:10" ht="27" customHeight="1">
      <c r="A656" s="32" t="s">
        <v>710</v>
      </c>
      <c r="B656" s="28"/>
      <c r="C656" s="29" t="s">
        <v>861</v>
      </c>
      <c r="D656" s="29" t="s">
        <v>1</v>
      </c>
      <c r="E656" s="29" t="s">
        <v>811</v>
      </c>
      <c r="F656" s="34" t="s">
        <v>711</v>
      </c>
      <c r="G656" s="31">
        <f>276.8-276.8+276.8</f>
        <v>276.8</v>
      </c>
      <c r="H656" s="31">
        <v>186.6</v>
      </c>
      <c r="I656" s="31">
        <f>SUM(H656/G656*100)</f>
        <v>67.41329479768787</v>
      </c>
      <c r="J656">
        <f>SUM('ведомствен.'!G732)</f>
        <v>276.8</v>
      </c>
    </row>
    <row r="657" spans="1:9" ht="28.5">
      <c r="A657" s="72" t="s">
        <v>398</v>
      </c>
      <c r="B657" s="28"/>
      <c r="C657" s="45" t="s">
        <v>861</v>
      </c>
      <c r="D657" s="45" t="s">
        <v>1</v>
      </c>
      <c r="E657" s="45" t="s">
        <v>399</v>
      </c>
      <c r="F657" s="33"/>
      <c r="G657" s="31">
        <f>SUM(G658)</f>
        <v>9799.1</v>
      </c>
      <c r="H657" s="31">
        <f>SUM(H658)</f>
        <v>6864.8</v>
      </c>
      <c r="I657" s="31">
        <f t="shared" si="18"/>
        <v>70.05541325223746</v>
      </c>
    </row>
    <row r="658" spans="1:9" ht="18.75" customHeight="1">
      <c r="A658" s="32" t="s">
        <v>805</v>
      </c>
      <c r="B658" s="28"/>
      <c r="C658" s="45" t="s">
        <v>861</v>
      </c>
      <c r="D658" s="45" t="s">
        <v>1</v>
      </c>
      <c r="E658" s="45" t="s">
        <v>400</v>
      </c>
      <c r="F658" s="33"/>
      <c r="G658" s="31">
        <f>SUM(G659:G660)</f>
        <v>9799.1</v>
      </c>
      <c r="H658" s="31">
        <f>SUM(H659:H660)</f>
        <v>6864.8</v>
      </c>
      <c r="I658" s="31">
        <f t="shared" si="18"/>
        <v>70.05541325223746</v>
      </c>
    </row>
    <row r="659" spans="1:10" ht="17.25" customHeight="1">
      <c r="A659" s="49" t="s">
        <v>807</v>
      </c>
      <c r="B659" s="28"/>
      <c r="C659" s="45" t="s">
        <v>861</v>
      </c>
      <c r="D659" s="45" t="s">
        <v>1</v>
      </c>
      <c r="E659" s="45" t="s">
        <v>400</v>
      </c>
      <c r="F659" s="33" t="s">
        <v>808</v>
      </c>
      <c r="G659" s="31">
        <v>9799.1</v>
      </c>
      <c r="H659" s="31">
        <v>6864.8</v>
      </c>
      <c r="I659" s="31">
        <f t="shared" si="18"/>
        <v>70.05541325223746</v>
      </c>
      <c r="J659" s="228">
        <f>SUM('ведомствен.'!G1021)</f>
        <v>9799.1</v>
      </c>
    </row>
    <row r="660" spans="1:9" ht="0.75" customHeight="1" hidden="1">
      <c r="A660" s="32" t="s">
        <v>199</v>
      </c>
      <c r="B660" s="28"/>
      <c r="C660" s="45" t="s">
        <v>861</v>
      </c>
      <c r="D660" s="45" t="s">
        <v>1</v>
      </c>
      <c r="E660" s="45" t="s">
        <v>400</v>
      </c>
      <c r="F660" s="33" t="s">
        <v>412</v>
      </c>
      <c r="G660" s="31"/>
      <c r="H660" s="31"/>
      <c r="I660" s="31" t="e">
        <f t="shared" si="18"/>
        <v>#DIV/0!</v>
      </c>
    </row>
    <row r="661" spans="1:9" ht="15" customHeight="1" hidden="1">
      <c r="A661" s="32" t="s">
        <v>881</v>
      </c>
      <c r="B661" s="28"/>
      <c r="C661" s="45" t="s">
        <v>861</v>
      </c>
      <c r="D661" s="45" t="s">
        <v>1</v>
      </c>
      <c r="E661" s="45" t="s">
        <v>882</v>
      </c>
      <c r="F661" s="33"/>
      <c r="G661" s="31">
        <f>SUM(G662+G664)</f>
        <v>0</v>
      </c>
      <c r="H661" s="31">
        <f>SUM(H662+H664)</f>
        <v>0</v>
      </c>
      <c r="I661" s="31" t="e">
        <f t="shared" si="18"/>
        <v>#DIV/0!</v>
      </c>
    </row>
    <row r="662" spans="1:9" ht="29.25" customHeight="1" hidden="1">
      <c r="A662" s="49" t="s">
        <v>349</v>
      </c>
      <c r="B662" s="66"/>
      <c r="C662" s="45" t="s">
        <v>861</v>
      </c>
      <c r="D662" s="45" t="s">
        <v>1</v>
      </c>
      <c r="E662" s="45" t="s">
        <v>350</v>
      </c>
      <c r="F662" s="34"/>
      <c r="G662" s="31">
        <f>SUM(G663)</f>
        <v>0</v>
      </c>
      <c r="H662" s="31">
        <f>SUM(H663)</f>
        <v>0</v>
      </c>
      <c r="I662" s="31" t="e">
        <f t="shared" si="18"/>
        <v>#DIV/0!</v>
      </c>
    </row>
    <row r="663" spans="1:9" ht="29.25" customHeight="1" hidden="1">
      <c r="A663" s="32" t="s">
        <v>195</v>
      </c>
      <c r="B663" s="66"/>
      <c r="C663" s="45" t="s">
        <v>861</v>
      </c>
      <c r="D663" s="45" t="s">
        <v>1</v>
      </c>
      <c r="E663" s="45" t="s">
        <v>350</v>
      </c>
      <c r="F663" s="34" t="s">
        <v>348</v>
      </c>
      <c r="G663" s="31"/>
      <c r="H663" s="31"/>
      <c r="I663" s="31" t="e">
        <f t="shared" si="18"/>
        <v>#DIV/0!</v>
      </c>
    </row>
    <row r="664" spans="1:9" ht="31.5" customHeight="1" hidden="1">
      <c r="A664" s="32" t="s">
        <v>429</v>
      </c>
      <c r="B664" s="28"/>
      <c r="C664" s="45" t="s">
        <v>861</v>
      </c>
      <c r="D664" s="45" t="s">
        <v>1</v>
      </c>
      <c r="E664" s="45" t="s">
        <v>430</v>
      </c>
      <c r="F664" s="33"/>
      <c r="G664" s="31">
        <f>SUM(G665)</f>
        <v>0</v>
      </c>
      <c r="H664" s="31">
        <f>SUM(H665)</f>
        <v>0</v>
      </c>
      <c r="I664" s="31" t="e">
        <f t="shared" si="18"/>
        <v>#DIV/0!</v>
      </c>
    </row>
    <row r="665" spans="1:9" ht="28.5" customHeight="1" hidden="1">
      <c r="A665" s="32" t="s">
        <v>195</v>
      </c>
      <c r="B665" s="28"/>
      <c r="C665" s="45" t="s">
        <v>861</v>
      </c>
      <c r="D665" s="45" t="s">
        <v>1</v>
      </c>
      <c r="E665" s="45" t="s">
        <v>430</v>
      </c>
      <c r="F665" s="33" t="s">
        <v>348</v>
      </c>
      <c r="G665" s="31"/>
      <c r="H665" s="31"/>
      <c r="I665" s="31" t="e">
        <f t="shared" si="18"/>
        <v>#DIV/0!</v>
      </c>
    </row>
    <row r="666" spans="1:9" ht="18" customHeight="1">
      <c r="A666" s="103" t="s">
        <v>767</v>
      </c>
      <c r="B666" s="44"/>
      <c r="C666" s="45" t="s">
        <v>861</v>
      </c>
      <c r="D666" s="45" t="s">
        <v>1</v>
      </c>
      <c r="E666" s="45" t="s">
        <v>768</v>
      </c>
      <c r="F666" s="33"/>
      <c r="G666" s="31">
        <f>SUM(G672,G683,G673)</f>
        <v>9378.099999999999</v>
      </c>
      <c r="H666" s="31">
        <f>SUM(H668+H677)+H675+H676+H682+H683</f>
        <v>2538.7</v>
      </c>
      <c r="I666" s="31">
        <f t="shared" si="18"/>
        <v>27.070515349591073</v>
      </c>
    </row>
    <row r="667" spans="1:9" ht="0.75" customHeight="1" hidden="1">
      <c r="A667" s="27" t="s">
        <v>195</v>
      </c>
      <c r="B667" s="44"/>
      <c r="C667" s="45" t="s">
        <v>861</v>
      </c>
      <c r="D667" s="45" t="s">
        <v>1</v>
      </c>
      <c r="E667" s="45" t="s">
        <v>768</v>
      </c>
      <c r="F667" s="33" t="s">
        <v>348</v>
      </c>
      <c r="G667" s="31"/>
      <c r="H667" s="31"/>
      <c r="I667" s="31" t="e">
        <f t="shared" si="18"/>
        <v>#DIV/0!</v>
      </c>
    </row>
    <row r="668" spans="1:9" ht="15" customHeight="1" hidden="1">
      <c r="A668" s="27" t="s">
        <v>431</v>
      </c>
      <c r="B668" s="44"/>
      <c r="C668" s="45" t="s">
        <v>861</v>
      </c>
      <c r="D668" s="45" t="s">
        <v>1</v>
      </c>
      <c r="E668" s="45" t="s">
        <v>432</v>
      </c>
      <c r="F668" s="33"/>
      <c r="G668" s="31">
        <f>SUM(G669:G670)</f>
        <v>0</v>
      </c>
      <c r="H668" s="31">
        <f>SUM(H669:H670)</f>
        <v>0</v>
      </c>
      <c r="I668" s="31" t="e">
        <f t="shared" si="18"/>
        <v>#DIV/0!</v>
      </c>
    </row>
    <row r="669" spans="1:9" ht="15" customHeight="1" hidden="1">
      <c r="A669" s="43" t="s">
        <v>129</v>
      </c>
      <c r="B669" s="28"/>
      <c r="C669" s="45" t="s">
        <v>861</v>
      </c>
      <c r="D669" s="45" t="s">
        <v>1</v>
      </c>
      <c r="E669" s="45" t="s">
        <v>432</v>
      </c>
      <c r="F669" s="33" t="s">
        <v>816</v>
      </c>
      <c r="G669" s="31"/>
      <c r="H669" s="31"/>
      <c r="I669" s="31" t="e">
        <f t="shared" si="18"/>
        <v>#DIV/0!</v>
      </c>
    </row>
    <row r="670" spans="1:10" s="106" customFormat="1" ht="21.75" customHeight="1" hidden="1">
      <c r="A670" s="27" t="s">
        <v>195</v>
      </c>
      <c r="B670" s="130"/>
      <c r="C670" s="45" t="s">
        <v>861</v>
      </c>
      <c r="D670" s="45" t="s">
        <v>1</v>
      </c>
      <c r="E670" s="45" t="s">
        <v>432</v>
      </c>
      <c r="F670" s="33" t="s">
        <v>348</v>
      </c>
      <c r="G670" s="64"/>
      <c r="H670" s="64"/>
      <c r="I670" s="31" t="e">
        <f t="shared" si="18"/>
        <v>#DIV/0!</v>
      </c>
      <c r="J670" s="236"/>
    </row>
    <row r="671" spans="1:9" ht="18.75" customHeight="1" hidden="1">
      <c r="A671" s="32" t="s">
        <v>710</v>
      </c>
      <c r="B671" s="104"/>
      <c r="C671" s="67" t="s">
        <v>861</v>
      </c>
      <c r="D671" s="40" t="s">
        <v>1</v>
      </c>
      <c r="E671" s="45" t="s">
        <v>432</v>
      </c>
      <c r="F671" s="34" t="s">
        <v>711</v>
      </c>
      <c r="G671" s="31"/>
      <c r="H671" s="31"/>
      <c r="I671" s="31" t="e">
        <f t="shared" si="18"/>
        <v>#DIV/0!</v>
      </c>
    </row>
    <row r="672" spans="1:9" ht="27.75" customHeight="1">
      <c r="A672" s="27" t="s">
        <v>195</v>
      </c>
      <c r="B672" s="104"/>
      <c r="C672" s="40" t="s">
        <v>861</v>
      </c>
      <c r="D672" s="40" t="s">
        <v>1</v>
      </c>
      <c r="E672" s="40" t="s">
        <v>768</v>
      </c>
      <c r="F672" s="125" t="s">
        <v>348</v>
      </c>
      <c r="G672" s="31">
        <f>SUM(G675,G676,G682)</f>
        <v>3987.8999999999996</v>
      </c>
      <c r="H672" s="31">
        <f>SUM(H675,H676,H682)</f>
        <v>1496.4</v>
      </c>
      <c r="I672" s="31">
        <f t="shared" si="18"/>
        <v>37.52350861355601</v>
      </c>
    </row>
    <row r="673" spans="1:10" ht="50.25" customHeight="1">
      <c r="A673" s="27" t="s">
        <v>854</v>
      </c>
      <c r="B673" s="130"/>
      <c r="C673" s="45" t="s">
        <v>861</v>
      </c>
      <c r="D673" s="45" t="s">
        <v>1</v>
      </c>
      <c r="E673" s="45" t="s">
        <v>855</v>
      </c>
      <c r="F673" s="33"/>
      <c r="G673" s="64">
        <f>SUM(G674)</f>
        <v>3490.2</v>
      </c>
      <c r="H673" s="64"/>
      <c r="I673" s="31"/>
      <c r="J673"/>
    </row>
    <row r="674" spans="1:10" ht="19.5" customHeight="1">
      <c r="A674" s="27" t="s">
        <v>4</v>
      </c>
      <c r="B674" s="130"/>
      <c r="C674" s="45" t="s">
        <v>861</v>
      </c>
      <c r="D674" s="45" t="s">
        <v>1</v>
      </c>
      <c r="E674" s="45" t="s">
        <v>855</v>
      </c>
      <c r="F674" s="33" t="s">
        <v>5</v>
      </c>
      <c r="G674" s="64">
        <v>3490.2</v>
      </c>
      <c r="H674" s="64"/>
      <c r="I674" s="31"/>
      <c r="J674">
        <f>SUM('ведомствен.'!G392)</f>
        <v>3490.2</v>
      </c>
    </row>
    <row r="675" spans="1:10" s="126" customFormat="1" ht="42.75">
      <c r="A675" s="38" t="s">
        <v>433</v>
      </c>
      <c r="B675" s="131"/>
      <c r="C675" s="40" t="s">
        <v>861</v>
      </c>
      <c r="D675" s="40" t="s">
        <v>1</v>
      </c>
      <c r="E675" s="40" t="s">
        <v>434</v>
      </c>
      <c r="F675" s="125" t="s">
        <v>348</v>
      </c>
      <c r="G675" s="64">
        <f>3515</f>
        <v>3515</v>
      </c>
      <c r="H675" s="64">
        <v>1424.2</v>
      </c>
      <c r="I675" s="31">
        <f t="shared" si="18"/>
        <v>40.51778093883357</v>
      </c>
      <c r="J675" s="240">
        <f>SUM('ведомствен.'!G1034)</f>
        <v>3515</v>
      </c>
    </row>
    <row r="676" spans="1:10" s="126" customFormat="1" ht="28.5">
      <c r="A676" s="121" t="s">
        <v>435</v>
      </c>
      <c r="B676" s="131"/>
      <c r="C676" s="40" t="s">
        <v>861</v>
      </c>
      <c r="D676" s="40" t="s">
        <v>1</v>
      </c>
      <c r="E676" s="40" t="s">
        <v>436</v>
      </c>
      <c r="F676" s="125" t="s">
        <v>348</v>
      </c>
      <c r="G676" s="64">
        <v>396.7</v>
      </c>
      <c r="H676" s="64">
        <v>67.2</v>
      </c>
      <c r="I676" s="31">
        <f t="shared" si="18"/>
        <v>16.939752961935973</v>
      </c>
      <c r="J676" s="240">
        <f>SUM('ведомствен.'!G1035)</f>
        <v>396.7</v>
      </c>
    </row>
    <row r="677" spans="1:10" s="126" customFormat="1" ht="28.5" hidden="1">
      <c r="A677" s="121" t="s">
        <v>437</v>
      </c>
      <c r="B677" s="131"/>
      <c r="C677" s="40" t="s">
        <v>861</v>
      </c>
      <c r="D677" s="40" t="s">
        <v>1</v>
      </c>
      <c r="E677" s="40" t="s">
        <v>438</v>
      </c>
      <c r="F677" s="125" t="s">
        <v>348</v>
      </c>
      <c r="G677" s="64"/>
      <c r="H677" s="64"/>
      <c r="I677" s="31" t="e">
        <f t="shared" si="18"/>
        <v>#DIV/0!</v>
      </c>
      <c r="J677" s="240"/>
    </row>
    <row r="678" spans="1:10" s="126" customFormat="1" ht="28.5" hidden="1">
      <c r="A678" s="121" t="s">
        <v>439</v>
      </c>
      <c r="B678" s="131"/>
      <c r="C678" s="40" t="s">
        <v>861</v>
      </c>
      <c r="D678" s="40" t="s">
        <v>1</v>
      </c>
      <c r="E678" s="40" t="s">
        <v>440</v>
      </c>
      <c r="F678" s="125" t="s">
        <v>348</v>
      </c>
      <c r="G678" s="64"/>
      <c r="H678" s="64"/>
      <c r="I678" s="31" t="e">
        <f t="shared" si="18"/>
        <v>#DIV/0!</v>
      </c>
      <c r="J678" s="240"/>
    </row>
    <row r="679" spans="1:10" s="126" customFormat="1" ht="28.5" hidden="1">
      <c r="A679" s="27" t="s">
        <v>195</v>
      </c>
      <c r="B679" s="28"/>
      <c r="C679" s="45" t="s">
        <v>861</v>
      </c>
      <c r="D679" s="45" t="s">
        <v>1</v>
      </c>
      <c r="E679" s="45" t="s">
        <v>357</v>
      </c>
      <c r="F679" s="125" t="s">
        <v>348</v>
      </c>
      <c r="G679" s="64"/>
      <c r="H679" s="64"/>
      <c r="I679" s="31" t="e">
        <f t="shared" si="18"/>
        <v>#DIV/0!</v>
      </c>
      <c r="J679" s="240"/>
    </row>
    <row r="680" spans="1:10" s="126" customFormat="1" ht="57" hidden="1">
      <c r="A680" s="80" t="s">
        <v>441</v>
      </c>
      <c r="B680" s="28"/>
      <c r="C680" s="45" t="s">
        <v>861</v>
      </c>
      <c r="D680" s="45" t="s">
        <v>1</v>
      </c>
      <c r="E680" s="45" t="s">
        <v>442</v>
      </c>
      <c r="F680" s="125" t="s">
        <v>348</v>
      </c>
      <c r="G680" s="64">
        <f>SUM('[1]Ведомств.'!F701)</f>
        <v>0</v>
      </c>
      <c r="H680" s="64">
        <f>SUM('[1]Ведомств.'!G701)</f>
        <v>0</v>
      </c>
      <c r="I680" s="31" t="e">
        <f t="shared" si="18"/>
        <v>#DIV/0!</v>
      </c>
      <c r="J680" s="240"/>
    </row>
    <row r="681" spans="1:10" s="126" customFormat="1" ht="30.75" customHeight="1">
      <c r="A681" s="80" t="s">
        <v>443</v>
      </c>
      <c r="B681" s="28"/>
      <c r="C681" s="45" t="s">
        <v>861</v>
      </c>
      <c r="D681" s="45" t="s">
        <v>1</v>
      </c>
      <c r="E681" s="45" t="s">
        <v>432</v>
      </c>
      <c r="F681" s="125"/>
      <c r="G681" s="64">
        <f>SUM(G682)</f>
        <v>76.2</v>
      </c>
      <c r="H681" s="64">
        <f>SUM(H682)</f>
        <v>5</v>
      </c>
      <c r="I681" s="31">
        <f t="shared" si="18"/>
        <v>6.561679790026247</v>
      </c>
      <c r="J681" s="240"/>
    </row>
    <row r="682" spans="1:10" s="126" customFormat="1" ht="30.75" customHeight="1">
      <c r="A682" s="80" t="s">
        <v>195</v>
      </c>
      <c r="B682" s="28"/>
      <c r="C682" s="45" t="s">
        <v>861</v>
      </c>
      <c r="D682" s="45" t="s">
        <v>1</v>
      </c>
      <c r="E682" s="45" t="s">
        <v>432</v>
      </c>
      <c r="F682" s="125" t="s">
        <v>348</v>
      </c>
      <c r="G682" s="64">
        <v>76.2</v>
      </c>
      <c r="H682" s="64">
        <v>5</v>
      </c>
      <c r="I682" s="31">
        <f t="shared" si="18"/>
        <v>6.561679790026247</v>
      </c>
      <c r="J682" s="240">
        <f>SUM('ведомствен.'!G396)</f>
        <v>76.19999999999982</v>
      </c>
    </row>
    <row r="683" spans="1:10" s="126" customFormat="1" ht="30.75" customHeight="1">
      <c r="A683" s="80" t="s">
        <v>444</v>
      </c>
      <c r="B683" s="28"/>
      <c r="C683" s="45" t="s">
        <v>861</v>
      </c>
      <c r="D683" s="45" t="s">
        <v>1</v>
      </c>
      <c r="E683" s="45" t="s">
        <v>75</v>
      </c>
      <c r="F683" s="125"/>
      <c r="G683" s="64">
        <f>SUM(G684)</f>
        <v>1900</v>
      </c>
      <c r="H683" s="64">
        <f>SUM(H684)</f>
        <v>1042.3</v>
      </c>
      <c r="I683" s="31">
        <f t="shared" si="18"/>
        <v>54.857894736842105</v>
      </c>
      <c r="J683" s="240"/>
    </row>
    <row r="684" spans="1:10" s="126" customFormat="1" ht="21.75" customHeight="1">
      <c r="A684" s="80" t="s">
        <v>815</v>
      </c>
      <c r="B684" s="28"/>
      <c r="C684" s="45" t="s">
        <v>861</v>
      </c>
      <c r="D684" s="45" t="s">
        <v>1</v>
      </c>
      <c r="E684" s="45" t="s">
        <v>75</v>
      </c>
      <c r="F684" s="125" t="s">
        <v>816</v>
      </c>
      <c r="G684" s="64">
        <v>1900</v>
      </c>
      <c r="H684" s="64">
        <v>1042.3</v>
      </c>
      <c r="I684" s="31">
        <f t="shared" si="18"/>
        <v>54.857894736842105</v>
      </c>
      <c r="J684" s="240">
        <f>SUM('ведомствен.'!G400)</f>
        <v>1900</v>
      </c>
    </row>
    <row r="685" spans="1:10" s="132" customFormat="1" ht="21.75" customHeight="1">
      <c r="A685" s="50" t="s">
        <v>445</v>
      </c>
      <c r="B685" s="51"/>
      <c r="C685" s="69" t="s">
        <v>1</v>
      </c>
      <c r="D685" s="69" t="s">
        <v>446</v>
      </c>
      <c r="E685" s="69"/>
      <c r="F685" s="70"/>
      <c r="G685" s="54">
        <f>SUM(G686+G690+G701+G798+G816)</f>
        <v>727752.3999999999</v>
      </c>
      <c r="H685" s="54">
        <f>SUM(H686+H690+H701+H798+H816)</f>
        <v>515785.5</v>
      </c>
      <c r="I685" s="54">
        <f aca="true" t="shared" si="19" ref="I685:I751">SUM(H685/G685*100)</f>
        <v>70.87376146062864</v>
      </c>
      <c r="J685" s="242"/>
    </row>
    <row r="686" spans="1:10" s="47" customFormat="1" ht="15">
      <c r="A686" s="38" t="s">
        <v>447</v>
      </c>
      <c r="B686" s="28"/>
      <c r="C686" s="105" t="s">
        <v>1</v>
      </c>
      <c r="D686" s="105" t="s">
        <v>703</v>
      </c>
      <c r="E686" s="105"/>
      <c r="F686" s="59"/>
      <c r="G686" s="64">
        <f aca="true" t="shared" si="20" ref="G686:H688">SUM(G687)</f>
        <v>1657.3</v>
      </c>
      <c r="H686" s="64">
        <f t="shared" si="20"/>
        <v>1203.5</v>
      </c>
      <c r="I686" s="31">
        <f t="shared" si="19"/>
        <v>72.6181137995535</v>
      </c>
      <c r="J686" s="233"/>
    </row>
    <row r="687" spans="1:10" s="47" customFormat="1" ht="28.5">
      <c r="A687" s="92" t="s">
        <v>448</v>
      </c>
      <c r="B687" s="28"/>
      <c r="C687" s="29" t="s">
        <v>1</v>
      </c>
      <c r="D687" s="29" t="s">
        <v>703</v>
      </c>
      <c r="E687" s="29" t="s">
        <v>449</v>
      </c>
      <c r="F687" s="59"/>
      <c r="G687" s="31">
        <f t="shared" si="20"/>
        <v>1657.3</v>
      </c>
      <c r="H687" s="31">
        <f t="shared" si="20"/>
        <v>1203.5</v>
      </c>
      <c r="I687" s="31">
        <f t="shared" si="19"/>
        <v>72.6181137995535</v>
      </c>
      <c r="J687" s="233"/>
    </row>
    <row r="688" spans="1:10" s="47" customFormat="1" ht="28.5">
      <c r="A688" s="92" t="s">
        <v>450</v>
      </c>
      <c r="B688" s="79"/>
      <c r="C688" s="29" t="s">
        <v>1</v>
      </c>
      <c r="D688" s="29" t="s">
        <v>703</v>
      </c>
      <c r="E688" s="29" t="s">
        <v>451</v>
      </c>
      <c r="F688" s="59"/>
      <c r="G688" s="31">
        <f t="shared" si="20"/>
        <v>1657.3</v>
      </c>
      <c r="H688" s="31">
        <f t="shared" si="20"/>
        <v>1203.5</v>
      </c>
      <c r="I688" s="31">
        <f t="shared" si="19"/>
        <v>72.6181137995535</v>
      </c>
      <c r="J688" s="233"/>
    </row>
    <row r="689" spans="1:10" s="47" customFormat="1" ht="15">
      <c r="A689" s="27" t="s">
        <v>849</v>
      </c>
      <c r="B689" s="28"/>
      <c r="C689" s="29" t="s">
        <v>1</v>
      </c>
      <c r="D689" s="29" t="s">
        <v>703</v>
      </c>
      <c r="E689" s="29" t="s">
        <v>451</v>
      </c>
      <c r="F689" s="59" t="s">
        <v>850</v>
      </c>
      <c r="G689" s="31">
        <v>1657.3</v>
      </c>
      <c r="H689" s="31">
        <v>1203.5</v>
      </c>
      <c r="I689" s="31">
        <f t="shared" si="19"/>
        <v>72.6181137995535</v>
      </c>
      <c r="J689" s="233">
        <f>SUM('ведомствен.'!G498)</f>
        <v>1657.3</v>
      </c>
    </row>
    <row r="690" spans="1:10" s="47" customFormat="1" ht="15">
      <c r="A690" s="27" t="s">
        <v>452</v>
      </c>
      <c r="B690" s="28"/>
      <c r="C690" s="40" t="s">
        <v>1</v>
      </c>
      <c r="D690" s="40" t="s">
        <v>705</v>
      </c>
      <c r="E690" s="29"/>
      <c r="F690" s="59"/>
      <c r="G690" s="64">
        <f>SUM(G691+G696)</f>
        <v>24677.3</v>
      </c>
      <c r="H690" s="64">
        <f>SUM(H691+H696)</f>
        <v>16618.3</v>
      </c>
      <c r="I690" s="31">
        <f t="shared" si="19"/>
        <v>67.34245642756703</v>
      </c>
      <c r="J690" s="233"/>
    </row>
    <row r="691" spans="1:10" s="47" customFormat="1" ht="15" customHeight="1" hidden="1">
      <c r="A691" s="133" t="s">
        <v>453</v>
      </c>
      <c r="B691" s="28"/>
      <c r="C691" s="40" t="s">
        <v>1</v>
      </c>
      <c r="D691" s="40" t="s">
        <v>705</v>
      </c>
      <c r="E691" s="40" t="s">
        <v>454</v>
      </c>
      <c r="F691" s="125"/>
      <c r="G691" s="64">
        <f>SUM(G692)+G694</f>
        <v>0</v>
      </c>
      <c r="H691" s="64">
        <f>SUM(H692)+H694</f>
        <v>0</v>
      </c>
      <c r="I691" s="31" t="e">
        <f t="shared" si="19"/>
        <v>#DIV/0!</v>
      </c>
      <c r="J691" s="233"/>
    </row>
    <row r="692" spans="1:10" s="47" customFormat="1" ht="42.75" customHeight="1" hidden="1">
      <c r="A692" s="133" t="s">
        <v>455</v>
      </c>
      <c r="B692" s="28"/>
      <c r="C692" s="45" t="s">
        <v>1</v>
      </c>
      <c r="D692" s="45" t="s">
        <v>705</v>
      </c>
      <c r="E692" s="45" t="s">
        <v>456</v>
      </c>
      <c r="F692" s="33"/>
      <c r="G692" s="31">
        <f>SUM(G693)</f>
        <v>0</v>
      </c>
      <c r="H692" s="31">
        <f>SUM(H693)</f>
        <v>0</v>
      </c>
      <c r="I692" s="31" t="e">
        <f t="shared" si="19"/>
        <v>#DIV/0!</v>
      </c>
      <c r="J692" s="233"/>
    </row>
    <row r="693" spans="1:10" s="47" customFormat="1" ht="17.25" customHeight="1" hidden="1">
      <c r="A693" s="43" t="s">
        <v>807</v>
      </c>
      <c r="B693" s="28"/>
      <c r="C693" s="45" t="s">
        <v>1</v>
      </c>
      <c r="D693" s="45" t="s">
        <v>705</v>
      </c>
      <c r="E693" s="45" t="s">
        <v>456</v>
      </c>
      <c r="F693" s="125" t="s">
        <v>808</v>
      </c>
      <c r="G693" s="31"/>
      <c r="H693" s="31"/>
      <c r="I693" s="31" t="e">
        <f t="shared" si="19"/>
        <v>#DIV/0!</v>
      </c>
      <c r="J693" s="233"/>
    </row>
    <row r="694" spans="1:10" s="47" customFormat="1" ht="31.5" customHeight="1" hidden="1">
      <c r="A694" s="133" t="s">
        <v>457</v>
      </c>
      <c r="B694" s="28"/>
      <c r="C694" s="45" t="s">
        <v>1</v>
      </c>
      <c r="D694" s="45" t="s">
        <v>705</v>
      </c>
      <c r="E694" s="45" t="s">
        <v>458</v>
      </c>
      <c r="F694" s="33"/>
      <c r="G694" s="31">
        <f>SUM(G695)</f>
        <v>0</v>
      </c>
      <c r="H694" s="31">
        <f>SUM(H695)</f>
        <v>0</v>
      </c>
      <c r="I694" s="31" t="e">
        <f t="shared" si="19"/>
        <v>#DIV/0!</v>
      </c>
      <c r="J694" s="233"/>
    </row>
    <row r="695" spans="1:10" s="47" customFormat="1" ht="18.75" customHeight="1" hidden="1">
      <c r="A695" s="43" t="s">
        <v>807</v>
      </c>
      <c r="B695" s="28"/>
      <c r="C695" s="45" t="s">
        <v>1</v>
      </c>
      <c r="D695" s="45" t="s">
        <v>705</v>
      </c>
      <c r="E695" s="45" t="s">
        <v>458</v>
      </c>
      <c r="F695" s="125" t="s">
        <v>808</v>
      </c>
      <c r="G695" s="31"/>
      <c r="H695" s="31"/>
      <c r="I695" s="31" t="e">
        <f t="shared" si="19"/>
        <v>#DIV/0!</v>
      </c>
      <c r="J695" s="233"/>
    </row>
    <row r="696" spans="1:10" s="47" customFormat="1" ht="18.75" customHeight="1">
      <c r="A696" s="133" t="s">
        <v>453</v>
      </c>
      <c r="B696" s="28"/>
      <c r="C696" s="40" t="s">
        <v>1</v>
      </c>
      <c r="D696" s="40" t="s">
        <v>705</v>
      </c>
      <c r="E696" s="40" t="s">
        <v>459</v>
      </c>
      <c r="F696" s="125"/>
      <c r="G696" s="31">
        <f>SUM(G697+G699)</f>
        <v>24677.3</v>
      </c>
      <c r="H696" s="31">
        <f>SUM(H697+H699)</f>
        <v>16618.3</v>
      </c>
      <c r="I696" s="31">
        <f t="shared" si="19"/>
        <v>67.34245642756703</v>
      </c>
      <c r="J696" s="233"/>
    </row>
    <row r="697" spans="1:10" s="47" customFormat="1" ht="30.75" customHeight="1" hidden="1">
      <c r="A697" s="43" t="s">
        <v>457</v>
      </c>
      <c r="B697" s="28"/>
      <c r="C697" s="45" t="s">
        <v>1</v>
      </c>
      <c r="D697" s="45" t="s">
        <v>705</v>
      </c>
      <c r="E697" s="45" t="s">
        <v>460</v>
      </c>
      <c r="F697" s="125"/>
      <c r="G697" s="31">
        <f>SUM(G698)</f>
        <v>0</v>
      </c>
      <c r="H697" s="31">
        <f>SUM(H698)</f>
        <v>0</v>
      </c>
      <c r="I697" s="31" t="e">
        <f t="shared" si="19"/>
        <v>#DIV/0!</v>
      </c>
      <c r="J697" s="233"/>
    </row>
    <row r="698" spans="1:10" s="47" customFormat="1" ht="15" customHeight="1" hidden="1">
      <c r="A698" s="43" t="s">
        <v>807</v>
      </c>
      <c r="B698" s="28"/>
      <c r="C698" s="45" t="s">
        <v>1</v>
      </c>
      <c r="D698" s="45" t="s">
        <v>705</v>
      </c>
      <c r="E698" s="45" t="s">
        <v>460</v>
      </c>
      <c r="F698" s="125" t="s">
        <v>808</v>
      </c>
      <c r="G698" s="31"/>
      <c r="H698" s="31"/>
      <c r="I698" s="31" t="e">
        <f t="shared" si="19"/>
        <v>#DIV/0!</v>
      </c>
      <c r="J698" s="233"/>
    </row>
    <row r="699" spans="1:10" s="47" customFormat="1" ht="42.75" customHeight="1">
      <c r="A699" s="43" t="s">
        <v>461</v>
      </c>
      <c r="B699" s="28"/>
      <c r="C699" s="45" t="s">
        <v>1</v>
      </c>
      <c r="D699" s="45" t="s">
        <v>705</v>
      </c>
      <c r="E699" s="45" t="s">
        <v>462</v>
      </c>
      <c r="F699" s="125"/>
      <c r="G699" s="31">
        <f>SUM(G700)</f>
        <v>24677.3</v>
      </c>
      <c r="H699" s="31">
        <f>SUM(H700)</f>
        <v>16618.3</v>
      </c>
      <c r="I699" s="31">
        <f t="shared" si="19"/>
        <v>67.34245642756703</v>
      </c>
      <c r="J699" s="233"/>
    </row>
    <row r="700" spans="1:10" s="47" customFormat="1" ht="15" customHeight="1">
      <c r="A700" s="43" t="s">
        <v>807</v>
      </c>
      <c r="B700" s="28"/>
      <c r="C700" s="45" t="s">
        <v>1</v>
      </c>
      <c r="D700" s="45" t="s">
        <v>705</v>
      </c>
      <c r="E700" s="45" t="s">
        <v>462</v>
      </c>
      <c r="F700" s="125" t="s">
        <v>808</v>
      </c>
      <c r="G700" s="31">
        <f>22559.8+739.8+1377.7</f>
        <v>24677.3</v>
      </c>
      <c r="H700" s="31">
        <v>16618.3</v>
      </c>
      <c r="I700" s="31">
        <f t="shared" si="19"/>
        <v>67.34245642756703</v>
      </c>
      <c r="J700" s="233">
        <f>SUM('ведомствен.'!G509)</f>
        <v>24677.3</v>
      </c>
    </row>
    <row r="701" spans="1:10" s="47" customFormat="1" ht="14.25" customHeight="1">
      <c r="A701" s="38" t="s">
        <v>463</v>
      </c>
      <c r="B701" s="28"/>
      <c r="C701" s="105" t="s">
        <v>1</v>
      </c>
      <c r="D701" s="105" t="s">
        <v>713</v>
      </c>
      <c r="E701" s="105"/>
      <c r="F701" s="59"/>
      <c r="G701" s="64">
        <f>SUM(G705+G708+G781+G784+G791+G702)</f>
        <v>638634</v>
      </c>
      <c r="H701" s="64">
        <f>SUM(H708+H781+H784+H791+H702)</f>
        <v>454278.8</v>
      </c>
      <c r="I701" s="31">
        <f t="shared" si="19"/>
        <v>71.13288675516806</v>
      </c>
      <c r="J701" s="233"/>
    </row>
    <row r="702" spans="1:10" s="47" customFormat="1" ht="14.25" customHeight="1">
      <c r="A702" s="27" t="s">
        <v>794</v>
      </c>
      <c r="B702" s="28"/>
      <c r="C702" s="105" t="s">
        <v>1</v>
      </c>
      <c r="D702" s="105" t="s">
        <v>713</v>
      </c>
      <c r="E702" s="29" t="s">
        <v>796</v>
      </c>
      <c r="F702" s="30"/>
      <c r="G702" s="31">
        <f>SUM(G704)</f>
        <v>200</v>
      </c>
      <c r="H702" s="31">
        <f>SUM(H704)</f>
        <v>200</v>
      </c>
      <c r="I702" s="31">
        <f t="shared" si="19"/>
        <v>100</v>
      </c>
      <c r="J702" s="233"/>
    </row>
    <row r="703" spans="1:10" s="47" customFormat="1" ht="14.25" customHeight="1">
      <c r="A703" s="27" t="s">
        <v>765</v>
      </c>
      <c r="B703" s="28"/>
      <c r="C703" s="105" t="s">
        <v>1</v>
      </c>
      <c r="D703" s="105" t="s">
        <v>713</v>
      </c>
      <c r="E703" s="29" t="s">
        <v>766</v>
      </c>
      <c r="F703" s="30"/>
      <c r="G703" s="31">
        <f>SUM(G704)</f>
        <v>200</v>
      </c>
      <c r="H703" s="31">
        <f>SUM(H704)</f>
        <v>200</v>
      </c>
      <c r="I703" s="31">
        <f t="shared" si="19"/>
        <v>100</v>
      </c>
      <c r="J703" s="233"/>
    </row>
    <row r="704" spans="1:10" s="47" customFormat="1" ht="14.25" customHeight="1">
      <c r="A704" s="27" t="s">
        <v>849</v>
      </c>
      <c r="B704" s="44"/>
      <c r="C704" s="105" t="s">
        <v>1</v>
      </c>
      <c r="D704" s="105" t="s">
        <v>713</v>
      </c>
      <c r="E704" s="29" t="s">
        <v>766</v>
      </c>
      <c r="F704" s="33" t="s">
        <v>850</v>
      </c>
      <c r="G704" s="31">
        <v>200</v>
      </c>
      <c r="H704" s="31">
        <v>200</v>
      </c>
      <c r="I704" s="31">
        <f t="shared" si="19"/>
        <v>100</v>
      </c>
      <c r="J704" s="233">
        <f>SUM('ведомствен.'!G513)</f>
        <v>200</v>
      </c>
    </row>
    <row r="705" spans="1:9" ht="31.5" customHeight="1">
      <c r="A705" s="46" t="s">
        <v>647</v>
      </c>
      <c r="B705" s="28"/>
      <c r="C705" s="29" t="s">
        <v>1</v>
      </c>
      <c r="D705" s="45" t="s">
        <v>713</v>
      </c>
      <c r="E705" s="29" t="s">
        <v>131</v>
      </c>
      <c r="F705" s="30"/>
      <c r="G705" s="31">
        <f>SUM(G706)</f>
        <v>2387.8</v>
      </c>
      <c r="H705" s="31">
        <f>SUM(H706)</f>
        <v>0</v>
      </c>
      <c r="I705" s="31">
        <f>SUM(H705/G705*100)</f>
        <v>0</v>
      </c>
    </row>
    <row r="706" spans="1:9" ht="28.5" customHeight="1">
      <c r="A706" s="46" t="s">
        <v>648</v>
      </c>
      <c r="B706" s="28"/>
      <c r="C706" s="29" t="s">
        <v>1</v>
      </c>
      <c r="D706" s="45" t="s">
        <v>713</v>
      </c>
      <c r="E706" s="29" t="s">
        <v>649</v>
      </c>
      <c r="F706" s="30"/>
      <c r="G706" s="31">
        <f>SUM(G707)</f>
        <v>2387.8</v>
      </c>
      <c r="H706" s="31">
        <f>SUM(H707)</f>
        <v>0</v>
      </c>
      <c r="I706" s="31">
        <f>SUM(H706/G706*100)</f>
        <v>0</v>
      </c>
    </row>
    <row r="707" spans="1:10" ht="23.25" customHeight="1">
      <c r="A707" s="46" t="s">
        <v>554</v>
      </c>
      <c r="B707" s="28"/>
      <c r="C707" s="29" t="s">
        <v>1</v>
      </c>
      <c r="D707" s="45" t="s">
        <v>713</v>
      </c>
      <c r="E707" s="29" t="s">
        <v>649</v>
      </c>
      <c r="F707" s="30" t="s">
        <v>556</v>
      </c>
      <c r="G707" s="31">
        <v>2387.8</v>
      </c>
      <c r="H707" s="31"/>
      <c r="I707" s="31">
        <f>SUM(H707/G707*100)</f>
        <v>0</v>
      </c>
      <c r="J707" s="228">
        <f>SUM('ведомствен.'!G408+'ведомствен.'!G670)</f>
        <v>2387.8</v>
      </c>
    </row>
    <row r="708" spans="1:9" ht="18" customHeight="1">
      <c r="A708" s="27" t="s">
        <v>464</v>
      </c>
      <c r="B708" s="28"/>
      <c r="C708" s="29" t="s">
        <v>1</v>
      </c>
      <c r="D708" s="29" t="s">
        <v>713</v>
      </c>
      <c r="E708" s="29" t="s">
        <v>465</v>
      </c>
      <c r="F708" s="30"/>
      <c r="G708" s="31">
        <f>SUM(G709+G711+G713+G723+G725+G741+G745+G750+G752+G754+G775)+G779+G727+G729+G735+G737+G743+G748+G722+G733+G731+G739+G718+G720+G715</f>
        <v>621814.8</v>
      </c>
      <c r="H708" s="31">
        <f>SUM(H709+H711+H713+H723+H725+H741+H745+H750+H752+H754+H775)+H779+H727+H729+H735+H737+H743+H748+H722+H733+H731+H739+H718+H720+H715</f>
        <v>446896.3</v>
      </c>
      <c r="I708" s="31">
        <f t="shared" si="19"/>
        <v>71.8696788818793</v>
      </c>
    </row>
    <row r="709" spans="1:9" ht="55.5" customHeight="1" hidden="1">
      <c r="A709" s="134" t="s">
        <v>466</v>
      </c>
      <c r="B709" s="28"/>
      <c r="C709" s="29" t="s">
        <v>1</v>
      </c>
      <c r="D709" s="29" t="s">
        <v>713</v>
      </c>
      <c r="E709" s="29" t="s">
        <v>467</v>
      </c>
      <c r="F709" s="30"/>
      <c r="G709" s="31">
        <f>SUM(G710:G710)</f>
        <v>0</v>
      </c>
      <c r="H709" s="31">
        <f>SUM(H710:H710)</f>
        <v>0</v>
      </c>
      <c r="I709" s="31" t="e">
        <f t="shared" si="19"/>
        <v>#DIV/0!</v>
      </c>
    </row>
    <row r="710" spans="1:9" ht="20.25" customHeight="1" hidden="1">
      <c r="A710" s="27" t="s">
        <v>849</v>
      </c>
      <c r="B710" s="28"/>
      <c r="C710" s="29" t="s">
        <v>1</v>
      </c>
      <c r="D710" s="29" t="s">
        <v>713</v>
      </c>
      <c r="E710" s="29" t="s">
        <v>467</v>
      </c>
      <c r="F710" s="30" t="s">
        <v>850</v>
      </c>
      <c r="G710" s="31"/>
      <c r="H710" s="31"/>
      <c r="I710" s="31" t="e">
        <f t="shared" si="19"/>
        <v>#DIV/0!</v>
      </c>
    </row>
    <row r="711" spans="1:10" s="47" customFormat="1" ht="42.75" customHeight="1" hidden="1">
      <c r="A711" s="27" t="s">
        <v>468</v>
      </c>
      <c r="B711" s="28"/>
      <c r="C711" s="29" t="s">
        <v>1</v>
      </c>
      <c r="D711" s="29" t="s">
        <v>713</v>
      </c>
      <c r="E711" s="29" t="s">
        <v>469</v>
      </c>
      <c r="F711" s="30"/>
      <c r="G711" s="31">
        <f>SUM(G712:G712)</f>
        <v>0</v>
      </c>
      <c r="H711" s="31">
        <f>SUM(H712:H712)</f>
        <v>0</v>
      </c>
      <c r="I711" s="31" t="e">
        <f t="shared" si="19"/>
        <v>#DIV/0!</v>
      </c>
      <c r="J711" s="233"/>
    </row>
    <row r="712" spans="1:10" s="47" customFormat="1" ht="15" customHeight="1" hidden="1">
      <c r="A712" s="27" t="s">
        <v>849</v>
      </c>
      <c r="B712" s="28"/>
      <c r="C712" s="29" t="s">
        <v>1</v>
      </c>
      <c r="D712" s="29" t="s">
        <v>713</v>
      </c>
      <c r="E712" s="29" t="s">
        <v>469</v>
      </c>
      <c r="F712" s="30" t="s">
        <v>850</v>
      </c>
      <c r="G712" s="31"/>
      <c r="H712" s="31"/>
      <c r="I712" s="31" t="e">
        <f t="shared" si="19"/>
        <v>#DIV/0!</v>
      </c>
      <c r="J712" s="233"/>
    </row>
    <row r="713" spans="1:10" s="47" customFormat="1" ht="42.75" customHeight="1" hidden="1">
      <c r="A713" s="27" t="s">
        <v>470</v>
      </c>
      <c r="B713" s="36"/>
      <c r="C713" s="45" t="s">
        <v>1</v>
      </c>
      <c r="D713" s="29" t="s">
        <v>713</v>
      </c>
      <c r="E713" s="29" t="s">
        <v>471</v>
      </c>
      <c r="F713" s="30"/>
      <c r="G713" s="31">
        <f>SUM(G714)</f>
        <v>0</v>
      </c>
      <c r="H713" s="31">
        <f>SUM(H714)</f>
        <v>0</v>
      </c>
      <c r="I713" s="31" t="e">
        <f t="shared" si="19"/>
        <v>#DIV/0!</v>
      </c>
      <c r="J713" s="233"/>
    </row>
    <row r="714" spans="1:10" s="47" customFormat="1" ht="23.25" customHeight="1" hidden="1">
      <c r="A714" s="27" t="s">
        <v>849</v>
      </c>
      <c r="B714" s="36"/>
      <c r="C714" s="45" t="s">
        <v>1</v>
      </c>
      <c r="D714" s="29" t="s">
        <v>713</v>
      </c>
      <c r="E714" s="29" t="s">
        <v>471</v>
      </c>
      <c r="F714" s="30" t="s">
        <v>850</v>
      </c>
      <c r="G714" s="31"/>
      <c r="H714" s="31"/>
      <c r="I714" s="31" t="e">
        <f t="shared" si="19"/>
        <v>#DIV/0!</v>
      </c>
      <c r="J714" s="233"/>
    </row>
    <row r="715" spans="1:10" s="47" customFormat="1" ht="60" customHeight="1">
      <c r="A715" s="49" t="s">
        <v>472</v>
      </c>
      <c r="B715" s="36"/>
      <c r="C715" s="29" t="s">
        <v>1</v>
      </c>
      <c r="D715" s="45" t="s">
        <v>713</v>
      </c>
      <c r="E715" s="29" t="s">
        <v>473</v>
      </c>
      <c r="F715" s="30"/>
      <c r="G715" s="31">
        <f>SUM(G716)</f>
        <v>378.4</v>
      </c>
      <c r="H715" s="31">
        <f>SUM(H716)</f>
        <v>361.8</v>
      </c>
      <c r="I715" s="31">
        <f t="shared" si="19"/>
        <v>95.61310782241016</v>
      </c>
      <c r="J715" s="233"/>
    </row>
    <row r="716" spans="1:10" s="47" customFormat="1" ht="19.5" customHeight="1">
      <c r="A716" s="27" t="s">
        <v>849</v>
      </c>
      <c r="B716" s="36"/>
      <c r="C716" s="45" t="s">
        <v>1</v>
      </c>
      <c r="D716" s="29" t="s">
        <v>713</v>
      </c>
      <c r="E716" s="29" t="s">
        <v>473</v>
      </c>
      <c r="F716" s="30" t="s">
        <v>850</v>
      </c>
      <c r="G716" s="31">
        <v>378.4</v>
      </c>
      <c r="H716" s="31">
        <v>361.8</v>
      </c>
      <c r="I716" s="31">
        <f t="shared" si="19"/>
        <v>95.61310782241016</v>
      </c>
      <c r="J716" s="233">
        <f>SUM('ведомствен.'!G36)</f>
        <v>378.4</v>
      </c>
    </row>
    <row r="717" spans="1:10" s="47" customFormat="1" ht="60" customHeight="1" hidden="1">
      <c r="A717" s="49" t="s">
        <v>472</v>
      </c>
      <c r="B717" s="36"/>
      <c r="C717" s="29" t="s">
        <v>1</v>
      </c>
      <c r="D717" s="45" t="s">
        <v>713</v>
      </c>
      <c r="E717" s="29" t="s">
        <v>473</v>
      </c>
      <c r="F717" s="30"/>
      <c r="G717" s="31"/>
      <c r="H717" s="31"/>
      <c r="I717" s="31" t="e">
        <f t="shared" si="19"/>
        <v>#DIV/0!</v>
      </c>
      <c r="J717" s="233"/>
    </row>
    <row r="718" spans="1:10" s="47" customFormat="1" ht="60" customHeight="1">
      <c r="A718" s="27" t="s">
        <v>474</v>
      </c>
      <c r="B718" s="36"/>
      <c r="C718" s="45" t="s">
        <v>1</v>
      </c>
      <c r="D718" s="29" t="s">
        <v>713</v>
      </c>
      <c r="E718" s="29" t="s">
        <v>475</v>
      </c>
      <c r="F718" s="30"/>
      <c r="G718" s="31">
        <f>SUM(G719)</f>
        <v>1086.4</v>
      </c>
      <c r="H718" s="31">
        <f>SUM(H719)</f>
        <v>634.3</v>
      </c>
      <c r="I718" s="31">
        <f t="shared" si="19"/>
        <v>58.38549337260677</v>
      </c>
      <c r="J718" s="233"/>
    </row>
    <row r="719" spans="1:10" s="47" customFormat="1" ht="16.5" customHeight="1">
      <c r="A719" s="27" t="s">
        <v>849</v>
      </c>
      <c r="B719" s="36"/>
      <c r="C719" s="45" t="s">
        <v>1</v>
      </c>
      <c r="D719" s="29" t="s">
        <v>713</v>
      </c>
      <c r="E719" s="29" t="s">
        <v>475</v>
      </c>
      <c r="F719" s="30" t="s">
        <v>850</v>
      </c>
      <c r="G719" s="31">
        <v>1086.4</v>
      </c>
      <c r="H719" s="31">
        <v>634.3</v>
      </c>
      <c r="I719" s="31">
        <f t="shared" si="19"/>
        <v>58.38549337260677</v>
      </c>
      <c r="J719" s="233">
        <f>SUM('ведомствен.'!G522)</f>
        <v>1086.4</v>
      </c>
    </row>
    <row r="720" spans="1:10" s="47" customFormat="1" ht="60" customHeight="1">
      <c r="A720" s="27" t="s">
        <v>476</v>
      </c>
      <c r="B720" s="36"/>
      <c r="C720" s="45" t="s">
        <v>1</v>
      </c>
      <c r="D720" s="29" t="s">
        <v>713</v>
      </c>
      <c r="E720" s="29" t="s">
        <v>477</v>
      </c>
      <c r="F720" s="30"/>
      <c r="G720" s="31">
        <f>SUM(G721)</f>
        <v>664.2</v>
      </c>
      <c r="H720" s="31">
        <f>SUM(H721)</f>
        <v>542.8</v>
      </c>
      <c r="I720" s="31">
        <f t="shared" si="19"/>
        <v>81.72237277928333</v>
      </c>
      <c r="J720" s="233"/>
    </row>
    <row r="721" spans="1:10" s="47" customFormat="1" ht="22.5" customHeight="1">
      <c r="A721" s="27" t="s">
        <v>849</v>
      </c>
      <c r="B721" s="36"/>
      <c r="C721" s="45" t="s">
        <v>1</v>
      </c>
      <c r="D721" s="29" t="s">
        <v>713</v>
      </c>
      <c r="E721" s="29" t="s">
        <v>477</v>
      </c>
      <c r="F721" s="30" t="s">
        <v>850</v>
      </c>
      <c r="G721" s="31">
        <f>654.2+10</f>
        <v>664.2</v>
      </c>
      <c r="H721" s="31">
        <v>542.8</v>
      </c>
      <c r="I721" s="31">
        <f t="shared" si="19"/>
        <v>81.72237277928333</v>
      </c>
      <c r="J721" s="233">
        <f>SUM('ведомствен.'!G524)</f>
        <v>664.2</v>
      </c>
    </row>
    <row r="722" spans="1:10" s="47" customFormat="1" ht="21" customHeight="1" hidden="1">
      <c r="A722" s="27" t="s">
        <v>849</v>
      </c>
      <c r="B722" s="113"/>
      <c r="C722" s="45" t="s">
        <v>1</v>
      </c>
      <c r="D722" s="45" t="s">
        <v>713</v>
      </c>
      <c r="E722" s="29" t="s">
        <v>473</v>
      </c>
      <c r="F722" s="125" t="s">
        <v>850</v>
      </c>
      <c r="G722" s="31"/>
      <c r="H722" s="31"/>
      <c r="I722" s="31" t="e">
        <f t="shared" si="19"/>
        <v>#DIV/0!</v>
      </c>
      <c r="J722" s="233"/>
    </row>
    <row r="723" spans="1:10" s="47" customFormat="1" ht="71.25">
      <c r="A723" s="46" t="s">
        <v>478</v>
      </c>
      <c r="B723" s="28"/>
      <c r="C723" s="45" t="s">
        <v>1</v>
      </c>
      <c r="D723" s="29" t="s">
        <v>713</v>
      </c>
      <c r="E723" s="29" t="s">
        <v>479</v>
      </c>
      <c r="F723" s="30"/>
      <c r="G723" s="31">
        <f>SUM(G724)</f>
        <v>1864.4</v>
      </c>
      <c r="H723" s="31">
        <f>SUM(H724)</f>
        <v>1313.1</v>
      </c>
      <c r="I723" s="31">
        <f t="shared" si="19"/>
        <v>70.43016520060073</v>
      </c>
      <c r="J723" s="233"/>
    </row>
    <row r="724" spans="1:10" s="47" customFormat="1" ht="15">
      <c r="A724" s="27" t="s">
        <v>849</v>
      </c>
      <c r="B724" s="28"/>
      <c r="C724" s="45" t="s">
        <v>1</v>
      </c>
      <c r="D724" s="29" t="s">
        <v>713</v>
      </c>
      <c r="E724" s="29" t="s">
        <v>479</v>
      </c>
      <c r="F724" s="30" t="s">
        <v>850</v>
      </c>
      <c r="G724" s="31">
        <f>1404.4+460</f>
        <v>1864.4</v>
      </c>
      <c r="H724" s="31">
        <v>1313.1</v>
      </c>
      <c r="I724" s="31">
        <f t="shared" si="19"/>
        <v>70.43016520060073</v>
      </c>
      <c r="J724" s="233">
        <f>SUM('ведомствен.'!G526)</f>
        <v>1864.4</v>
      </c>
    </row>
    <row r="725" spans="1:10" s="47" customFormat="1" ht="42.75">
      <c r="A725" s="135" t="s">
        <v>480</v>
      </c>
      <c r="B725" s="28"/>
      <c r="C725" s="45" t="s">
        <v>1</v>
      </c>
      <c r="D725" s="29" t="s">
        <v>713</v>
      </c>
      <c r="E725" s="29" t="s">
        <v>481</v>
      </c>
      <c r="F725" s="30"/>
      <c r="G725" s="31">
        <f>SUM(G726)</f>
        <v>8942.3</v>
      </c>
      <c r="H725" s="31">
        <f>SUM(H726)</f>
        <v>6301</v>
      </c>
      <c r="I725" s="31">
        <f t="shared" si="19"/>
        <v>70.46285631213448</v>
      </c>
      <c r="J725" s="233"/>
    </row>
    <row r="726" spans="1:10" s="47" customFormat="1" ht="15">
      <c r="A726" s="27" t="s">
        <v>849</v>
      </c>
      <c r="B726" s="28"/>
      <c r="C726" s="45" t="s">
        <v>1</v>
      </c>
      <c r="D726" s="29" t="s">
        <v>713</v>
      </c>
      <c r="E726" s="29" t="s">
        <v>481</v>
      </c>
      <c r="F726" s="30" t="s">
        <v>850</v>
      </c>
      <c r="G726" s="31">
        <v>8942.3</v>
      </c>
      <c r="H726" s="31">
        <v>6301</v>
      </c>
      <c r="I726" s="31">
        <f t="shared" si="19"/>
        <v>70.46285631213448</v>
      </c>
      <c r="J726" s="233">
        <f>SUM('ведомствен.'!G528)</f>
        <v>8942.3</v>
      </c>
    </row>
    <row r="727" spans="1:10" s="47" customFormat="1" ht="57" customHeight="1">
      <c r="A727" s="27" t="s">
        <v>482</v>
      </c>
      <c r="B727" s="28"/>
      <c r="C727" s="45" t="s">
        <v>1</v>
      </c>
      <c r="D727" s="29" t="s">
        <v>713</v>
      </c>
      <c r="E727" s="29" t="s">
        <v>483</v>
      </c>
      <c r="F727" s="30"/>
      <c r="G727" s="31">
        <f>SUM(G728)</f>
        <v>24992.399999999998</v>
      </c>
      <c r="H727" s="31">
        <f>SUM(H728)</f>
        <v>18786.9</v>
      </c>
      <c r="I727" s="31">
        <f t="shared" si="19"/>
        <v>75.17045181735249</v>
      </c>
      <c r="J727" s="233"/>
    </row>
    <row r="728" spans="1:10" s="47" customFormat="1" ht="18.75" customHeight="1">
      <c r="A728" s="27" t="s">
        <v>849</v>
      </c>
      <c r="B728" s="28"/>
      <c r="C728" s="45" t="s">
        <v>1</v>
      </c>
      <c r="D728" s="29" t="s">
        <v>713</v>
      </c>
      <c r="E728" s="29" t="s">
        <v>483</v>
      </c>
      <c r="F728" s="30" t="s">
        <v>850</v>
      </c>
      <c r="G728" s="31">
        <f>22290.1+2702.3</f>
        <v>24992.399999999998</v>
      </c>
      <c r="H728" s="31">
        <v>18786.9</v>
      </c>
      <c r="I728" s="31">
        <f t="shared" si="19"/>
        <v>75.17045181735249</v>
      </c>
      <c r="J728" s="233">
        <f>SUM('ведомствен.'!G530)</f>
        <v>24992.399999999998</v>
      </c>
    </row>
    <row r="729" spans="1:10" s="47" customFormat="1" ht="72" customHeight="1">
      <c r="A729" s="27" t="s">
        <v>484</v>
      </c>
      <c r="B729" s="28"/>
      <c r="C729" s="45" t="s">
        <v>1</v>
      </c>
      <c r="D729" s="29" t="s">
        <v>713</v>
      </c>
      <c r="E729" s="29" t="s">
        <v>485</v>
      </c>
      <c r="F729" s="30"/>
      <c r="G729" s="31">
        <f>SUM(G730)</f>
        <v>18263.999999999996</v>
      </c>
      <c r="H729" s="31">
        <f>SUM(H730)</f>
        <v>15760.4</v>
      </c>
      <c r="I729" s="31">
        <f t="shared" si="19"/>
        <v>86.29215943933423</v>
      </c>
      <c r="J729" s="233"/>
    </row>
    <row r="730" spans="1:10" s="47" customFormat="1" ht="20.25" customHeight="1">
      <c r="A730" s="27" t="s">
        <v>849</v>
      </c>
      <c r="B730" s="28"/>
      <c r="C730" s="45" t="s">
        <v>1</v>
      </c>
      <c r="D730" s="29" t="s">
        <v>713</v>
      </c>
      <c r="E730" s="29" t="s">
        <v>485</v>
      </c>
      <c r="F730" s="30" t="s">
        <v>850</v>
      </c>
      <c r="G730" s="31">
        <f>47168.2-29143.2+239</f>
        <v>18263.999999999996</v>
      </c>
      <c r="H730" s="31">
        <v>15760.4</v>
      </c>
      <c r="I730" s="31">
        <f t="shared" si="19"/>
        <v>86.29215943933423</v>
      </c>
      <c r="J730" s="233">
        <f>SUM('ведомствен.'!G532)</f>
        <v>18263.999999999996</v>
      </c>
    </row>
    <row r="731" spans="1:10" s="119" customFormat="1" ht="89.25" customHeight="1">
      <c r="A731" s="27" t="s">
        <v>494</v>
      </c>
      <c r="B731" s="28"/>
      <c r="C731" s="45" t="s">
        <v>1</v>
      </c>
      <c r="D731" s="29" t="s">
        <v>713</v>
      </c>
      <c r="E731" s="29" t="s">
        <v>495</v>
      </c>
      <c r="F731" s="30"/>
      <c r="G731" s="31">
        <f>SUM(G732)</f>
        <v>61767.100000000006</v>
      </c>
      <c r="H731" s="31">
        <f>SUM(H732)</f>
        <v>40636.1</v>
      </c>
      <c r="I731" s="31">
        <f t="shared" si="19"/>
        <v>65.78923083648091</v>
      </c>
      <c r="J731" s="237"/>
    </row>
    <row r="732" spans="1:10" s="119" customFormat="1" ht="21.75" customHeight="1">
      <c r="A732" s="27" t="s">
        <v>849</v>
      </c>
      <c r="B732" s="28"/>
      <c r="C732" s="45" t="s">
        <v>1</v>
      </c>
      <c r="D732" s="29" t="s">
        <v>713</v>
      </c>
      <c r="E732" s="29" t="s">
        <v>495</v>
      </c>
      <c r="F732" s="30" t="s">
        <v>850</v>
      </c>
      <c r="G732" s="31">
        <f>42514.9+19252.2</f>
        <v>61767.100000000006</v>
      </c>
      <c r="H732" s="31">
        <v>40636.1</v>
      </c>
      <c r="I732" s="31">
        <f t="shared" si="19"/>
        <v>65.78923083648091</v>
      </c>
      <c r="J732" s="233">
        <f>SUM('ведомствен.'!G534)</f>
        <v>61767.100000000006</v>
      </c>
    </row>
    <row r="733" spans="1:10" s="47" customFormat="1" ht="44.25" customHeight="1">
      <c r="A733" s="27" t="s">
        <v>496</v>
      </c>
      <c r="B733" s="28"/>
      <c r="C733" s="45" t="s">
        <v>1</v>
      </c>
      <c r="D733" s="29" t="s">
        <v>713</v>
      </c>
      <c r="E733" s="29" t="s">
        <v>497</v>
      </c>
      <c r="F733" s="30"/>
      <c r="G733" s="31">
        <f>SUM(G734)</f>
        <v>4349.5</v>
      </c>
      <c r="H733" s="31">
        <f>SUM(H734)</f>
        <v>191.3</v>
      </c>
      <c r="I733" s="31">
        <f t="shared" si="19"/>
        <v>4.398206690424187</v>
      </c>
      <c r="J733" s="233"/>
    </row>
    <row r="734" spans="1:10" s="47" customFormat="1" ht="20.25" customHeight="1">
      <c r="A734" s="27" t="s">
        <v>849</v>
      </c>
      <c r="B734" s="28"/>
      <c r="C734" s="45" t="s">
        <v>1</v>
      </c>
      <c r="D734" s="29" t="s">
        <v>713</v>
      </c>
      <c r="E734" s="29" t="s">
        <v>497</v>
      </c>
      <c r="F734" s="30" t="s">
        <v>850</v>
      </c>
      <c r="G734" s="31">
        <f>6681.7-2332.2</f>
        <v>4349.5</v>
      </c>
      <c r="H734" s="31">
        <v>191.3</v>
      </c>
      <c r="I734" s="31">
        <f t="shared" si="19"/>
        <v>4.398206690424187</v>
      </c>
      <c r="J734" s="233">
        <f>SUM('ведомствен.'!G536)</f>
        <v>4349.5</v>
      </c>
    </row>
    <row r="735" spans="1:10" s="47" customFormat="1" ht="60.75" customHeight="1">
      <c r="A735" s="27" t="s">
        <v>498</v>
      </c>
      <c r="B735" s="28"/>
      <c r="C735" s="45" t="s">
        <v>1</v>
      </c>
      <c r="D735" s="29" t="s">
        <v>713</v>
      </c>
      <c r="E735" s="29" t="s">
        <v>499</v>
      </c>
      <c r="F735" s="30"/>
      <c r="G735" s="31">
        <f>SUM(G736)</f>
        <v>6790.5</v>
      </c>
      <c r="H735" s="31">
        <f>SUM(H736)</f>
        <v>4180.7</v>
      </c>
      <c r="I735" s="31">
        <f t="shared" si="19"/>
        <v>61.566894926735884</v>
      </c>
      <c r="J735" s="233"/>
    </row>
    <row r="736" spans="1:10" s="47" customFormat="1" ht="17.25" customHeight="1">
      <c r="A736" s="27" t="s">
        <v>849</v>
      </c>
      <c r="B736" s="28"/>
      <c r="C736" s="45" t="s">
        <v>1</v>
      </c>
      <c r="D736" s="29" t="s">
        <v>713</v>
      </c>
      <c r="E736" s="29" t="s">
        <v>499</v>
      </c>
      <c r="F736" s="30" t="s">
        <v>850</v>
      </c>
      <c r="G736" s="31">
        <f>5885.5+905</f>
        <v>6790.5</v>
      </c>
      <c r="H736" s="31">
        <v>4180.7</v>
      </c>
      <c r="I736" s="31">
        <f t="shared" si="19"/>
        <v>61.566894926735884</v>
      </c>
      <c r="J736" s="233">
        <f>SUM('ведомствен.'!G538)</f>
        <v>6790.5</v>
      </c>
    </row>
    <row r="737" spans="1:10" s="47" customFormat="1" ht="44.25" customHeight="1" hidden="1">
      <c r="A737" s="27" t="s">
        <v>468</v>
      </c>
      <c r="B737" s="28"/>
      <c r="C737" s="45" t="s">
        <v>1</v>
      </c>
      <c r="D737" s="29" t="s">
        <v>713</v>
      </c>
      <c r="E737" s="29" t="s">
        <v>500</v>
      </c>
      <c r="F737" s="30"/>
      <c r="G737" s="31">
        <f>SUM(G738)</f>
        <v>0</v>
      </c>
      <c r="H737" s="31">
        <f>SUM(H738)</f>
        <v>0</v>
      </c>
      <c r="I737" s="31" t="e">
        <f t="shared" si="19"/>
        <v>#DIV/0!</v>
      </c>
      <c r="J737" s="233"/>
    </row>
    <row r="738" spans="1:10" s="47" customFormat="1" ht="15" hidden="1">
      <c r="A738" s="27" t="s">
        <v>849</v>
      </c>
      <c r="B738" s="28"/>
      <c r="C738" s="45" t="s">
        <v>1</v>
      </c>
      <c r="D738" s="29" t="s">
        <v>713</v>
      </c>
      <c r="E738" s="29" t="s">
        <v>500</v>
      </c>
      <c r="F738" s="30" t="s">
        <v>850</v>
      </c>
      <c r="G738" s="31"/>
      <c r="H738" s="31"/>
      <c r="I738" s="31" t="e">
        <f t="shared" si="19"/>
        <v>#DIV/0!</v>
      </c>
      <c r="J738" s="233"/>
    </row>
    <row r="739" spans="1:10" s="119" customFormat="1" ht="109.5" customHeight="1" hidden="1">
      <c r="A739" s="27" t="s">
        <v>501</v>
      </c>
      <c r="B739" s="28"/>
      <c r="C739" s="45" t="s">
        <v>1</v>
      </c>
      <c r="D739" s="29" t="s">
        <v>713</v>
      </c>
      <c r="E739" s="29" t="s">
        <v>502</v>
      </c>
      <c r="F739" s="30"/>
      <c r="G739" s="31">
        <f>SUM(G740)</f>
        <v>0</v>
      </c>
      <c r="H739" s="31">
        <f>SUM(H740)</f>
        <v>0</v>
      </c>
      <c r="I739" s="31" t="e">
        <f t="shared" si="19"/>
        <v>#DIV/0!</v>
      </c>
      <c r="J739" s="237"/>
    </row>
    <row r="740" spans="1:10" s="119" customFormat="1" ht="19.5" customHeight="1" hidden="1">
      <c r="A740" s="27" t="s">
        <v>849</v>
      </c>
      <c r="B740" s="28"/>
      <c r="C740" s="45" t="s">
        <v>1</v>
      </c>
      <c r="D740" s="29" t="s">
        <v>713</v>
      </c>
      <c r="E740" s="29" t="s">
        <v>502</v>
      </c>
      <c r="F740" s="30" t="s">
        <v>850</v>
      </c>
      <c r="G740" s="31"/>
      <c r="H740" s="31"/>
      <c r="I740" s="31" t="e">
        <f t="shared" si="19"/>
        <v>#DIV/0!</v>
      </c>
      <c r="J740" s="237"/>
    </row>
    <row r="741" spans="1:10" s="47" customFormat="1" ht="15">
      <c r="A741" s="134" t="s">
        <v>503</v>
      </c>
      <c r="B741" s="104"/>
      <c r="C741" s="67" t="s">
        <v>1</v>
      </c>
      <c r="D741" s="67" t="s">
        <v>713</v>
      </c>
      <c r="E741" s="67" t="s">
        <v>504</v>
      </c>
      <c r="F741" s="34"/>
      <c r="G741" s="31">
        <f>SUM(G742)</f>
        <v>27897</v>
      </c>
      <c r="H741" s="31">
        <f>SUM(H742)</f>
        <v>16724.6</v>
      </c>
      <c r="I741" s="31">
        <f t="shared" si="19"/>
        <v>59.95124923826934</v>
      </c>
      <c r="J741" s="233"/>
    </row>
    <row r="742" spans="1:10" s="47" customFormat="1" ht="15">
      <c r="A742" s="27" t="s">
        <v>849</v>
      </c>
      <c r="B742" s="104"/>
      <c r="C742" s="67" t="s">
        <v>1</v>
      </c>
      <c r="D742" s="67" t="s">
        <v>713</v>
      </c>
      <c r="E742" s="67" t="s">
        <v>504</v>
      </c>
      <c r="F742" s="34" t="s">
        <v>850</v>
      </c>
      <c r="G742" s="31">
        <v>27897</v>
      </c>
      <c r="H742" s="31">
        <v>16724.6</v>
      </c>
      <c r="I742" s="31">
        <f t="shared" si="19"/>
        <v>59.95124923826934</v>
      </c>
      <c r="J742" s="233">
        <f>SUM('ведомствен.'!G544)</f>
        <v>27897</v>
      </c>
    </row>
    <row r="743" spans="1:10" s="47" customFormat="1" ht="33" customHeight="1">
      <c r="A743" s="27" t="s">
        <v>505</v>
      </c>
      <c r="B743" s="104"/>
      <c r="C743" s="67" t="s">
        <v>1</v>
      </c>
      <c r="D743" s="67" t="s">
        <v>713</v>
      </c>
      <c r="E743" s="67" t="s">
        <v>506</v>
      </c>
      <c r="F743" s="34"/>
      <c r="G743" s="31">
        <f>SUM(G744)</f>
        <v>6044.1</v>
      </c>
      <c r="H743" s="31">
        <f>SUM(H744)</f>
        <v>4118.3</v>
      </c>
      <c r="I743" s="31">
        <f t="shared" si="19"/>
        <v>68.13752254264489</v>
      </c>
      <c r="J743" s="233"/>
    </row>
    <row r="744" spans="1:10" s="47" customFormat="1" ht="15">
      <c r="A744" s="27" t="s">
        <v>849</v>
      </c>
      <c r="B744" s="104"/>
      <c r="C744" s="67" t="s">
        <v>1</v>
      </c>
      <c r="D744" s="67" t="s">
        <v>713</v>
      </c>
      <c r="E744" s="67" t="s">
        <v>506</v>
      </c>
      <c r="F744" s="34" t="s">
        <v>850</v>
      </c>
      <c r="G744" s="31">
        <v>6044.1</v>
      </c>
      <c r="H744" s="31">
        <v>4118.3</v>
      </c>
      <c r="I744" s="31">
        <f t="shared" si="19"/>
        <v>68.13752254264489</v>
      </c>
      <c r="J744" s="233">
        <f>SUM('ведомствен.'!G546)</f>
        <v>6044.1</v>
      </c>
    </row>
    <row r="745" spans="1:10" s="47" customFormat="1" ht="57">
      <c r="A745" s="27" t="s">
        <v>507</v>
      </c>
      <c r="B745" s="28"/>
      <c r="C745" s="45" t="s">
        <v>1</v>
      </c>
      <c r="D745" s="45" t="s">
        <v>713</v>
      </c>
      <c r="E745" s="29" t="s">
        <v>508</v>
      </c>
      <c r="F745" s="30"/>
      <c r="G745" s="31">
        <f>SUM(G746)</f>
        <v>5628.5</v>
      </c>
      <c r="H745" s="31">
        <f>SUM(H746)</f>
        <v>5628.5</v>
      </c>
      <c r="I745" s="31">
        <f t="shared" si="19"/>
        <v>100</v>
      </c>
      <c r="J745" s="233"/>
    </row>
    <row r="746" spans="1:10" s="47" customFormat="1" ht="57">
      <c r="A746" s="46" t="s">
        <v>509</v>
      </c>
      <c r="B746" s="28"/>
      <c r="C746" s="45" t="s">
        <v>1</v>
      </c>
      <c r="D746" s="45" t="s">
        <v>713</v>
      </c>
      <c r="E746" s="29" t="s">
        <v>510</v>
      </c>
      <c r="F746" s="33"/>
      <c r="G746" s="31">
        <f>SUM(G747)</f>
        <v>5628.5</v>
      </c>
      <c r="H746" s="31">
        <f>SUM(H747)</f>
        <v>5628.5</v>
      </c>
      <c r="I746" s="31">
        <f t="shared" si="19"/>
        <v>100</v>
      </c>
      <c r="J746" s="233"/>
    </row>
    <row r="747" spans="1:10" s="47" customFormat="1" ht="15">
      <c r="A747" s="27" t="s">
        <v>849</v>
      </c>
      <c r="B747" s="113"/>
      <c r="C747" s="45" t="s">
        <v>1</v>
      </c>
      <c r="D747" s="45" t="s">
        <v>713</v>
      </c>
      <c r="E747" s="29" t="s">
        <v>510</v>
      </c>
      <c r="F747" s="125" t="s">
        <v>850</v>
      </c>
      <c r="G747" s="64">
        <v>5628.5</v>
      </c>
      <c r="H747" s="64">
        <v>5628.5</v>
      </c>
      <c r="I747" s="31">
        <f t="shared" si="19"/>
        <v>100</v>
      </c>
      <c r="J747" s="233">
        <f>SUM('ведомствен.'!G415)</f>
        <v>5628.5</v>
      </c>
    </row>
    <row r="748" spans="1:10" s="47" customFormat="1" ht="40.5" customHeight="1">
      <c r="A748" s="46" t="s">
        <v>511</v>
      </c>
      <c r="B748" s="28"/>
      <c r="C748" s="45" t="s">
        <v>1</v>
      </c>
      <c r="D748" s="45" t="s">
        <v>713</v>
      </c>
      <c r="E748" s="45" t="s">
        <v>512</v>
      </c>
      <c r="F748" s="33"/>
      <c r="G748" s="31">
        <f>SUM(G749)</f>
        <v>89.4</v>
      </c>
      <c r="H748" s="31">
        <f>SUM(H749)</f>
        <v>12.8</v>
      </c>
      <c r="I748" s="31">
        <f t="shared" si="19"/>
        <v>14.317673378076062</v>
      </c>
      <c r="J748" s="233"/>
    </row>
    <row r="749" spans="1:10" s="47" customFormat="1" ht="23.25" customHeight="1">
      <c r="A749" s="27" t="s">
        <v>849</v>
      </c>
      <c r="B749" s="28"/>
      <c r="C749" s="45" t="s">
        <v>1</v>
      </c>
      <c r="D749" s="45" t="s">
        <v>713</v>
      </c>
      <c r="E749" s="45" t="s">
        <v>512</v>
      </c>
      <c r="F749" s="33" t="s">
        <v>850</v>
      </c>
      <c r="G749" s="31">
        <v>89.4</v>
      </c>
      <c r="H749" s="31">
        <v>12.8</v>
      </c>
      <c r="I749" s="31">
        <f t="shared" si="19"/>
        <v>14.317673378076062</v>
      </c>
      <c r="J749" s="233">
        <f>SUM('ведомствен.'!G549)</f>
        <v>89.4</v>
      </c>
    </row>
    <row r="750" spans="1:10" s="47" customFormat="1" ht="28.5">
      <c r="A750" s="92" t="s">
        <v>513</v>
      </c>
      <c r="B750" s="28"/>
      <c r="C750" s="45" t="s">
        <v>1</v>
      </c>
      <c r="D750" s="45" t="s">
        <v>713</v>
      </c>
      <c r="E750" s="45" t="s">
        <v>514</v>
      </c>
      <c r="F750" s="33"/>
      <c r="G750" s="31">
        <f>SUM(G751)</f>
        <v>119472.20000000001</v>
      </c>
      <c r="H750" s="31">
        <f>SUM(H751)</f>
        <v>90050.4</v>
      </c>
      <c r="I750" s="31">
        <f t="shared" si="19"/>
        <v>75.37351785603678</v>
      </c>
      <c r="J750" s="233"/>
    </row>
    <row r="751" spans="1:10" s="47" customFormat="1" ht="15">
      <c r="A751" s="27" t="s">
        <v>849</v>
      </c>
      <c r="B751" s="44"/>
      <c r="C751" s="45" t="s">
        <v>1</v>
      </c>
      <c r="D751" s="45" t="s">
        <v>713</v>
      </c>
      <c r="E751" s="45" t="s">
        <v>514</v>
      </c>
      <c r="F751" s="33" t="s">
        <v>850</v>
      </c>
      <c r="G751" s="31">
        <f>91759.6+27712.6</f>
        <v>119472.20000000001</v>
      </c>
      <c r="H751" s="31">
        <v>90050.4</v>
      </c>
      <c r="I751" s="31">
        <f t="shared" si="19"/>
        <v>75.37351785603678</v>
      </c>
      <c r="J751" s="233">
        <f>SUM('ведомствен.'!G551)</f>
        <v>119472.20000000001</v>
      </c>
    </row>
    <row r="752" spans="1:10" s="47" customFormat="1" ht="42.75">
      <c r="A752" s="32" t="s">
        <v>515</v>
      </c>
      <c r="B752" s="28"/>
      <c r="C752" s="45" t="s">
        <v>1</v>
      </c>
      <c r="D752" s="45" t="s">
        <v>713</v>
      </c>
      <c r="E752" s="45" t="s">
        <v>516</v>
      </c>
      <c r="F752" s="33"/>
      <c r="G752" s="31">
        <f>SUM(G753)</f>
        <v>81084.6</v>
      </c>
      <c r="H752" s="31">
        <f>SUM(H753)</f>
        <v>56493.7</v>
      </c>
      <c r="I752" s="31">
        <f aca="true" t="shared" si="21" ref="I752:I815">SUM(H752/G752*100)</f>
        <v>69.67253954511706</v>
      </c>
      <c r="J752" s="233"/>
    </row>
    <row r="753" spans="1:10" s="47" customFormat="1" ht="15">
      <c r="A753" s="27" t="s">
        <v>849</v>
      </c>
      <c r="B753" s="28"/>
      <c r="C753" s="45" t="s">
        <v>1</v>
      </c>
      <c r="D753" s="45" t="s">
        <v>713</v>
      </c>
      <c r="E753" s="45" t="s">
        <v>516</v>
      </c>
      <c r="F753" s="33" t="s">
        <v>850</v>
      </c>
      <c r="G753" s="31">
        <f>51289.3+40346-10550.7</f>
        <v>81084.6</v>
      </c>
      <c r="H753" s="31">
        <v>56493.7</v>
      </c>
      <c r="I753" s="31">
        <f t="shared" si="21"/>
        <v>69.67253954511706</v>
      </c>
      <c r="J753" s="233">
        <f>SUM('ведомствен.'!G553)</f>
        <v>81084.6</v>
      </c>
    </row>
    <row r="754" spans="1:10" s="47" customFormat="1" ht="28.5">
      <c r="A754" s="27" t="s">
        <v>520</v>
      </c>
      <c r="B754" s="28"/>
      <c r="C754" s="45" t="s">
        <v>1</v>
      </c>
      <c r="D754" s="45" t="s">
        <v>713</v>
      </c>
      <c r="E754" s="45" t="s">
        <v>521</v>
      </c>
      <c r="F754" s="33"/>
      <c r="G754" s="31">
        <f>SUM(G755+G759+G761+G771+G773+G769+G777)</f>
        <v>249164.20000000004</v>
      </c>
      <c r="H754" s="31">
        <f>SUM(H755+H759+H761+H771+H773+H769+H777)</f>
        <v>182903.19999999998</v>
      </c>
      <c r="I754" s="31">
        <f t="shared" si="21"/>
        <v>73.40669325689643</v>
      </c>
      <c r="J754" s="233"/>
    </row>
    <row r="755" spans="1:10" s="47" customFormat="1" ht="28.5">
      <c r="A755" s="46" t="s">
        <v>522</v>
      </c>
      <c r="B755" s="28"/>
      <c r="C755" s="45" t="s">
        <v>1</v>
      </c>
      <c r="D755" s="45" t="s">
        <v>713</v>
      </c>
      <c r="E755" s="45" t="s">
        <v>523</v>
      </c>
      <c r="F755" s="33"/>
      <c r="G755" s="31">
        <f>SUM(G756)</f>
        <v>50153.1</v>
      </c>
      <c r="H755" s="31">
        <f>SUM(H756)</f>
        <v>37224.7</v>
      </c>
      <c r="I755" s="31">
        <f t="shared" si="21"/>
        <v>74.22213183232941</v>
      </c>
      <c r="J755" s="233"/>
    </row>
    <row r="756" spans="1:10" s="47" customFormat="1" ht="15">
      <c r="A756" s="27" t="s">
        <v>849</v>
      </c>
      <c r="B756" s="28"/>
      <c r="C756" s="45" t="s">
        <v>1</v>
      </c>
      <c r="D756" s="45" t="s">
        <v>713</v>
      </c>
      <c r="E756" s="45" t="s">
        <v>523</v>
      </c>
      <c r="F756" s="33" t="s">
        <v>850</v>
      </c>
      <c r="G756" s="31">
        <v>50153.1</v>
      </c>
      <c r="H756" s="31">
        <v>37224.7</v>
      </c>
      <c r="I756" s="31">
        <f t="shared" si="21"/>
        <v>74.22213183232941</v>
      </c>
      <c r="J756" s="233">
        <f>SUM('ведомствен.'!G556)</f>
        <v>50153.1</v>
      </c>
    </row>
    <row r="757" spans="1:10" s="47" customFormat="1" ht="57" customHeight="1" hidden="1">
      <c r="A757" s="27" t="s">
        <v>524</v>
      </c>
      <c r="B757" s="36"/>
      <c r="C757" s="45" t="s">
        <v>1</v>
      </c>
      <c r="D757" s="29" t="s">
        <v>713</v>
      </c>
      <c r="E757" s="45" t="s">
        <v>525</v>
      </c>
      <c r="F757" s="30"/>
      <c r="G757" s="31">
        <f>SUM(G758)</f>
        <v>0</v>
      </c>
      <c r="H757" s="31">
        <f>SUM(H758)</f>
        <v>0</v>
      </c>
      <c r="I757" s="31" t="e">
        <f t="shared" si="21"/>
        <v>#DIV/0!</v>
      </c>
      <c r="J757" s="233"/>
    </row>
    <row r="758" spans="1:10" s="47" customFormat="1" ht="15" customHeight="1" hidden="1">
      <c r="A758" s="27" t="s">
        <v>849</v>
      </c>
      <c r="B758" s="36"/>
      <c r="C758" s="45" t="s">
        <v>1</v>
      </c>
      <c r="D758" s="29" t="s">
        <v>713</v>
      </c>
      <c r="E758" s="45" t="s">
        <v>525</v>
      </c>
      <c r="F758" s="30" t="s">
        <v>850</v>
      </c>
      <c r="G758" s="31"/>
      <c r="H758" s="31"/>
      <c r="I758" s="31" t="e">
        <f t="shared" si="21"/>
        <v>#DIV/0!</v>
      </c>
      <c r="J758" s="233"/>
    </row>
    <row r="759" spans="1:10" s="47" customFormat="1" ht="72.75" customHeight="1">
      <c r="A759" s="136" t="s">
        <v>526</v>
      </c>
      <c r="B759" s="36"/>
      <c r="C759" s="45" t="s">
        <v>1</v>
      </c>
      <c r="D759" s="29" t="s">
        <v>713</v>
      </c>
      <c r="E759" s="45" t="s">
        <v>527</v>
      </c>
      <c r="F759" s="30"/>
      <c r="G759" s="31">
        <f>SUM(G760)</f>
        <v>39335.5</v>
      </c>
      <c r="H759" s="31">
        <f>SUM(H760)</f>
        <v>29554</v>
      </c>
      <c r="I759" s="31">
        <f t="shared" si="21"/>
        <v>75.13314944515767</v>
      </c>
      <c r="J759" s="233"/>
    </row>
    <row r="760" spans="1:10" s="47" customFormat="1" ht="15">
      <c r="A760" s="27" t="s">
        <v>849</v>
      </c>
      <c r="B760" s="36"/>
      <c r="C760" s="45" t="s">
        <v>1</v>
      </c>
      <c r="D760" s="29" t="s">
        <v>713</v>
      </c>
      <c r="E760" s="45" t="s">
        <v>527</v>
      </c>
      <c r="F760" s="30" t="s">
        <v>850</v>
      </c>
      <c r="G760" s="31">
        <f>45369.5-6034</f>
        <v>39335.5</v>
      </c>
      <c r="H760" s="31">
        <v>29554</v>
      </c>
      <c r="I760" s="31">
        <f t="shared" si="21"/>
        <v>75.13314944515767</v>
      </c>
      <c r="J760" s="233">
        <f>SUM('ведомствен.'!G560)</f>
        <v>39335.5</v>
      </c>
    </row>
    <row r="761" spans="1:10" s="47" customFormat="1" ht="90.75" customHeight="1">
      <c r="A761" s="136" t="s">
        <v>528</v>
      </c>
      <c r="B761" s="36"/>
      <c r="C761" s="45" t="s">
        <v>1</v>
      </c>
      <c r="D761" s="29" t="s">
        <v>713</v>
      </c>
      <c r="E761" s="45" t="s">
        <v>529</v>
      </c>
      <c r="F761" s="30"/>
      <c r="G761" s="31">
        <f>SUM(G762)</f>
        <v>42198.8</v>
      </c>
      <c r="H761" s="31">
        <f>SUM(H762)</f>
        <v>37911</v>
      </c>
      <c r="I761" s="31">
        <f t="shared" si="21"/>
        <v>89.83904755585466</v>
      </c>
      <c r="J761" s="233"/>
    </row>
    <row r="762" spans="1:10" s="47" customFormat="1" ht="15">
      <c r="A762" s="27" t="s">
        <v>849</v>
      </c>
      <c r="B762" s="36"/>
      <c r="C762" s="45" t="s">
        <v>1</v>
      </c>
      <c r="D762" s="29" t="s">
        <v>713</v>
      </c>
      <c r="E762" s="45" t="s">
        <v>529</v>
      </c>
      <c r="F762" s="30" t="s">
        <v>850</v>
      </c>
      <c r="G762" s="31">
        <f>109336-67137.2</f>
        <v>42198.8</v>
      </c>
      <c r="H762" s="31">
        <v>37911</v>
      </c>
      <c r="I762" s="31">
        <f t="shared" si="21"/>
        <v>89.83904755585466</v>
      </c>
      <c r="J762" s="233">
        <f>SUM('ведомствен.'!G562)</f>
        <v>42198.8</v>
      </c>
    </row>
    <row r="763" spans="1:10" s="47" customFormat="1" ht="71.25" customHeight="1" hidden="1">
      <c r="A763" s="27" t="s">
        <v>530</v>
      </c>
      <c r="B763" s="36"/>
      <c r="C763" s="45" t="s">
        <v>1</v>
      </c>
      <c r="D763" s="29" t="s">
        <v>713</v>
      </c>
      <c r="E763" s="45" t="s">
        <v>527</v>
      </c>
      <c r="F763" s="30"/>
      <c r="G763" s="31">
        <f>SUM(G764)</f>
        <v>0</v>
      </c>
      <c r="H763" s="31">
        <f>SUM(H764)</f>
        <v>0</v>
      </c>
      <c r="I763" s="31" t="e">
        <f t="shared" si="21"/>
        <v>#DIV/0!</v>
      </c>
      <c r="J763" s="233"/>
    </row>
    <row r="764" spans="1:10" s="47" customFormat="1" ht="15" customHeight="1" hidden="1">
      <c r="A764" s="27" t="s">
        <v>849</v>
      </c>
      <c r="B764" s="36"/>
      <c r="C764" s="45" t="s">
        <v>1</v>
      </c>
      <c r="D764" s="29" t="s">
        <v>713</v>
      </c>
      <c r="E764" s="45" t="s">
        <v>527</v>
      </c>
      <c r="F764" s="30" t="s">
        <v>850</v>
      </c>
      <c r="G764" s="31"/>
      <c r="H764" s="31"/>
      <c r="I764" s="31" t="e">
        <f t="shared" si="21"/>
        <v>#DIV/0!</v>
      </c>
      <c r="J764" s="233"/>
    </row>
    <row r="765" spans="1:10" s="47" customFormat="1" ht="85.5" customHeight="1" hidden="1">
      <c r="A765" s="27" t="s">
        <v>531</v>
      </c>
      <c r="B765" s="36"/>
      <c r="C765" s="45" t="s">
        <v>1</v>
      </c>
      <c r="D765" s="29" t="s">
        <v>713</v>
      </c>
      <c r="E765" s="45" t="s">
        <v>529</v>
      </c>
      <c r="F765" s="30"/>
      <c r="G765" s="31">
        <f>SUM(G766)</f>
        <v>0</v>
      </c>
      <c r="H765" s="31">
        <f>SUM(H766)</f>
        <v>0</v>
      </c>
      <c r="I765" s="31" t="e">
        <f t="shared" si="21"/>
        <v>#DIV/0!</v>
      </c>
      <c r="J765" s="233"/>
    </row>
    <row r="766" spans="1:10" s="47" customFormat="1" ht="15" customHeight="1" hidden="1">
      <c r="A766" s="27" t="s">
        <v>849</v>
      </c>
      <c r="B766" s="36"/>
      <c r="C766" s="45" t="s">
        <v>1</v>
      </c>
      <c r="D766" s="29" t="s">
        <v>713</v>
      </c>
      <c r="E766" s="45" t="s">
        <v>529</v>
      </c>
      <c r="F766" s="30" t="s">
        <v>850</v>
      </c>
      <c r="G766" s="31"/>
      <c r="H766" s="31"/>
      <c r="I766" s="31" t="e">
        <f t="shared" si="21"/>
        <v>#DIV/0!</v>
      </c>
      <c r="J766" s="233"/>
    </row>
    <row r="767" spans="1:10" s="47" customFormat="1" ht="57" customHeight="1" hidden="1">
      <c r="A767" s="46" t="s">
        <v>532</v>
      </c>
      <c r="B767" s="28"/>
      <c r="C767" s="45" t="s">
        <v>1</v>
      </c>
      <c r="D767" s="45" t="s">
        <v>713</v>
      </c>
      <c r="E767" s="45" t="s">
        <v>533</v>
      </c>
      <c r="F767" s="33"/>
      <c r="G767" s="31">
        <f>SUM(G768)</f>
        <v>0</v>
      </c>
      <c r="H767" s="31">
        <f>SUM(H768)</f>
        <v>0</v>
      </c>
      <c r="I767" s="31" t="e">
        <f t="shared" si="21"/>
        <v>#DIV/0!</v>
      </c>
      <c r="J767" s="233"/>
    </row>
    <row r="768" spans="1:10" s="47" customFormat="1" ht="15" customHeight="1" hidden="1">
      <c r="A768" s="27" t="s">
        <v>849</v>
      </c>
      <c r="B768" s="28"/>
      <c r="C768" s="45" t="s">
        <v>1</v>
      </c>
      <c r="D768" s="45" t="s">
        <v>713</v>
      </c>
      <c r="E768" s="45" t="s">
        <v>533</v>
      </c>
      <c r="F768" s="33" t="s">
        <v>850</v>
      </c>
      <c r="G768" s="31"/>
      <c r="H768" s="31"/>
      <c r="I768" s="31" t="e">
        <f t="shared" si="21"/>
        <v>#DIV/0!</v>
      </c>
      <c r="J768" s="233"/>
    </row>
    <row r="769" spans="1:9" ht="99.75">
      <c r="A769" s="27" t="s">
        <v>537</v>
      </c>
      <c r="B769" s="28"/>
      <c r="C769" s="45" t="s">
        <v>1</v>
      </c>
      <c r="D769" s="45" t="s">
        <v>713</v>
      </c>
      <c r="E769" s="45" t="s">
        <v>538</v>
      </c>
      <c r="F769" s="33"/>
      <c r="G769" s="31">
        <f>SUM(G770)</f>
        <v>106677.7</v>
      </c>
      <c r="H769" s="31">
        <f>SUM(H770)</f>
        <v>70381.4</v>
      </c>
      <c r="I769" s="31">
        <f t="shared" si="21"/>
        <v>65.9757381345867</v>
      </c>
    </row>
    <row r="770" spans="1:10" ht="15">
      <c r="A770" s="27" t="s">
        <v>849</v>
      </c>
      <c r="B770" s="28"/>
      <c r="C770" s="45" t="s">
        <v>1</v>
      </c>
      <c r="D770" s="45" t="s">
        <v>713</v>
      </c>
      <c r="E770" s="45" t="s">
        <v>538</v>
      </c>
      <c r="F770" s="33" t="s">
        <v>850</v>
      </c>
      <c r="G770" s="31">
        <f>79694.5+26983.2</f>
        <v>106677.7</v>
      </c>
      <c r="H770" s="31">
        <v>70381.4</v>
      </c>
      <c r="I770" s="31">
        <f t="shared" si="21"/>
        <v>65.9757381345867</v>
      </c>
      <c r="J770" s="233">
        <f>SUM('ведомствен.'!G570)</f>
        <v>106677.7</v>
      </c>
    </row>
    <row r="771" spans="1:10" s="47" customFormat="1" ht="85.5">
      <c r="A771" s="46" t="s">
        <v>539</v>
      </c>
      <c r="B771" s="28"/>
      <c r="C771" s="45" t="s">
        <v>1</v>
      </c>
      <c r="D771" s="45" t="s">
        <v>713</v>
      </c>
      <c r="E771" s="45" t="s">
        <v>540</v>
      </c>
      <c r="F771" s="33"/>
      <c r="G771" s="31">
        <f>SUM(G772)</f>
        <v>2332.6</v>
      </c>
      <c r="H771" s="31">
        <f>SUM(H772)</f>
        <v>1365.8</v>
      </c>
      <c r="I771" s="31">
        <f t="shared" si="21"/>
        <v>58.552687987653265</v>
      </c>
      <c r="J771" s="233"/>
    </row>
    <row r="772" spans="1:10" s="47" customFormat="1" ht="15">
      <c r="A772" s="27" t="s">
        <v>849</v>
      </c>
      <c r="B772" s="28"/>
      <c r="C772" s="45" t="s">
        <v>1</v>
      </c>
      <c r="D772" s="45" t="s">
        <v>713</v>
      </c>
      <c r="E772" s="45" t="s">
        <v>540</v>
      </c>
      <c r="F772" s="33" t="s">
        <v>850</v>
      </c>
      <c r="G772" s="31">
        <v>2332.6</v>
      </c>
      <c r="H772" s="31">
        <v>1365.8</v>
      </c>
      <c r="I772" s="31">
        <f t="shared" si="21"/>
        <v>58.552687987653265</v>
      </c>
      <c r="J772" s="233">
        <f>SUM('ведомствен.'!G572)</f>
        <v>2332.6</v>
      </c>
    </row>
    <row r="773" spans="1:10" s="47" customFormat="1" ht="121.5" customHeight="1">
      <c r="A773" s="46" t="s">
        <v>539</v>
      </c>
      <c r="B773" s="28"/>
      <c r="C773" s="45" t="s">
        <v>1</v>
      </c>
      <c r="D773" s="45" t="s">
        <v>713</v>
      </c>
      <c r="E773" s="45" t="s">
        <v>541</v>
      </c>
      <c r="F773" s="33"/>
      <c r="G773" s="31">
        <f>SUM(G774)</f>
        <v>1503.5999999999995</v>
      </c>
      <c r="H773" s="31">
        <f>SUM(H774)</f>
        <v>1324.9</v>
      </c>
      <c r="I773" s="31">
        <f t="shared" si="21"/>
        <v>88.11519021016233</v>
      </c>
      <c r="J773" s="233"/>
    </row>
    <row r="774" spans="1:10" s="47" customFormat="1" ht="14.25" customHeight="1">
      <c r="A774" s="27" t="s">
        <v>849</v>
      </c>
      <c r="B774" s="28"/>
      <c r="C774" s="45" t="s">
        <v>1</v>
      </c>
      <c r="D774" s="45" t="s">
        <v>713</v>
      </c>
      <c r="E774" s="45" t="s">
        <v>541</v>
      </c>
      <c r="F774" s="33" t="s">
        <v>850</v>
      </c>
      <c r="G774" s="31">
        <f>6058.9-4555.3</f>
        <v>1503.5999999999995</v>
      </c>
      <c r="H774" s="31">
        <v>1324.9</v>
      </c>
      <c r="I774" s="31">
        <f t="shared" si="21"/>
        <v>88.11519021016233</v>
      </c>
      <c r="J774" s="233">
        <f>SUM('ведомствен.'!G574)</f>
        <v>1503.5999999999995</v>
      </c>
    </row>
    <row r="775" spans="1:10" s="47" customFormat="1" ht="28.5" customHeight="1" hidden="1">
      <c r="A775" s="43" t="s">
        <v>505</v>
      </c>
      <c r="B775" s="44"/>
      <c r="C775" s="45" t="s">
        <v>1</v>
      </c>
      <c r="D775" s="45" t="s">
        <v>713</v>
      </c>
      <c r="E775" s="45" t="s">
        <v>542</v>
      </c>
      <c r="F775" s="33"/>
      <c r="G775" s="31">
        <f>SUM(G776)</f>
        <v>0</v>
      </c>
      <c r="H775" s="31">
        <f>SUM(H776)</f>
        <v>0</v>
      </c>
      <c r="I775" s="31" t="e">
        <f t="shared" si="21"/>
        <v>#DIV/0!</v>
      </c>
      <c r="J775" s="233"/>
    </row>
    <row r="776" spans="1:10" s="47" customFormat="1" ht="15" customHeight="1" hidden="1">
      <c r="A776" s="43" t="s">
        <v>849</v>
      </c>
      <c r="B776" s="44"/>
      <c r="C776" s="45" t="s">
        <v>1</v>
      </c>
      <c r="D776" s="45" t="s">
        <v>713</v>
      </c>
      <c r="E776" s="45" t="s">
        <v>542</v>
      </c>
      <c r="F776" s="33" t="s">
        <v>850</v>
      </c>
      <c r="G776" s="31"/>
      <c r="H776" s="31"/>
      <c r="I776" s="31" t="e">
        <f t="shared" si="21"/>
        <v>#DIV/0!</v>
      </c>
      <c r="J776" s="233"/>
    </row>
    <row r="777" spans="1:9" ht="130.5" customHeight="1">
      <c r="A777" s="43" t="s">
        <v>543</v>
      </c>
      <c r="B777" s="44"/>
      <c r="C777" s="45" t="s">
        <v>1</v>
      </c>
      <c r="D777" s="45" t="s">
        <v>713</v>
      </c>
      <c r="E777" s="45" t="s">
        <v>544</v>
      </c>
      <c r="F777" s="33"/>
      <c r="G777" s="31">
        <f>SUM(G778)</f>
        <v>6962.9</v>
      </c>
      <c r="H777" s="31">
        <f>SUM(H778)</f>
        <v>5141.4</v>
      </c>
      <c r="I777" s="31">
        <f t="shared" si="21"/>
        <v>73.8399230205805</v>
      </c>
    </row>
    <row r="778" spans="1:10" ht="18" customHeight="1">
      <c r="A778" s="27" t="s">
        <v>849</v>
      </c>
      <c r="B778" s="44"/>
      <c r="C778" s="45" t="s">
        <v>1</v>
      </c>
      <c r="D778" s="45" t="s">
        <v>713</v>
      </c>
      <c r="E778" s="45" t="s">
        <v>544</v>
      </c>
      <c r="F778" s="33" t="s">
        <v>850</v>
      </c>
      <c r="G778" s="31">
        <v>6962.9</v>
      </c>
      <c r="H778" s="31">
        <v>5141.4</v>
      </c>
      <c r="I778" s="31">
        <f t="shared" si="21"/>
        <v>73.8399230205805</v>
      </c>
      <c r="J778" s="233">
        <f>SUM('ведомствен.'!G578)</f>
        <v>6962.9</v>
      </c>
    </row>
    <row r="779" spans="1:9" ht="18" customHeight="1">
      <c r="A779" s="27" t="s">
        <v>545</v>
      </c>
      <c r="B779" s="28"/>
      <c r="C779" s="45" t="s">
        <v>1</v>
      </c>
      <c r="D779" s="45" t="s">
        <v>713</v>
      </c>
      <c r="E779" s="45" t="s">
        <v>546</v>
      </c>
      <c r="F779" s="33"/>
      <c r="G779" s="31">
        <f>SUM(G780)</f>
        <v>3335.6</v>
      </c>
      <c r="H779" s="31">
        <f>SUM(H780)</f>
        <v>2256.4</v>
      </c>
      <c r="I779" s="31">
        <f t="shared" si="21"/>
        <v>67.64600071951074</v>
      </c>
    </row>
    <row r="780" spans="1:10" ht="18" customHeight="1">
      <c r="A780" s="27" t="s">
        <v>849</v>
      </c>
      <c r="B780" s="28"/>
      <c r="C780" s="45" t="s">
        <v>1</v>
      </c>
      <c r="D780" s="45" t="s">
        <v>713</v>
      </c>
      <c r="E780" s="45" t="s">
        <v>546</v>
      </c>
      <c r="F780" s="33" t="s">
        <v>850</v>
      </c>
      <c r="G780" s="31">
        <f>3155.5+180.1</f>
        <v>3335.6</v>
      </c>
      <c r="H780" s="31">
        <v>2256.4</v>
      </c>
      <c r="I780" s="31">
        <f t="shared" si="21"/>
        <v>67.64600071951074</v>
      </c>
      <c r="J780" s="233">
        <f>SUM('ведомствен.'!G898)</f>
        <v>3335.6</v>
      </c>
    </row>
    <row r="781" spans="1:9" ht="30.75" customHeight="1">
      <c r="A781" s="27" t="s">
        <v>547</v>
      </c>
      <c r="B781" s="28"/>
      <c r="C781" s="45" t="s">
        <v>1</v>
      </c>
      <c r="D781" s="29" t="s">
        <v>713</v>
      </c>
      <c r="E781" s="29" t="s">
        <v>548</v>
      </c>
      <c r="F781" s="33"/>
      <c r="G781" s="31">
        <f>SUM(G782)</f>
        <v>1544.5</v>
      </c>
      <c r="H781" s="31">
        <f>SUM(H782)</f>
        <v>927.6</v>
      </c>
      <c r="I781" s="31">
        <f t="shared" si="21"/>
        <v>60.058271285205564</v>
      </c>
    </row>
    <row r="782" spans="1:9" ht="15">
      <c r="A782" s="43" t="s">
        <v>549</v>
      </c>
      <c r="B782" s="28"/>
      <c r="C782" s="45" t="s">
        <v>1</v>
      </c>
      <c r="D782" s="29" t="s">
        <v>713</v>
      </c>
      <c r="E782" s="29" t="s">
        <v>550</v>
      </c>
      <c r="F782" s="33"/>
      <c r="G782" s="31">
        <f>SUM(G783:G783)</f>
        <v>1544.5</v>
      </c>
      <c r="H782" s="31">
        <f>SUM(H783:H783)</f>
        <v>927.6</v>
      </c>
      <c r="I782" s="31">
        <f t="shared" si="21"/>
        <v>60.058271285205564</v>
      </c>
    </row>
    <row r="783" spans="1:10" ht="14.25" customHeight="1">
      <c r="A783" s="27" t="s">
        <v>849</v>
      </c>
      <c r="B783" s="28"/>
      <c r="C783" s="45" t="s">
        <v>1</v>
      </c>
      <c r="D783" s="29" t="s">
        <v>713</v>
      </c>
      <c r="E783" s="29" t="s">
        <v>550</v>
      </c>
      <c r="F783" s="33" t="s">
        <v>850</v>
      </c>
      <c r="G783" s="31">
        <f>5288.5-3744</f>
        <v>1544.5</v>
      </c>
      <c r="H783" s="31">
        <v>927.6</v>
      </c>
      <c r="I783" s="31">
        <f t="shared" si="21"/>
        <v>60.058271285205564</v>
      </c>
      <c r="J783" s="233">
        <f>SUM('ведомствен.'!G580)</f>
        <v>1544.5</v>
      </c>
    </row>
    <row r="784" spans="1:10" s="106" customFormat="1" ht="15.75">
      <c r="A784" s="32" t="s">
        <v>881</v>
      </c>
      <c r="B784" s="66"/>
      <c r="C784" s="45" t="s">
        <v>1</v>
      </c>
      <c r="D784" s="45" t="s">
        <v>713</v>
      </c>
      <c r="E784" s="45" t="s">
        <v>882</v>
      </c>
      <c r="F784" s="125"/>
      <c r="G784" s="64">
        <f>SUM(G785)</f>
        <v>5197.7</v>
      </c>
      <c r="H784" s="64">
        <f>SUM(H785)</f>
        <v>1957.2</v>
      </c>
      <c r="I784" s="31">
        <f t="shared" si="21"/>
        <v>37.655116686226606</v>
      </c>
      <c r="J784" s="236"/>
    </row>
    <row r="785" spans="1:10" s="106" customFormat="1" ht="57">
      <c r="A785" s="27" t="s">
        <v>551</v>
      </c>
      <c r="B785" s="113"/>
      <c r="C785" s="45" t="s">
        <v>1</v>
      </c>
      <c r="D785" s="45" t="s">
        <v>713</v>
      </c>
      <c r="E785" s="45" t="s">
        <v>54</v>
      </c>
      <c r="F785" s="125"/>
      <c r="G785" s="64">
        <f>SUM(G786)+G789</f>
        <v>5197.7</v>
      </c>
      <c r="H785" s="64">
        <f>SUM(H786)+H789</f>
        <v>1957.2</v>
      </c>
      <c r="I785" s="31">
        <f t="shared" si="21"/>
        <v>37.655116686226606</v>
      </c>
      <c r="J785" s="236"/>
    </row>
    <row r="786" spans="1:10" s="106" customFormat="1" ht="27.75" customHeight="1">
      <c r="A786" s="27" t="s">
        <v>552</v>
      </c>
      <c r="B786" s="113"/>
      <c r="C786" s="45" t="s">
        <v>1</v>
      </c>
      <c r="D786" s="45" t="s">
        <v>713</v>
      </c>
      <c r="E786" s="45" t="s">
        <v>553</v>
      </c>
      <c r="F786" s="125"/>
      <c r="G786" s="64">
        <f>SUM(G787:G788)</f>
        <v>3240.5</v>
      </c>
      <c r="H786" s="64">
        <f>SUM(H787:H788)</f>
        <v>0</v>
      </c>
      <c r="I786" s="31">
        <f t="shared" si="21"/>
        <v>0</v>
      </c>
      <c r="J786" s="236"/>
    </row>
    <row r="787" spans="1:10" s="106" customFormat="1" ht="28.5" customHeight="1" hidden="1">
      <c r="A787" s="38" t="s">
        <v>710</v>
      </c>
      <c r="B787" s="113"/>
      <c r="C787" s="45" t="s">
        <v>1</v>
      </c>
      <c r="D787" s="45" t="s">
        <v>713</v>
      </c>
      <c r="E787" s="45" t="s">
        <v>553</v>
      </c>
      <c r="F787" s="125" t="s">
        <v>711</v>
      </c>
      <c r="G787" s="64"/>
      <c r="H787" s="64"/>
      <c r="I787" s="31" t="e">
        <f t="shared" si="21"/>
        <v>#DIV/0!</v>
      </c>
      <c r="J787" s="236"/>
    </row>
    <row r="788" spans="1:10" s="106" customFormat="1" ht="25.5" customHeight="1">
      <c r="A788" s="27" t="s">
        <v>554</v>
      </c>
      <c r="B788" s="113"/>
      <c r="C788" s="45" t="s">
        <v>1</v>
      </c>
      <c r="D788" s="45" t="s">
        <v>713</v>
      </c>
      <c r="E788" s="45" t="s">
        <v>553</v>
      </c>
      <c r="F788" s="125" t="s">
        <v>556</v>
      </c>
      <c r="G788" s="64">
        <v>3240.5</v>
      </c>
      <c r="H788" s="64"/>
      <c r="I788" s="31">
        <f t="shared" si="21"/>
        <v>0</v>
      </c>
      <c r="J788" s="236">
        <f>SUM('ведомствен.'!G422+'ведомствен.'!G674)</f>
        <v>3240.5</v>
      </c>
    </row>
    <row r="789" spans="1:10" s="106" customFormat="1" ht="42.75">
      <c r="A789" s="27" t="s">
        <v>557</v>
      </c>
      <c r="B789" s="113"/>
      <c r="C789" s="45" t="s">
        <v>1</v>
      </c>
      <c r="D789" s="45" t="s">
        <v>713</v>
      </c>
      <c r="E789" s="45" t="s">
        <v>555</v>
      </c>
      <c r="F789" s="125"/>
      <c r="G789" s="64">
        <f>SUM(G790)</f>
        <v>1957.2</v>
      </c>
      <c r="H789" s="64">
        <f>SUM(H790)</f>
        <v>1957.2</v>
      </c>
      <c r="I789" s="31">
        <f t="shared" si="21"/>
        <v>100</v>
      </c>
      <c r="J789" s="236"/>
    </row>
    <row r="790" spans="1:10" s="106" customFormat="1" ht="15">
      <c r="A790" s="27" t="s">
        <v>554</v>
      </c>
      <c r="B790" s="113"/>
      <c r="C790" s="45" t="s">
        <v>1</v>
      </c>
      <c r="D790" s="45" t="s">
        <v>713</v>
      </c>
      <c r="E790" s="45" t="s">
        <v>555</v>
      </c>
      <c r="F790" s="125" t="s">
        <v>556</v>
      </c>
      <c r="G790" s="64">
        <v>1957.2</v>
      </c>
      <c r="H790" s="64">
        <v>1957.2</v>
      </c>
      <c r="I790" s="31">
        <f t="shared" si="21"/>
        <v>100</v>
      </c>
      <c r="J790" s="243">
        <f>SUM('ведомствен.'!G424)</f>
        <v>1957.2</v>
      </c>
    </row>
    <row r="791" spans="1:9" ht="18" customHeight="1">
      <c r="A791" s="103" t="s">
        <v>767</v>
      </c>
      <c r="B791" s="28"/>
      <c r="C791" s="45" t="s">
        <v>1</v>
      </c>
      <c r="D791" s="45" t="s">
        <v>713</v>
      </c>
      <c r="E791" s="45" t="s">
        <v>768</v>
      </c>
      <c r="F791" s="33"/>
      <c r="G791" s="31">
        <f>SUM(G794+G792)</f>
        <v>7489.2</v>
      </c>
      <c r="H791" s="31">
        <f>SUM(H794+H792)</f>
        <v>4297.7</v>
      </c>
      <c r="I791" s="31">
        <f t="shared" si="21"/>
        <v>57.38530150082786</v>
      </c>
    </row>
    <row r="792" spans="1:9" ht="62.25" customHeight="1">
      <c r="A792" s="103" t="s">
        <v>558</v>
      </c>
      <c r="B792" s="28"/>
      <c r="C792" s="45" t="s">
        <v>1</v>
      </c>
      <c r="D792" s="45" t="s">
        <v>713</v>
      </c>
      <c r="E792" s="45" t="s">
        <v>559</v>
      </c>
      <c r="F792" s="33"/>
      <c r="G792" s="31">
        <f>SUM(G793)</f>
        <v>4460</v>
      </c>
      <c r="H792" s="31">
        <f>SUM(H793)</f>
        <v>3319.1</v>
      </c>
      <c r="I792" s="31">
        <f t="shared" si="21"/>
        <v>74.41928251121077</v>
      </c>
    </row>
    <row r="793" spans="1:10" ht="19.5" customHeight="1">
      <c r="A793" s="32" t="s">
        <v>549</v>
      </c>
      <c r="B793" s="66"/>
      <c r="C793" s="45" t="s">
        <v>1</v>
      </c>
      <c r="D793" s="45" t="s">
        <v>713</v>
      </c>
      <c r="E793" s="45" t="s">
        <v>559</v>
      </c>
      <c r="F793" s="34" t="s">
        <v>560</v>
      </c>
      <c r="G793" s="31">
        <v>4460</v>
      </c>
      <c r="H793" s="31">
        <v>3319.1</v>
      </c>
      <c r="I793" s="31">
        <f t="shared" si="21"/>
        <v>74.41928251121077</v>
      </c>
      <c r="J793" s="228">
        <f>SUM('ведомствен.'!G584)</f>
        <v>4460</v>
      </c>
    </row>
    <row r="794" spans="1:9" ht="17.25" customHeight="1">
      <c r="A794" s="38" t="s">
        <v>710</v>
      </c>
      <c r="B794" s="28"/>
      <c r="C794" s="45" t="s">
        <v>1</v>
      </c>
      <c r="D794" s="45" t="s">
        <v>713</v>
      </c>
      <c r="E794" s="45" t="s">
        <v>768</v>
      </c>
      <c r="F794" s="33" t="s">
        <v>711</v>
      </c>
      <c r="G794" s="31">
        <f>SUM(G795:G795)</f>
        <v>3029.2</v>
      </c>
      <c r="H794" s="31">
        <f>SUM(H795:H795)</f>
        <v>978.6</v>
      </c>
      <c r="I794" s="31">
        <f t="shared" si="21"/>
        <v>32.30555922355738</v>
      </c>
    </row>
    <row r="795" spans="1:9" ht="30" customHeight="1">
      <c r="A795" s="38" t="s">
        <v>100</v>
      </c>
      <c r="B795" s="28"/>
      <c r="C795" s="45" t="s">
        <v>1</v>
      </c>
      <c r="D795" s="45" t="s">
        <v>713</v>
      </c>
      <c r="E795" s="40" t="s">
        <v>101</v>
      </c>
      <c r="F795" s="30" t="s">
        <v>711</v>
      </c>
      <c r="G795" s="31">
        <f>SUM(G796:G797)</f>
        <v>3029.2</v>
      </c>
      <c r="H795" s="31">
        <f>SUM(H796:H797)</f>
        <v>978.6</v>
      </c>
      <c r="I795" s="31">
        <f t="shared" si="21"/>
        <v>32.30555922355738</v>
      </c>
    </row>
    <row r="796" spans="1:10" s="85" customFormat="1" ht="27.75" customHeight="1">
      <c r="A796" s="27" t="s">
        <v>552</v>
      </c>
      <c r="B796" s="44"/>
      <c r="C796" s="45" t="s">
        <v>1</v>
      </c>
      <c r="D796" s="45" t="s">
        <v>713</v>
      </c>
      <c r="E796" s="40" t="s">
        <v>561</v>
      </c>
      <c r="F796" s="30" t="s">
        <v>711</v>
      </c>
      <c r="G796" s="64">
        <v>2050.6</v>
      </c>
      <c r="H796" s="64"/>
      <c r="I796" s="31">
        <f t="shared" si="21"/>
        <v>0</v>
      </c>
      <c r="J796" s="238">
        <f>SUM('ведомствен.'!G430+'ведомствен.'!G680)</f>
        <v>2050.6</v>
      </c>
    </row>
    <row r="797" spans="1:10" s="85" customFormat="1" ht="45" customHeight="1">
      <c r="A797" s="27" t="s">
        <v>562</v>
      </c>
      <c r="B797" s="44"/>
      <c r="C797" s="45" t="s">
        <v>1</v>
      </c>
      <c r="D797" s="45" t="s">
        <v>713</v>
      </c>
      <c r="E797" s="40" t="s">
        <v>563</v>
      </c>
      <c r="F797" s="30" t="s">
        <v>711</v>
      </c>
      <c r="G797" s="64">
        <f>1059.3-80.7</f>
        <v>978.5999999999999</v>
      </c>
      <c r="H797" s="64">
        <v>978.6</v>
      </c>
      <c r="I797" s="31">
        <f t="shared" si="21"/>
        <v>100.00000000000003</v>
      </c>
      <c r="J797" s="238">
        <f>SUM('ведомствен.'!G431+'ведомствен.'!G681)</f>
        <v>978.5999999999999</v>
      </c>
    </row>
    <row r="798" spans="1:9" ht="18.75" customHeight="1">
      <c r="A798" s="46" t="s">
        <v>564</v>
      </c>
      <c r="B798" s="28"/>
      <c r="C798" s="40" t="s">
        <v>1</v>
      </c>
      <c r="D798" s="105" t="s">
        <v>737</v>
      </c>
      <c r="E798" s="105"/>
      <c r="F798" s="59"/>
      <c r="G798" s="64">
        <f>SUM(G799+G802)</f>
        <v>41598.7</v>
      </c>
      <c r="H798" s="64">
        <f>SUM(H799+H802)</f>
        <v>28575.699999999997</v>
      </c>
      <c r="I798" s="31">
        <f t="shared" si="21"/>
        <v>68.69373321762458</v>
      </c>
    </row>
    <row r="799" spans="1:9" ht="15" customHeight="1" hidden="1">
      <c r="A799" s="46" t="s">
        <v>464</v>
      </c>
      <c r="B799" s="28"/>
      <c r="C799" s="40" t="s">
        <v>1</v>
      </c>
      <c r="D799" s="105" t="s">
        <v>737</v>
      </c>
      <c r="E799" s="105" t="s">
        <v>465</v>
      </c>
      <c r="F799" s="59"/>
      <c r="G799" s="31">
        <f>SUM(G800)</f>
        <v>0</v>
      </c>
      <c r="H799" s="31">
        <f>SUM(H800)</f>
        <v>0</v>
      </c>
      <c r="I799" s="31" t="e">
        <f t="shared" si="21"/>
        <v>#DIV/0!</v>
      </c>
    </row>
    <row r="800" spans="1:9" ht="42.75" customHeight="1" hidden="1">
      <c r="A800" s="103" t="s">
        <v>565</v>
      </c>
      <c r="B800" s="28"/>
      <c r="C800" s="40" t="s">
        <v>1</v>
      </c>
      <c r="D800" s="105" t="s">
        <v>737</v>
      </c>
      <c r="E800" s="105" t="s">
        <v>566</v>
      </c>
      <c r="F800" s="59"/>
      <c r="G800" s="31">
        <f>SUM(G801)</f>
        <v>0</v>
      </c>
      <c r="H800" s="31">
        <f>SUM(H801)</f>
        <v>0</v>
      </c>
      <c r="I800" s="31" t="e">
        <f t="shared" si="21"/>
        <v>#DIV/0!</v>
      </c>
    </row>
    <row r="801" spans="1:9" ht="15" customHeight="1" hidden="1">
      <c r="A801" s="103" t="s">
        <v>849</v>
      </c>
      <c r="B801" s="28"/>
      <c r="C801" s="40" t="s">
        <v>1</v>
      </c>
      <c r="D801" s="105" t="s">
        <v>737</v>
      </c>
      <c r="E801" s="105" t="s">
        <v>566</v>
      </c>
      <c r="F801" s="33" t="s">
        <v>850</v>
      </c>
      <c r="G801" s="31"/>
      <c r="H801" s="31"/>
      <c r="I801" s="31" t="e">
        <f t="shared" si="21"/>
        <v>#DIV/0!</v>
      </c>
    </row>
    <row r="802" spans="1:9" ht="21" customHeight="1">
      <c r="A802" s="103" t="s">
        <v>567</v>
      </c>
      <c r="B802" s="28"/>
      <c r="C802" s="40" t="s">
        <v>1</v>
      </c>
      <c r="D802" s="105" t="s">
        <v>737</v>
      </c>
      <c r="E802" s="105" t="s">
        <v>298</v>
      </c>
      <c r="F802" s="33"/>
      <c r="G802" s="31">
        <f>SUM(G806+G803)</f>
        <v>41598.7</v>
      </c>
      <c r="H802" s="31">
        <f>SUM(H806+H803)</f>
        <v>28575.699999999997</v>
      </c>
      <c r="I802" s="31">
        <f t="shared" si="21"/>
        <v>68.69373321762458</v>
      </c>
    </row>
    <row r="803" spans="1:9" ht="55.5" customHeight="1">
      <c r="A803" s="80" t="s">
        <v>568</v>
      </c>
      <c r="B803" s="28"/>
      <c r="C803" s="40" t="s">
        <v>1</v>
      </c>
      <c r="D803" s="105" t="s">
        <v>737</v>
      </c>
      <c r="E803" s="45" t="s">
        <v>569</v>
      </c>
      <c r="F803" s="34"/>
      <c r="G803" s="64">
        <f>SUM(G805)</f>
        <v>17383.6</v>
      </c>
      <c r="H803" s="64">
        <f>SUM(H805)</f>
        <v>11370.3</v>
      </c>
      <c r="I803" s="31">
        <f t="shared" si="21"/>
        <v>65.40820083296902</v>
      </c>
    </row>
    <row r="804" spans="1:9" ht="73.5" customHeight="1">
      <c r="A804" s="80" t="s">
        <v>570</v>
      </c>
      <c r="B804" s="28"/>
      <c r="C804" s="40" t="s">
        <v>1</v>
      </c>
      <c r="D804" s="105" t="s">
        <v>737</v>
      </c>
      <c r="E804" s="45" t="s">
        <v>571</v>
      </c>
      <c r="F804" s="34"/>
      <c r="G804" s="64">
        <f>SUM(G805)</f>
        <v>17383.6</v>
      </c>
      <c r="H804" s="64">
        <f>SUM(H805)</f>
        <v>11370.3</v>
      </c>
      <c r="I804" s="31">
        <f t="shared" si="21"/>
        <v>65.40820083296902</v>
      </c>
    </row>
    <row r="805" spans="1:10" ht="21" customHeight="1">
      <c r="A805" s="80" t="s">
        <v>849</v>
      </c>
      <c r="B805" s="28"/>
      <c r="C805" s="40" t="s">
        <v>1</v>
      </c>
      <c r="D805" s="105" t="s">
        <v>737</v>
      </c>
      <c r="E805" s="45" t="s">
        <v>571</v>
      </c>
      <c r="F805" s="34" t="s">
        <v>850</v>
      </c>
      <c r="G805" s="64">
        <v>17383.6</v>
      </c>
      <c r="H805" s="64">
        <v>11370.3</v>
      </c>
      <c r="I805" s="31">
        <f t="shared" si="21"/>
        <v>65.40820083296902</v>
      </c>
      <c r="J805" s="228">
        <f>SUM('ведомствен.'!G903)</f>
        <v>17383.6</v>
      </c>
    </row>
    <row r="806" spans="1:9" ht="28.5">
      <c r="A806" s="103" t="s">
        <v>572</v>
      </c>
      <c r="B806" s="28"/>
      <c r="C806" s="40" t="s">
        <v>1</v>
      </c>
      <c r="D806" s="105" t="s">
        <v>737</v>
      </c>
      <c r="E806" s="105" t="s">
        <v>573</v>
      </c>
      <c r="F806" s="59"/>
      <c r="G806" s="31">
        <f>SUM(G807)</f>
        <v>24215.100000000002</v>
      </c>
      <c r="H806" s="31">
        <f>SUM(H807)</f>
        <v>17205.399999999998</v>
      </c>
      <c r="I806" s="31">
        <f t="shared" si="21"/>
        <v>71.05235989114229</v>
      </c>
    </row>
    <row r="807" spans="1:9" ht="70.5" customHeight="1">
      <c r="A807" s="43" t="s">
        <v>574</v>
      </c>
      <c r="B807" s="28"/>
      <c r="C807" s="40" t="s">
        <v>1</v>
      </c>
      <c r="D807" s="40" t="s">
        <v>737</v>
      </c>
      <c r="E807" s="105" t="s">
        <v>573</v>
      </c>
      <c r="F807" s="125"/>
      <c r="G807" s="31">
        <f>SUM(G812+G814+G808+G810)</f>
        <v>24215.100000000002</v>
      </c>
      <c r="H807" s="31">
        <f>SUM(H812+H814+H808+H810)</f>
        <v>17205.399999999998</v>
      </c>
      <c r="I807" s="31">
        <f t="shared" si="21"/>
        <v>71.05235989114229</v>
      </c>
    </row>
    <row r="808" spans="1:9" ht="26.25" customHeight="1">
      <c r="A808" s="43" t="s">
        <v>575</v>
      </c>
      <c r="B808" s="28"/>
      <c r="C808" s="40" t="s">
        <v>1</v>
      </c>
      <c r="D808" s="40" t="s">
        <v>737</v>
      </c>
      <c r="E808" s="105" t="s">
        <v>576</v>
      </c>
      <c r="F808" s="125"/>
      <c r="G808" s="31">
        <f>SUM(G809)</f>
        <v>518</v>
      </c>
      <c r="H808" s="31">
        <f>SUM(H809)</f>
        <v>241.8</v>
      </c>
      <c r="I808" s="31">
        <f t="shared" si="21"/>
        <v>46.67953667953668</v>
      </c>
    </row>
    <row r="809" spans="1:10" ht="30" customHeight="1">
      <c r="A809" s="43" t="s">
        <v>577</v>
      </c>
      <c r="B809" s="28"/>
      <c r="C809" s="40" t="s">
        <v>1</v>
      </c>
      <c r="D809" s="40" t="s">
        <v>737</v>
      </c>
      <c r="E809" s="105" t="s">
        <v>576</v>
      </c>
      <c r="F809" s="125" t="s">
        <v>578</v>
      </c>
      <c r="G809" s="31">
        <v>518</v>
      </c>
      <c r="H809" s="31">
        <v>241.8</v>
      </c>
      <c r="I809" s="31">
        <f t="shared" si="21"/>
        <v>46.67953667953668</v>
      </c>
      <c r="J809" s="228">
        <f>SUM('ведомствен.'!G592)</f>
        <v>518</v>
      </c>
    </row>
    <row r="810" spans="1:9" ht="26.25" customHeight="1">
      <c r="A810" s="43" t="s">
        <v>579</v>
      </c>
      <c r="B810" s="28"/>
      <c r="C810" s="40" t="s">
        <v>1</v>
      </c>
      <c r="D810" s="40" t="s">
        <v>737</v>
      </c>
      <c r="E810" s="105" t="s">
        <v>580</v>
      </c>
      <c r="F810" s="125"/>
      <c r="G810" s="31">
        <f>SUM(G811)</f>
        <v>692.6999999999999</v>
      </c>
      <c r="H810" s="31">
        <f>SUM(H811)</f>
        <v>252</v>
      </c>
      <c r="I810" s="31">
        <f t="shared" si="21"/>
        <v>36.379385015158086</v>
      </c>
    </row>
    <row r="811" spans="1:10" ht="36.75" customHeight="1">
      <c r="A811" s="43" t="s">
        <v>577</v>
      </c>
      <c r="B811" s="28"/>
      <c r="C811" s="40" t="s">
        <v>1</v>
      </c>
      <c r="D811" s="40" t="s">
        <v>737</v>
      </c>
      <c r="E811" s="105" t="s">
        <v>580</v>
      </c>
      <c r="F811" s="125" t="s">
        <v>578</v>
      </c>
      <c r="G811" s="31">
        <f>670.4+22.3</f>
        <v>692.6999999999999</v>
      </c>
      <c r="H811" s="31">
        <v>252</v>
      </c>
      <c r="I811" s="31">
        <f t="shared" si="21"/>
        <v>36.379385015158086</v>
      </c>
      <c r="J811" s="228">
        <f>SUM('ведомствен.'!G594)</f>
        <v>692.6999999999999</v>
      </c>
    </row>
    <row r="812" spans="1:9" ht="32.25" customHeight="1" hidden="1">
      <c r="A812" s="43" t="s">
        <v>581</v>
      </c>
      <c r="B812" s="28"/>
      <c r="C812" s="40" t="s">
        <v>1</v>
      </c>
      <c r="D812" s="40" t="s">
        <v>737</v>
      </c>
      <c r="E812" s="105" t="s">
        <v>582</v>
      </c>
      <c r="F812" s="125"/>
      <c r="G812" s="31">
        <f>SUM(G813)</f>
        <v>0</v>
      </c>
      <c r="H812" s="31">
        <f>SUM(H813)</f>
        <v>0</v>
      </c>
      <c r="I812" s="31" t="e">
        <f t="shared" si="21"/>
        <v>#DIV/0!</v>
      </c>
    </row>
    <row r="813" spans="1:9" ht="28.5" customHeight="1" hidden="1">
      <c r="A813" s="43" t="s">
        <v>577</v>
      </c>
      <c r="B813" s="28"/>
      <c r="C813" s="40" t="s">
        <v>1</v>
      </c>
      <c r="D813" s="40" t="s">
        <v>737</v>
      </c>
      <c r="E813" s="105" t="s">
        <v>582</v>
      </c>
      <c r="F813" s="125" t="s">
        <v>578</v>
      </c>
      <c r="G813" s="31"/>
      <c r="H813" s="31"/>
      <c r="I813" s="31" t="e">
        <f t="shared" si="21"/>
        <v>#DIV/0!</v>
      </c>
    </row>
    <row r="814" spans="1:9" ht="28.5" customHeight="1">
      <c r="A814" s="43" t="s">
        <v>577</v>
      </c>
      <c r="B814" s="28"/>
      <c r="C814" s="40" t="s">
        <v>1</v>
      </c>
      <c r="D814" s="40" t="s">
        <v>737</v>
      </c>
      <c r="E814" s="105" t="s">
        <v>583</v>
      </c>
      <c r="F814" s="125"/>
      <c r="G814" s="31">
        <f>SUM(G815)</f>
        <v>23004.4</v>
      </c>
      <c r="H814" s="31">
        <f>SUM(H815)</f>
        <v>16711.6</v>
      </c>
      <c r="I814" s="31">
        <f t="shared" si="21"/>
        <v>72.64523308584444</v>
      </c>
    </row>
    <row r="815" spans="1:10" ht="63" customHeight="1">
      <c r="A815" s="43" t="s">
        <v>584</v>
      </c>
      <c r="B815" s="28"/>
      <c r="C815" s="40" t="s">
        <v>1</v>
      </c>
      <c r="D815" s="40" t="s">
        <v>737</v>
      </c>
      <c r="E815" s="105" t="s">
        <v>583</v>
      </c>
      <c r="F815" s="125" t="s">
        <v>578</v>
      </c>
      <c r="G815" s="31">
        <f>25613.5-2609.1</f>
        <v>23004.4</v>
      </c>
      <c r="H815" s="31">
        <v>16711.6</v>
      </c>
      <c r="I815" s="31">
        <f t="shared" si="21"/>
        <v>72.64523308584444</v>
      </c>
      <c r="J815" s="228">
        <f>SUM('ведомствен.'!G600)</f>
        <v>23004.4</v>
      </c>
    </row>
    <row r="816" spans="1:9" ht="19.5" customHeight="1">
      <c r="A816" s="38" t="s">
        <v>585</v>
      </c>
      <c r="B816" s="28"/>
      <c r="C816" s="105" t="s">
        <v>1</v>
      </c>
      <c r="D816" s="105" t="s">
        <v>776</v>
      </c>
      <c r="E816" s="105"/>
      <c r="F816" s="59"/>
      <c r="G816" s="64">
        <f>SUM(G817+G830)</f>
        <v>21185.100000000002</v>
      </c>
      <c r="H816" s="64">
        <f>SUM(H817+H830)</f>
        <v>15109.2</v>
      </c>
      <c r="I816" s="31">
        <f aca="true" t="shared" si="22" ref="I816:I834">SUM(H816/G816*100)</f>
        <v>71.31993712562131</v>
      </c>
    </row>
    <row r="817" spans="1:9" ht="42.75">
      <c r="A817" s="32" t="s">
        <v>706</v>
      </c>
      <c r="B817" s="28"/>
      <c r="C817" s="29" t="s">
        <v>1</v>
      </c>
      <c r="D817" s="29" t="s">
        <v>776</v>
      </c>
      <c r="E817" s="29" t="s">
        <v>707</v>
      </c>
      <c r="F817" s="33"/>
      <c r="G817" s="31">
        <f>SUM(G818)</f>
        <v>21185.100000000002</v>
      </c>
      <c r="H817" s="31">
        <f>SUM(H818)</f>
        <v>15109.2</v>
      </c>
      <c r="I817" s="31">
        <f t="shared" si="22"/>
        <v>71.31993712562131</v>
      </c>
    </row>
    <row r="818" spans="1:9" ht="15">
      <c r="A818" s="32" t="s">
        <v>714</v>
      </c>
      <c r="B818" s="28"/>
      <c r="C818" s="29" t="s">
        <v>1</v>
      </c>
      <c r="D818" s="29" t="s">
        <v>776</v>
      </c>
      <c r="E818" s="29" t="s">
        <v>716</v>
      </c>
      <c r="F818" s="33"/>
      <c r="G818" s="31">
        <f>SUM(G819+G822+G828+G826)</f>
        <v>21185.100000000002</v>
      </c>
      <c r="H818" s="31">
        <f>SUM(H819+H822+H828+H826)</f>
        <v>15109.2</v>
      </c>
      <c r="I818" s="31">
        <f t="shared" si="22"/>
        <v>71.31993712562131</v>
      </c>
    </row>
    <row r="819" spans="1:10" ht="14.25" customHeight="1">
      <c r="A819" s="38" t="s">
        <v>710</v>
      </c>
      <c r="B819" s="137"/>
      <c r="C819" s="29" t="s">
        <v>1</v>
      </c>
      <c r="D819" s="29" t="s">
        <v>776</v>
      </c>
      <c r="E819" s="29" t="s">
        <v>716</v>
      </c>
      <c r="F819" s="138" t="s">
        <v>711</v>
      </c>
      <c r="G819" s="31">
        <v>375.8</v>
      </c>
      <c r="H819" s="31">
        <v>227.6</v>
      </c>
      <c r="I819" s="31">
        <f t="shared" si="22"/>
        <v>60.56412985630655</v>
      </c>
      <c r="J819" s="228">
        <f>SUM('ведомствен.'!G604)</f>
        <v>375.8</v>
      </c>
    </row>
    <row r="820" spans="1:9" ht="28.5" customHeight="1" hidden="1">
      <c r="A820" s="38" t="s">
        <v>586</v>
      </c>
      <c r="B820" s="137"/>
      <c r="C820" s="29" t="s">
        <v>1</v>
      </c>
      <c r="D820" s="29" t="s">
        <v>776</v>
      </c>
      <c r="E820" s="29" t="s">
        <v>587</v>
      </c>
      <c r="F820" s="138"/>
      <c r="G820" s="31">
        <f>SUM(G821)</f>
        <v>0</v>
      </c>
      <c r="H820" s="31">
        <f>SUM(H821)</f>
        <v>0</v>
      </c>
      <c r="I820" s="31" t="e">
        <f t="shared" si="22"/>
        <v>#DIV/0!</v>
      </c>
    </row>
    <row r="821" spans="1:9" ht="14.25" customHeight="1" hidden="1">
      <c r="A821" s="38" t="s">
        <v>710</v>
      </c>
      <c r="B821" s="137"/>
      <c r="C821" s="29" t="s">
        <v>1</v>
      </c>
      <c r="D821" s="29" t="s">
        <v>776</v>
      </c>
      <c r="E821" s="29" t="s">
        <v>587</v>
      </c>
      <c r="F821" s="138" t="s">
        <v>711</v>
      </c>
      <c r="G821" s="31"/>
      <c r="H821" s="31"/>
      <c r="I821" s="31" t="e">
        <f t="shared" si="22"/>
        <v>#DIV/0!</v>
      </c>
    </row>
    <row r="822" spans="1:9" ht="27" customHeight="1">
      <c r="A822" s="38" t="s">
        <v>588</v>
      </c>
      <c r="B822" s="137"/>
      <c r="C822" s="29" t="s">
        <v>1</v>
      </c>
      <c r="D822" s="29" t="s">
        <v>776</v>
      </c>
      <c r="E822" s="29" t="s">
        <v>589</v>
      </c>
      <c r="F822" s="138"/>
      <c r="G822" s="31">
        <f>SUM(G823)</f>
        <v>3496.7</v>
      </c>
      <c r="H822" s="31">
        <f>SUM(H823)</f>
        <v>2507.7</v>
      </c>
      <c r="I822" s="31">
        <f t="shared" si="22"/>
        <v>71.71618955014728</v>
      </c>
    </row>
    <row r="823" spans="1:10" ht="24" customHeight="1">
      <c r="A823" s="38" t="s">
        <v>710</v>
      </c>
      <c r="B823" s="63"/>
      <c r="C823" s="29" t="s">
        <v>1</v>
      </c>
      <c r="D823" s="29" t="s">
        <v>776</v>
      </c>
      <c r="E823" s="29" t="s">
        <v>589</v>
      </c>
      <c r="F823" s="138" t="s">
        <v>711</v>
      </c>
      <c r="G823" s="31">
        <f>3403+93.7</f>
        <v>3496.7</v>
      </c>
      <c r="H823" s="31">
        <v>2507.7</v>
      </c>
      <c r="I823" s="31">
        <f t="shared" si="22"/>
        <v>71.71618955014728</v>
      </c>
      <c r="J823" s="228">
        <f>SUM('ведомствен.'!G608)</f>
        <v>3496.7</v>
      </c>
    </row>
    <row r="824" spans="1:9" ht="42.75" customHeight="1" hidden="1">
      <c r="A824" s="38" t="s">
        <v>590</v>
      </c>
      <c r="B824" s="63"/>
      <c r="C824" s="29" t="s">
        <v>1</v>
      </c>
      <c r="D824" s="29" t="s">
        <v>776</v>
      </c>
      <c r="E824" s="29" t="s">
        <v>591</v>
      </c>
      <c r="F824" s="138"/>
      <c r="G824" s="31"/>
      <c r="H824" s="31"/>
      <c r="I824" s="31" t="e">
        <f t="shared" si="22"/>
        <v>#DIV/0!</v>
      </c>
    </row>
    <row r="825" spans="1:10" s="144" customFormat="1" ht="18.75" customHeight="1" hidden="1">
      <c r="A825" s="139" t="s">
        <v>710</v>
      </c>
      <c r="B825" s="140"/>
      <c r="C825" s="141" t="s">
        <v>1</v>
      </c>
      <c r="D825" s="141" t="s">
        <v>776</v>
      </c>
      <c r="E825" s="141" t="s">
        <v>591</v>
      </c>
      <c r="F825" s="142" t="s">
        <v>711</v>
      </c>
      <c r="G825" s="143"/>
      <c r="H825" s="143"/>
      <c r="I825" s="31" t="e">
        <f t="shared" si="22"/>
        <v>#DIV/0!</v>
      </c>
      <c r="J825" s="244"/>
    </row>
    <row r="826" spans="1:9" ht="28.5">
      <c r="A826" s="38" t="s">
        <v>586</v>
      </c>
      <c r="B826" s="137"/>
      <c r="C826" s="29" t="s">
        <v>1</v>
      </c>
      <c r="D826" s="29" t="s">
        <v>776</v>
      </c>
      <c r="E826" s="29" t="s">
        <v>587</v>
      </c>
      <c r="F826" s="138"/>
      <c r="G826" s="31">
        <f>SUM(G827)</f>
        <v>14332.900000000001</v>
      </c>
      <c r="H826" s="31">
        <f>SUM(H827)</f>
        <v>10267.1</v>
      </c>
      <c r="I826" s="31">
        <f t="shared" si="22"/>
        <v>71.63309588429418</v>
      </c>
    </row>
    <row r="827" spans="1:10" ht="14.25" customHeight="1">
      <c r="A827" s="38" t="s">
        <v>710</v>
      </c>
      <c r="B827" s="137"/>
      <c r="C827" s="29" t="s">
        <v>1</v>
      </c>
      <c r="D827" s="29" t="s">
        <v>776</v>
      </c>
      <c r="E827" s="29" t="s">
        <v>587</v>
      </c>
      <c r="F827" s="138" t="s">
        <v>711</v>
      </c>
      <c r="G827" s="31">
        <f>13860.2+379.2+93.5</f>
        <v>14332.900000000001</v>
      </c>
      <c r="H827" s="31">
        <v>10267.1</v>
      </c>
      <c r="I827" s="31">
        <f t="shared" si="22"/>
        <v>71.63309588429418</v>
      </c>
      <c r="J827" s="228">
        <f>SUM('ведомствен.'!G612)</f>
        <v>14332.900000000001</v>
      </c>
    </row>
    <row r="828" spans="1:9" ht="42.75">
      <c r="A828" s="38" t="s">
        <v>590</v>
      </c>
      <c r="B828" s="63"/>
      <c r="C828" s="29" t="s">
        <v>1</v>
      </c>
      <c r="D828" s="29" t="s">
        <v>776</v>
      </c>
      <c r="E828" s="29" t="s">
        <v>592</v>
      </c>
      <c r="F828" s="138"/>
      <c r="G828" s="31">
        <f>SUM(G829)</f>
        <v>2979.7000000000003</v>
      </c>
      <c r="H828" s="31">
        <f>SUM(H829)</f>
        <v>2106.8</v>
      </c>
      <c r="I828" s="31">
        <f t="shared" si="22"/>
        <v>70.70510454072557</v>
      </c>
    </row>
    <row r="829" spans="1:10" s="144" customFormat="1" ht="18" customHeight="1" thickBot="1">
      <c r="A829" s="139" t="s">
        <v>710</v>
      </c>
      <c r="B829" s="140"/>
      <c r="C829" s="141" t="s">
        <v>1</v>
      </c>
      <c r="D829" s="141" t="s">
        <v>776</v>
      </c>
      <c r="E829" s="29" t="s">
        <v>592</v>
      </c>
      <c r="F829" s="142" t="s">
        <v>711</v>
      </c>
      <c r="G829" s="143">
        <f>2895.9+83.8</f>
        <v>2979.7000000000003</v>
      </c>
      <c r="H829" s="143">
        <v>2106.8</v>
      </c>
      <c r="I829" s="31">
        <f t="shared" si="22"/>
        <v>70.70510454072557</v>
      </c>
      <c r="J829" s="228">
        <f>SUM('ведомствен.'!G614)</f>
        <v>2979.7000000000003</v>
      </c>
    </row>
    <row r="830" spans="1:10" s="144" customFormat="1" ht="18.75" customHeight="1" hidden="1">
      <c r="A830" s="49" t="s">
        <v>593</v>
      </c>
      <c r="B830" s="36"/>
      <c r="C830" s="105" t="s">
        <v>1</v>
      </c>
      <c r="D830" s="105" t="s">
        <v>776</v>
      </c>
      <c r="E830" s="29" t="s">
        <v>594</v>
      </c>
      <c r="F830" s="30"/>
      <c r="G830" s="64">
        <f aca="true" t="shared" si="23" ref="G830:H832">SUM(G831)</f>
        <v>0</v>
      </c>
      <c r="H830" s="64">
        <f t="shared" si="23"/>
        <v>0</v>
      </c>
      <c r="I830" s="31" t="e">
        <f t="shared" si="22"/>
        <v>#DIV/0!</v>
      </c>
      <c r="J830" s="244"/>
    </row>
    <row r="831" spans="1:10" s="144" customFormat="1" ht="18.75" customHeight="1" hidden="1">
      <c r="A831" s="49" t="s">
        <v>595</v>
      </c>
      <c r="B831" s="36"/>
      <c r="C831" s="105" t="s">
        <v>1</v>
      </c>
      <c r="D831" s="105" t="s">
        <v>776</v>
      </c>
      <c r="E831" s="29" t="s">
        <v>596</v>
      </c>
      <c r="F831" s="30"/>
      <c r="G831" s="64">
        <f t="shared" si="23"/>
        <v>0</v>
      </c>
      <c r="H831" s="64">
        <f t="shared" si="23"/>
        <v>0</v>
      </c>
      <c r="I831" s="31" t="e">
        <f t="shared" si="22"/>
        <v>#DIV/0!</v>
      </c>
      <c r="J831" s="244"/>
    </row>
    <row r="832" spans="1:10" s="144" customFormat="1" ht="57" customHeight="1" hidden="1">
      <c r="A832" s="49" t="s">
        <v>597</v>
      </c>
      <c r="B832" s="36"/>
      <c r="C832" s="105" t="s">
        <v>1</v>
      </c>
      <c r="D832" s="105" t="s">
        <v>776</v>
      </c>
      <c r="E832" s="29" t="s">
        <v>598</v>
      </c>
      <c r="F832" s="30"/>
      <c r="G832" s="64">
        <f t="shared" si="23"/>
        <v>0</v>
      </c>
      <c r="H832" s="64">
        <f t="shared" si="23"/>
        <v>0</v>
      </c>
      <c r="I832" s="31" t="e">
        <f t="shared" si="22"/>
        <v>#DIV/0!</v>
      </c>
      <c r="J832" s="244"/>
    </row>
    <row r="833" spans="1:10" s="144" customFormat="1" ht="18.75" customHeight="1" hidden="1">
      <c r="A833" s="49" t="s">
        <v>807</v>
      </c>
      <c r="B833" s="36"/>
      <c r="C833" s="105" t="s">
        <v>1</v>
      </c>
      <c r="D833" s="105" t="s">
        <v>776</v>
      </c>
      <c r="E833" s="29" t="s">
        <v>598</v>
      </c>
      <c r="F833" s="30" t="s">
        <v>808</v>
      </c>
      <c r="G833" s="64"/>
      <c r="H833" s="64"/>
      <c r="I833" s="143" t="e">
        <f t="shared" si="22"/>
        <v>#DIV/0!</v>
      </c>
      <c r="J833" s="244"/>
    </row>
    <row r="834" spans="1:10" s="119" customFormat="1" ht="21.75" customHeight="1" thickBot="1">
      <c r="A834" s="145" t="s">
        <v>599</v>
      </c>
      <c r="B834" s="146"/>
      <c r="C834" s="147"/>
      <c r="D834" s="147"/>
      <c r="E834" s="147"/>
      <c r="F834" s="148"/>
      <c r="G834" s="149">
        <f>SUM(G13+G123+G173+G206+G353+G394+G542+G590+G685)</f>
        <v>2900417.1</v>
      </c>
      <c r="H834" s="149">
        <f>SUM(H13+H123+H173+H206+H353+H394+H542+H590+H685)</f>
        <v>1678616.2000000002</v>
      </c>
      <c r="I834" s="150">
        <f t="shared" si="22"/>
        <v>57.87499322080263</v>
      </c>
      <c r="J834" s="237">
        <f>SUM(J13:J829)</f>
        <v>2900417.1000000015</v>
      </c>
    </row>
    <row r="835" spans="1:9" ht="28.5" customHeight="1" hidden="1">
      <c r="A835" s="151" t="s">
        <v>600</v>
      </c>
      <c r="B835" s="152"/>
      <c r="C835" s="153"/>
      <c r="D835" s="152"/>
      <c r="E835" s="152"/>
      <c r="F835" s="154"/>
      <c r="G835" s="155">
        <f>-76000-174.5-350</f>
        <v>-76524.5</v>
      </c>
      <c r="H835" s="155">
        <f>-76000-174.5-350</f>
        <v>-76524.5</v>
      </c>
      <c r="I835" s="155">
        <f>-76000-174.5-350</f>
        <v>-76524.5</v>
      </c>
    </row>
    <row r="836" spans="1:9" ht="15" customHeight="1" hidden="1">
      <c r="A836" s="156" t="s">
        <v>601</v>
      </c>
      <c r="B836" s="157"/>
      <c r="C836" s="158"/>
      <c r="D836" s="157"/>
      <c r="E836" s="157"/>
      <c r="F836" s="159"/>
      <c r="G836" s="160"/>
      <c r="H836" s="160"/>
      <c r="I836" s="160"/>
    </row>
    <row r="837" spans="1:9" ht="17.25" customHeight="1" hidden="1">
      <c r="A837" s="161" t="s">
        <v>601</v>
      </c>
      <c r="B837" s="153" t="s">
        <v>602</v>
      </c>
      <c r="C837" s="153" t="s">
        <v>446</v>
      </c>
      <c r="D837" s="153" t="s">
        <v>446</v>
      </c>
      <c r="E837" s="153" t="s">
        <v>603</v>
      </c>
      <c r="F837" s="162" t="s">
        <v>602</v>
      </c>
      <c r="G837" s="163"/>
      <c r="H837" s="163"/>
      <c r="I837" s="163"/>
    </row>
    <row r="838" spans="1:9" ht="30" customHeight="1" hidden="1">
      <c r="A838" s="164" t="s">
        <v>604</v>
      </c>
      <c r="B838" s="165" t="s">
        <v>602</v>
      </c>
      <c r="C838" s="165" t="s">
        <v>703</v>
      </c>
      <c r="D838" s="165" t="s">
        <v>713</v>
      </c>
      <c r="E838" s="165" t="s">
        <v>603</v>
      </c>
      <c r="F838" s="166"/>
      <c r="G838" s="167">
        <v>0</v>
      </c>
      <c r="H838" s="167">
        <v>0</v>
      </c>
      <c r="I838" s="167">
        <v>0</v>
      </c>
    </row>
    <row r="839" spans="1:9" ht="42" customHeight="1" hidden="1">
      <c r="A839" s="94" t="s">
        <v>605</v>
      </c>
      <c r="B839" s="168" t="s">
        <v>602</v>
      </c>
      <c r="C839" s="168" t="s">
        <v>703</v>
      </c>
      <c r="D839" s="168" t="s">
        <v>713</v>
      </c>
      <c r="E839" s="168" t="s">
        <v>606</v>
      </c>
      <c r="F839" s="169" t="s">
        <v>607</v>
      </c>
      <c r="G839" s="167">
        <v>62000</v>
      </c>
      <c r="H839" s="167">
        <v>62000</v>
      </c>
      <c r="I839" s="167">
        <v>62000</v>
      </c>
    </row>
    <row r="840" spans="1:9" ht="30.75" customHeight="1" hidden="1">
      <c r="A840" s="170" t="s">
        <v>613</v>
      </c>
      <c r="B840" s="168" t="s">
        <v>602</v>
      </c>
      <c r="C840" s="168" t="s">
        <v>703</v>
      </c>
      <c r="D840" s="168" t="s">
        <v>713</v>
      </c>
      <c r="E840" s="168" t="s">
        <v>606</v>
      </c>
      <c r="F840" s="169" t="s">
        <v>614</v>
      </c>
      <c r="G840" s="171">
        <v>62000</v>
      </c>
      <c r="H840" s="171">
        <v>62000</v>
      </c>
      <c r="I840" s="171">
        <v>62000</v>
      </c>
    </row>
    <row r="841" spans="1:9" ht="29.25" customHeight="1" hidden="1">
      <c r="A841" s="172" t="s">
        <v>615</v>
      </c>
      <c r="B841" s="168" t="s">
        <v>602</v>
      </c>
      <c r="C841" s="168" t="s">
        <v>776</v>
      </c>
      <c r="D841" s="168" t="s">
        <v>446</v>
      </c>
      <c r="E841" s="168" t="s">
        <v>603</v>
      </c>
      <c r="F841" s="169" t="s">
        <v>602</v>
      </c>
      <c r="G841" s="173"/>
      <c r="H841" s="173"/>
      <c r="I841" s="173"/>
    </row>
    <row r="842" spans="1:9" ht="18" customHeight="1" hidden="1">
      <c r="A842" s="174" t="s">
        <v>616</v>
      </c>
      <c r="B842" s="175" t="s">
        <v>602</v>
      </c>
      <c r="C842" s="175" t="s">
        <v>703</v>
      </c>
      <c r="D842" s="175" t="s">
        <v>772</v>
      </c>
      <c r="E842" s="175" t="s">
        <v>617</v>
      </c>
      <c r="F842" s="176" t="s">
        <v>602</v>
      </c>
      <c r="G842" s="177">
        <f>67475+1681.5+1571.6</f>
        <v>70728.1</v>
      </c>
      <c r="H842" s="177">
        <f>67475+1681.5+1571.6</f>
        <v>70728.1</v>
      </c>
      <c r="I842" s="177">
        <f>67475+1681.5+1571.6</f>
        <v>70728.1</v>
      </c>
    </row>
    <row r="843" spans="1:9" ht="28.5" customHeight="1" hidden="1">
      <c r="A843" s="38" t="s">
        <v>618</v>
      </c>
      <c r="B843" s="168" t="s">
        <v>602</v>
      </c>
      <c r="C843" s="175" t="s">
        <v>703</v>
      </c>
      <c r="D843" s="175" t="s">
        <v>776</v>
      </c>
      <c r="E843" s="175" t="s">
        <v>603</v>
      </c>
      <c r="F843" s="176" t="s">
        <v>602</v>
      </c>
      <c r="G843" s="64">
        <f>SUM(G844-G845)</f>
        <v>0</v>
      </c>
      <c r="H843" s="64">
        <f>SUM(H844-H845)</f>
        <v>0</v>
      </c>
      <c r="I843" s="64">
        <f>SUM(I844-I845)</f>
        <v>0</v>
      </c>
    </row>
    <row r="844" spans="1:9" ht="85.5" customHeight="1" hidden="1">
      <c r="A844" s="178" t="s">
        <v>619</v>
      </c>
      <c r="B844" s="168"/>
      <c r="C844" s="175" t="s">
        <v>703</v>
      </c>
      <c r="D844" s="175" t="s">
        <v>776</v>
      </c>
      <c r="E844" s="179" t="s">
        <v>620</v>
      </c>
      <c r="F844" s="180">
        <v>810</v>
      </c>
      <c r="G844" s="64">
        <v>10000</v>
      </c>
      <c r="H844" s="64">
        <v>10000</v>
      </c>
      <c r="I844" s="64">
        <v>10000</v>
      </c>
    </row>
    <row r="845" spans="1:9" ht="45" customHeight="1" hidden="1">
      <c r="A845" s="181" t="s">
        <v>621</v>
      </c>
      <c r="B845" s="182"/>
      <c r="C845" s="182" t="s">
        <v>703</v>
      </c>
      <c r="D845" s="182" t="s">
        <v>776</v>
      </c>
      <c r="E845" s="183" t="s">
        <v>622</v>
      </c>
      <c r="F845" s="184">
        <v>640</v>
      </c>
      <c r="G845" s="185">
        <v>10000</v>
      </c>
      <c r="H845" s="185">
        <v>10000</v>
      </c>
      <c r="I845" s="185">
        <v>10000</v>
      </c>
    </row>
  </sheetData>
  <mergeCells count="1">
    <mergeCell ref="F5:G5"/>
  </mergeCells>
  <printOptions/>
  <pageMargins left="1.299212598425197" right="0.15748031496062992" top="0.15748031496062992" bottom="0.2362204724409449" header="0.5118110236220472" footer="0.2362204724409449"/>
  <pageSetup fitToHeight="15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1"/>
  <sheetViews>
    <sheetView workbookViewId="0" topLeftCell="A1">
      <selection activeCell="J7" sqref="J7"/>
    </sheetView>
  </sheetViews>
  <sheetFormatPr defaultColWidth="9.00390625" defaultRowHeight="12.75"/>
  <cols>
    <col min="1" max="1" width="53.25390625" style="0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6.125" style="6" customWidth="1"/>
    <col min="8" max="8" width="36.25390625" style="6" hidden="1" customWidth="1"/>
    <col min="9" max="9" width="5.625" style="6" hidden="1" customWidth="1"/>
    <col min="17" max="17" width="14.375" style="0" customWidth="1"/>
    <col min="18" max="18" width="6.375" style="0" customWidth="1"/>
    <col min="19" max="19" width="5.375" style="0" customWidth="1"/>
    <col min="20" max="20" width="5.875" style="0" customWidth="1"/>
    <col min="21" max="21" width="6.125" style="0" customWidth="1"/>
  </cols>
  <sheetData>
    <row r="1" spans="7:9" ht="12.75">
      <c r="G1" s="2" t="s">
        <v>609</v>
      </c>
      <c r="H1" s="225"/>
      <c r="I1" s="3"/>
    </row>
    <row r="2" spans="1:9" ht="12.75">
      <c r="A2" t="s">
        <v>623</v>
      </c>
      <c r="G2" s="4" t="s">
        <v>680</v>
      </c>
      <c r="H2" s="225"/>
      <c r="I2" s="3"/>
    </row>
    <row r="3" spans="7:9" ht="12.75">
      <c r="G3" s="4" t="s">
        <v>681</v>
      </c>
      <c r="H3" s="225"/>
      <c r="I3" s="3"/>
    </row>
    <row r="4" spans="6:9" ht="12.75">
      <c r="F4" s="4"/>
      <c r="G4" s="4" t="s">
        <v>684</v>
      </c>
      <c r="H4" s="225"/>
      <c r="I4" s="3"/>
    </row>
    <row r="5" spans="2:8" ht="12.75" customHeight="1">
      <c r="B5" s="7" t="s">
        <v>624</v>
      </c>
      <c r="F5" s="5"/>
      <c r="G5" s="301" t="s">
        <v>340</v>
      </c>
      <c r="H5" s="301"/>
    </row>
    <row r="6" ht="12.75">
      <c r="B6" s="7" t="s">
        <v>625</v>
      </c>
    </row>
    <row r="7" ht="12.75">
      <c r="B7" s="7" t="s">
        <v>626</v>
      </c>
    </row>
    <row r="8" ht="24" customHeight="1" thickBot="1">
      <c r="B8" s="10"/>
    </row>
    <row r="9" spans="1:9" ht="14.25">
      <c r="A9" s="11" t="s">
        <v>627</v>
      </c>
      <c r="B9" s="186" t="s">
        <v>690</v>
      </c>
      <c r="C9" s="187"/>
      <c r="D9" s="188"/>
      <c r="E9" s="188"/>
      <c r="F9" s="188"/>
      <c r="G9" s="15" t="s">
        <v>691</v>
      </c>
      <c r="H9" s="15" t="s">
        <v>692</v>
      </c>
      <c r="I9" s="15" t="s">
        <v>693</v>
      </c>
    </row>
    <row r="10" spans="1:9" ht="24.75" customHeight="1" thickBot="1">
      <c r="A10" s="189"/>
      <c r="B10" s="190" t="s">
        <v>694</v>
      </c>
      <c r="C10" s="191" t="s">
        <v>695</v>
      </c>
      <c r="D10" s="191" t="s">
        <v>696</v>
      </c>
      <c r="E10" s="191" t="s">
        <v>697</v>
      </c>
      <c r="F10" s="192" t="s">
        <v>698</v>
      </c>
      <c r="G10" s="20" t="s">
        <v>682</v>
      </c>
      <c r="H10" s="20" t="s">
        <v>700</v>
      </c>
      <c r="I10" s="20" t="s">
        <v>701</v>
      </c>
    </row>
    <row r="11" spans="1:9" ht="30">
      <c r="A11" s="193" t="s">
        <v>628</v>
      </c>
      <c r="B11" s="194" t="s">
        <v>629</v>
      </c>
      <c r="C11" s="195"/>
      <c r="D11" s="195"/>
      <c r="E11" s="195"/>
      <c r="F11" s="187"/>
      <c r="G11" s="196">
        <f>SUM(G12)+G27+G32</f>
        <v>15500.8</v>
      </c>
      <c r="H11" s="196">
        <f>SUM(H12)+H27+H32</f>
        <v>9763.699999999999</v>
      </c>
      <c r="I11" s="196">
        <f>SUM(H11/G11*100)</f>
        <v>62.988361890999165</v>
      </c>
    </row>
    <row r="12" spans="1:9" ht="15">
      <c r="A12" s="27" t="s">
        <v>702</v>
      </c>
      <c r="B12" s="28"/>
      <c r="C12" s="29" t="s">
        <v>703</v>
      </c>
      <c r="D12" s="29"/>
      <c r="E12" s="29"/>
      <c r="F12" s="30"/>
      <c r="G12" s="31">
        <f>SUM(G13+G17+G23)</f>
        <v>15122.4</v>
      </c>
      <c r="H12" s="31">
        <f>SUM(H13+H17+H23)</f>
        <v>9401.9</v>
      </c>
      <c r="I12" s="31">
        <f>SUM(H12/G12*100)</f>
        <v>62.172009733904666</v>
      </c>
    </row>
    <row r="13" spans="1:9" ht="28.5">
      <c r="A13" s="27" t="s">
        <v>704</v>
      </c>
      <c r="B13" s="28"/>
      <c r="C13" s="29" t="s">
        <v>703</v>
      </c>
      <c r="D13" s="29" t="s">
        <v>705</v>
      </c>
      <c r="E13" s="29"/>
      <c r="F13" s="30"/>
      <c r="G13" s="31">
        <f>SUM(G14)</f>
        <v>1266.4999999999998</v>
      </c>
      <c r="H13" s="31">
        <f>SUM(H14)</f>
        <v>983.5</v>
      </c>
      <c r="I13" s="31">
        <f aca="true" t="shared" si="0" ref="I13:I76">SUM(H13/G13*100)</f>
        <v>77.6549545992894</v>
      </c>
    </row>
    <row r="14" spans="1:9" ht="41.25" customHeight="1">
      <c r="A14" s="32" t="s">
        <v>706</v>
      </c>
      <c r="B14" s="28"/>
      <c r="C14" s="29" t="s">
        <v>703</v>
      </c>
      <c r="D14" s="29" t="s">
        <v>705</v>
      </c>
      <c r="E14" s="29" t="s">
        <v>707</v>
      </c>
      <c r="F14" s="30"/>
      <c r="G14" s="31">
        <f>SUM(G16:G16)</f>
        <v>1266.4999999999998</v>
      </c>
      <c r="H14" s="31">
        <f>SUM(H16:H16)</f>
        <v>983.5</v>
      </c>
      <c r="I14" s="31">
        <f t="shared" si="0"/>
        <v>77.6549545992894</v>
      </c>
    </row>
    <row r="15" spans="1:9" ht="16.5" customHeight="1">
      <c r="A15" s="32" t="s">
        <v>708</v>
      </c>
      <c r="B15" s="28"/>
      <c r="C15" s="29" t="s">
        <v>703</v>
      </c>
      <c r="D15" s="29" t="s">
        <v>705</v>
      </c>
      <c r="E15" s="29" t="s">
        <v>709</v>
      </c>
      <c r="F15" s="30"/>
      <c r="G15" s="31">
        <f>SUM(G16)</f>
        <v>1266.4999999999998</v>
      </c>
      <c r="H15" s="31">
        <f>SUM(H16)</f>
        <v>983.5</v>
      </c>
      <c r="I15" s="31">
        <f t="shared" si="0"/>
        <v>77.6549545992894</v>
      </c>
    </row>
    <row r="16" spans="1:9" ht="29.25" customHeight="1">
      <c r="A16" s="32" t="s">
        <v>710</v>
      </c>
      <c r="B16" s="28"/>
      <c r="C16" s="29" t="s">
        <v>703</v>
      </c>
      <c r="D16" s="29" t="s">
        <v>705</v>
      </c>
      <c r="E16" s="29" t="s">
        <v>709</v>
      </c>
      <c r="F16" s="30" t="s">
        <v>711</v>
      </c>
      <c r="G16" s="31">
        <f>1040.1+131.8+0.5+94.1</f>
        <v>1266.4999999999998</v>
      </c>
      <c r="H16" s="31">
        <v>983.5</v>
      </c>
      <c r="I16" s="31">
        <f t="shared" si="0"/>
        <v>77.6549545992894</v>
      </c>
    </row>
    <row r="17" spans="1:9" ht="59.25" customHeight="1">
      <c r="A17" s="32" t="s">
        <v>712</v>
      </c>
      <c r="B17" s="28"/>
      <c r="C17" s="29" t="s">
        <v>703</v>
      </c>
      <c r="D17" s="29" t="s">
        <v>713</v>
      </c>
      <c r="E17" s="29"/>
      <c r="F17" s="30"/>
      <c r="G17" s="31">
        <f>SUM(G18)</f>
        <v>13178.1</v>
      </c>
      <c r="H17" s="31">
        <f>SUM(H18)</f>
        <v>8231.8</v>
      </c>
      <c r="I17" s="31">
        <f t="shared" si="0"/>
        <v>62.46575758265607</v>
      </c>
    </row>
    <row r="18" spans="1:9" ht="42.75" customHeight="1">
      <c r="A18" s="32" t="s">
        <v>706</v>
      </c>
      <c r="B18" s="28"/>
      <c r="C18" s="29" t="s">
        <v>703</v>
      </c>
      <c r="D18" s="29" t="s">
        <v>713</v>
      </c>
      <c r="E18" s="29" t="s">
        <v>707</v>
      </c>
      <c r="F18" s="33"/>
      <c r="G18" s="31">
        <f>SUM(G19+G21)</f>
        <v>13178.1</v>
      </c>
      <c r="H18" s="31">
        <f>SUM(H19+H21)</f>
        <v>8231.8</v>
      </c>
      <c r="I18" s="31">
        <f t="shared" si="0"/>
        <v>62.46575758265607</v>
      </c>
    </row>
    <row r="19" spans="1:9" ht="15">
      <c r="A19" s="32" t="s">
        <v>714</v>
      </c>
      <c r="B19" s="28"/>
      <c r="C19" s="29" t="s">
        <v>715</v>
      </c>
      <c r="D19" s="29" t="s">
        <v>713</v>
      </c>
      <c r="E19" s="29" t="s">
        <v>716</v>
      </c>
      <c r="F19" s="33"/>
      <c r="G19" s="31">
        <f>SUM(G20)</f>
        <v>13015</v>
      </c>
      <c r="H19" s="31">
        <f>SUM(H20)</f>
        <v>8068.7</v>
      </c>
      <c r="I19" s="31">
        <f t="shared" si="0"/>
        <v>61.995389934690735</v>
      </c>
    </row>
    <row r="20" spans="1:9" ht="28.5" customHeight="1">
      <c r="A20" s="32" t="s">
        <v>710</v>
      </c>
      <c r="B20" s="28"/>
      <c r="C20" s="29" t="s">
        <v>703</v>
      </c>
      <c r="D20" s="29" t="s">
        <v>713</v>
      </c>
      <c r="E20" s="29" t="s">
        <v>716</v>
      </c>
      <c r="F20" s="30" t="s">
        <v>711</v>
      </c>
      <c r="G20" s="31">
        <f>7579.9+750.4+650+1379.5+300+33.7+367.2+1157.8+106.9-0.5+690.1</f>
        <v>13015</v>
      </c>
      <c r="H20" s="31">
        <v>8068.7</v>
      </c>
      <c r="I20" s="31">
        <f t="shared" si="0"/>
        <v>61.995389934690735</v>
      </c>
    </row>
    <row r="21" spans="1:9" ht="28.5" customHeight="1">
      <c r="A21" s="32" t="s">
        <v>717</v>
      </c>
      <c r="B21" s="28"/>
      <c r="C21" s="29" t="s">
        <v>715</v>
      </c>
      <c r="D21" s="29" t="s">
        <v>713</v>
      </c>
      <c r="E21" s="29" t="s">
        <v>718</v>
      </c>
      <c r="F21" s="30"/>
      <c r="G21" s="31">
        <f>SUM(G22)</f>
        <v>163.1</v>
      </c>
      <c r="H21" s="31">
        <f>SUM(H22)</f>
        <v>163.1</v>
      </c>
      <c r="I21" s="31">
        <f t="shared" si="0"/>
        <v>100</v>
      </c>
    </row>
    <row r="22" spans="1:9" ht="29.25" customHeight="1">
      <c r="A22" s="32" t="s">
        <v>710</v>
      </c>
      <c r="B22" s="28"/>
      <c r="C22" s="29" t="s">
        <v>715</v>
      </c>
      <c r="D22" s="29" t="s">
        <v>713</v>
      </c>
      <c r="E22" s="29" t="s">
        <v>718</v>
      </c>
      <c r="F22" s="30" t="s">
        <v>711</v>
      </c>
      <c r="G22" s="31">
        <v>163.1</v>
      </c>
      <c r="H22" s="31">
        <v>163.1</v>
      </c>
      <c r="I22" s="31">
        <f t="shared" si="0"/>
        <v>100</v>
      </c>
    </row>
    <row r="23" spans="1:9" ht="15">
      <c r="A23" s="32" t="s">
        <v>719</v>
      </c>
      <c r="B23" s="28"/>
      <c r="C23" s="29" t="s">
        <v>703</v>
      </c>
      <c r="D23" s="29" t="s">
        <v>798</v>
      </c>
      <c r="E23" s="29"/>
      <c r="F23" s="33"/>
      <c r="G23" s="31">
        <f>SUM(G24)</f>
        <v>677.8000000000001</v>
      </c>
      <c r="H23" s="31">
        <f>SUM(H24)</f>
        <v>186.6</v>
      </c>
      <c r="I23" s="31">
        <f t="shared" si="0"/>
        <v>27.53024491000295</v>
      </c>
    </row>
    <row r="24" spans="1:9" ht="28.5">
      <c r="A24" s="46" t="s">
        <v>721</v>
      </c>
      <c r="B24" s="28"/>
      <c r="C24" s="29" t="s">
        <v>703</v>
      </c>
      <c r="D24" s="29" t="s">
        <v>798</v>
      </c>
      <c r="E24" s="29" t="s">
        <v>722</v>
      </c>
      <c r="F24" s="34"/>
      <c r="G24" s="31">
        <f>SUM(G26)</f>
        <v>677.8000000000001</v>
      </c>
      <c r="H24" s="31">
        <f>SUM(H26)</f>
        <v>186.6</v>
      </c>
      <c r="I24" s="31">
        <f t="shared" si="0"/>
        <v>27.53024491000295</v>
      </c>
    </row>
    <row r="25" spans="1:9" ht="15">
      <c r="A25" s="46" t="s">
        <v>723</v>
      </c>
      <c r="B25" s="28"/>
      <c r="C25" s="29" t="s">
        <v>703</v>
      </c>
      <c r="D25" s="29" t="s">
        <v>798</v>
      </c>
      <c r="E25" s="29" t="s">
        <v>811</v>
      </c>
      <c r="F25" s="34"/>
      <c r="G25" s="31">
        <f>SUM(G26)</f>
        <v>677.8000000000001</v>
      </c>
      <c r="H25" s="31">
        <f>SUM(H26)</f>
        <v>186.6</v>
      </c>
      <c r="I25" s="31">
        <f t="shared" si="0"/>
        <v>27.53024491000295</v>
      </c>
    </row>
    <row r="26" spans="1:9" ht="27" customHeight="1">
      <c r="A26" s="32" t="s">
        <v>710</v>
      </c>
      <c r="B26" s="28"/>
      <c r="C26" s="29" t="s">
        <v>703</v>
      </c>
      <c r="D26" s="29" t="s">
        <v>798</v>
      </c>
      <c r="E26" s="29" t="s">
        <v>811</v>
      </c>
      <c r="F26" s="34" t="s">
        <v>711</v>
      </c>
      <c r="G26" s="31">
        <f>595.2+82.6</f>
        <v>677.8000000000001</v>
      </c>
      <c r="H26" s="31">
        <v>186.6</v>
      </c>
      <c r="I26" s="31">
        <f t="shared" si="0"/>
        <v>27.53024491000295</v>
      </c>
    </row>
    <row r="27" spans="1:9" ht="15" hidden="1">
      <c r="A27" s="27" t="s">
        <v>725</v>
      </c>
      <c r="B27" s="28"/>
      <c r="C27" s="45" t="s">
        <v>726</v>
      </c>
      <c r="D27" s="29"/>
      <c r="E27" s="29"/>
      <c r="F27" s="34"/>
      <c r="G27" s="31">
        <f aca="true" t="shared" si="1" ref="G27:H30">SUM(G28)</f>
        <v>0</v>
      </c>
      <c r="H27" s="31">
        <f t="shared" si="1"/>
        <v>0</v>
      </c>
      <c r="I27" s="31" t="e">
        <f t="shared" si="0"/>
        <v>#DIV/0!</v>
      </c>
    </row>
    <row r="28" spans="1:9" ht="15" hidden="1">
      <c r="A28" s="32" t="s">
        <v>727</v>
      </c>
      <c r="B28" s="36"/>
      <c r="C28" s="29" t="s">
        <v>726</v>
      </c>
      <c r="D28" s="29" t="s">
        <v>726</v>
      </c>
      <c r="E28" s="29"/>
      <c r="F28" s="34"/>
      <c r="G28" s="31">
        <f t="shared" si="1"/>
        <v>0</v>
      </c>
      <c r="H28" s="31">
        <f t="shared" si="1"/>
        <v>0</v>
      </c>
      <c r="I28" s="31" t="e">
        <f t="shared" si="0"/>
        <v>#DIV/0!</v>
      </c>
    </row>
    <row r="29" spans="1:9" ht="28.5" hidden="1">
      <c r="A29" s="46" t="s">
        <v>315</v>
      </c>
      <c r="B29" s="36"/>
      <c r="C29" s="29" t="s">
        <v>726</v>
      </c>
      <c r="D29" s="29" t="s">
        <v>726</v>
      </c>
      <c r="E29" s="29" t="s">
        <v>729</v>
      </c>
      <c r="F29" s="30"/>
      <c r="G29" s="31">
        <f t="shared" si="1"/>
        <v>0</v>
      </c>
      <c r="H29" s="31">
        <f t="shared" si="1"/>
        <v>0</v>
      </c>
      <c r="I29" s="31" t="e">
        <f t="shared" si="0"/>
        <v>#DIV/0!</v>
      </c>
    </row>
    <row r="30" spans="1:9" ht="19.5" customHeight="1" hidden="1">
      <c r="A30" s="46" t="s">
        <v>316</v>
      </c>
      <c r="B30" s="36"/>
      <c r="C30" s="29" t="s">
        <v>726</v>
      </c>
      <c r="D30" s="29" t="s">
        <v>726</v>
      </c>
      <c r="E30" s="29" t="s">
        <v>317</v>
      </c>
      <c r="F30" s="30"/>
      <c r="G30" s="31">
        <f t="shared" si="1"/>
        <v>0</v>
      </c>
      <c r="H30" s="31">
        <f t="shared" si="1"/>
        <v>0</v>
      </c>
      <c r="I30" s="31" t="e">
        <f t="shared" si="0"/>
        <v>#DIV/0!</v>
      </c>
    </row>
    <row r="31" spans="1:9" ht="18" customHeight="1" hidden="1">
      <c r="A31" s="49" t="s">
        <v>807</v>
      </c>
      <c r="B31" s="36"/>
      <c r="C31" s="29" t="s">
        <v>726</v>
      </c>
      <c r="D31" s="29" t="s">
        <v>726</v>
      </c>
      <c r="E31" s="29" t="s">
        <v>317</v>
      </c>
      <c r="F31" s="30" t="s">
        <v>808</v>
      </c>
      <c r="G31" s="31"/>
      <c r="H31" s="31"/>
      <c r="I31" s="31" t="e">
        <f t="shared" si="0"/>
        <v>#DIV/0!</v>
      </c>
    </row>
    <row r="32" spans="1:9" ht="18" customHeight="1">
      <c r="A32" s="27" t="s">
        <v>445</v>
      </c>
      <c r="B32" s="28"/>
      <c r="C32" s="29" t="s">
        <v>1</v>
      </c>
      <c r="D32" s="29"/>
      <c r="E32" s="29"/>
      <c r="F32" s="30"/>
      <c r="G32" s="31">
        <f>SUM(G36)</f>
        <v>378.4</v>
      </c>
      <c r="H32" s="31">
        <f>SUM(H36)</f>
        <v>361.8</v>
      </c>
      <c r="I32" s="31">
        <f t="shared" si="0"/>
        <v>95.61310782241016</v>
      </c>
    </row>
    <row r="33" spans="1:9" ht="18" customHeight="1">
      <c r="A33" s="46" t="s">
        <v>463</v>
      </c>
      <c r="B33" s="28"/>
      <c r="C33" s="29" t="s">
        <v>1</v>
      </c>
      <c r="D33" s="45" t="s">
        <v>713</v>
      </c>
      <c r="E33" s="29"/>
      <c r="F33" s="30"/>
      <c r="G33" s="31">
        <f aca="true" t="shared" si="2" ref="G33:H35">SUM(G34)</f>
        <v>378.4</v>
      </c>
      <c r="H33" s="31">
        <f t="shared" si="2"/>
        <v>361.8</v>
      </c>
      <c r="I33" s="31">
        <f t="shared" si="0"/>
        <v>95.61310782241016</v>
      </c>
    </row>
    <row r="34" spans="1:9" ht="24" customHeight="1">
      <c r="A34" s="27" t="s">
        <v>464</v>
      </c>
      <c r="B34" s="28"/>
      <c r="C34" s="29" t="s">
        <v>1</v>
      </c>
      <c r="D34" s="45" t="s">
        <v>713</v>
      </c>
      <c r="E34" s="29" t="s">
        <v>465</v>
      </c>
      <c r="F34" s="30"/>
      <c r="G34" s="31">
        <f t="shared" si="2"/>
        <v>378.4</v>
      </c>
      <c r="H34" s="31">
        <f t="shared" si="2"/>
        <v>361.8</v>
      </c>
      <c r="I34" s="31">
        <f t="shared" si="0"/>
        <v>95.61310782241016</v>
      </c>
    </row>
    <row r="35" spans="1:9" ht="58.5" customHeight="1">
      <c r="A35" s="49" t="s">
        <v>472</v>
      </c>
      <c r="B35" s="36"/>
      <c r="C35" s="29" t="s">
        <v>1</v>
      </c>
      <c r="D35" s="45" t="s">
        <v>713</v>
      </c>
      <c r="E35" s="29" t="s">
        <v>473</v>
      </c>
      <c r="F35" s="30"/>
      <c r="G35" s="31">
        <f t="shared" si="2"/>
        <v>378.4</v>
      </c>
      <c r="H35" s="31">
        <f t="shared" si="2"/>
        <v>361.8</v>
      </c>
      <c r="I35" s="31">
        <f t="shared" si="0"/>
        <v>95.61310782241016</v>
      </c>
    </row>
    <row r="36" spans="1:9" ht="18" customHeight="1">
      <c r="A36" s="27" t="s">
        <v>849</v>
      </c>
      <c r="B36" s="113"/>
      <c r="C36" s="45" t="s">
        <v>1</v>
      </c>
      <c r="D36" s="45" t="s">
        <v>713</v>
      </c>
      <c r="E36" s="29" t="s">
        <v>473</v>
      </c>
      <c r="F36" s="125" t="s">
        <v>850</v>
      </c>
      <c r="G36" s="31">
        <v>378.4</v>
      </c>
      <c r="H36" s="31">
        <v>361.8</v>
      </c>
      <c r="I36" s="31">
        <f t="shared" si="0"/>
        <v>95.61310782241016</v>
      </c>
    </row>
    <row r="37" spans="1:9" ht="30" customHeight="1">
      <c r="A37" s="197" t="s">
        <v>630</v>
      </c>
      <c r="B37" s="198" t="s">
        <v>631</v>
      </c>
      <c r="C37" s="45"/>
      <c r="D37" s="45"/>
      <c r="E37" s="45"/>
      <c r="F37" s="33"/>
      <c r="G37" s="199">
        <f aca="true" t="shared" si="3" ref="G37:H39">SUM(G38)</f>
        <v>3888.4999999999995</v>
      </c>
      <c r="H37" s="199">
        <f t="shared" si="3"/>
        <v>2707.1</v>
      </c>
      <c r="I37" s="54">
        <f t="shared" si="0"/>
        <v>69.61810466760963</v>
      </c>
    </row>
    <row r="38" spans="1:9" ht="15">
      <c r="A38" s="27" t="s">
        <v>702</v>
      </c>
      <c r="B38" s="28"/>
      <c r="C38" s="29" t="s">
        <v>703</v>
      </c>
      <c r="D38" s="29"/>
      <c r="E38" s="29"/>
      <c r="F38" s="30"/>
      <c r="G38" s="31">
        <f t="shared" si="3"/>
        <v>3888.4999999999995</v>
      </c>
      <c r="H38" s="31">
        <f t="shared" si="3"/>
        <v>2707.1</v>
      </c>
      <c r="I38" s="31">
        <f t="shared" si="0"/>
        <v>69.61810466760963</v>
      </c>
    </row>
    <row r="39" spans="1:9" ht="42.75">
      <c r="A39" s="46" t="s">
        <v>775</v>
      </c>
      <c r="B39" s="28"/>
      <c r="C39" s="29" t="s">
        <v>703</v>
      </c>
      <c r="D39" s="29" t="s">
        <v>776</v>
      </c>
      <c r="E39" s="29"/>
      <c r="F39" s="30"/>
      <c r="G39" s="31">
        <f t="shared" si="3"/>
        <v>3888.4999999999995</v>
      </c>
      <c r="H39" s="31">
        <f t="shared" si="3"/>
        <v>2707.1</v>
      </c>
      <c r="I39" s="31">
        <f t="shared" si="0"/>
        <v>69.61810466760963</v>
      </c>
    </row>
    <row r="40" spans="1:9" ht="42.75" customHeight="1">
      <c r="A40" s="32" t="s">
        <v>706</v>
      </c>
      <c r="B40" s="28"/>
      <c r="C40" s="29" t="s">
        <v>703</v>
      </c>
      <c r="D40" s="29" t="s">
        <v>776</v>
      </c>
      <c r="E40" s="29" t="s">
        <v>707</v>
      </c>
      <c r="F40" s="33"/>
      <c r="G40" s="31">
        <f>SUM(G41+G43)</f>
        <v>3888.4999999999995</v>
      </c>
      <c r="H40" s="31">
        <f>SUM(H41+H43)</f>
        <v>2707.1</v>
      </c>
      <c r="I40" s="31">
        <f t="shared" si="0"/>
        <v>69.61810466760963</v>
      </c>
    </row>
    <row r="41" spans="1:9" ht="19.5" customHeight="1">
      <c r="A41" s="32" t="s">
        <v>714</v>
      </c>
      <c r="B41" s="28"/>
      <c r="C41" s="29" t="s">
        <v>703</v>
      </c>
      <c r="D41" s="29" t="s">
        <v>776</v>
      </c>
      <c r="E41" s="29" t="s">
        <v>716</v>
      </c>
      <c r="F41" s="33"/>
      <c r="G41" s="31">
        <f>SUM(G42)</f>
        <v>3170.0999999999995</v>
      </c>
      <c r="H41" s="31">
        <f>SUM(H42)</f>
        <v>2155.5</v>
      </c>
      <c r="I41" s="31">
        <f t="shared" si="0"/>
        <v>67.99470048263463</v>
      </c>
    </row>
    <row r="42" spans="1:9" ht="28.5">
      <c r="A42" s="32" t="s">
        <v>710</v>
      </c>
      <c r="B42" s="28"/>
      <c r="C42" s="29" t="s">
        <v>703</v>
      </c>
      <c r="D42" s="29" t="s">
        <v>776</v>
      </c>
      <c r="E42" s="29" t="s">
        <v>716</v>
      </c>
      <c r="F42" s="30" t="s">
        <v>711</v>
      </c>
      <c r="G42" s="31">
        <f>2090+252.2+353+103.6+6+10-165.1+165.1+37.2+318.1</f>
        <v>3170.0999999999995</v>
      </c>
      <c r="H42" s="31">
        <v>2155.5</v>
      </c>
      <c r="I42" s="31">
        <f t="shared" si="0"/>
        <v>67.99470048263463</v>
      </c>
    </row>
    <row r="43" spans="1:9" s="37" customFormat="1" ht="28.5">
      <c r="A43" s="27" t="s">
        <v>779</v>
      </c>
      <c r="B43" s="28"/>
      <c r="C43" s="29" t="s">
        <v>715</v>
      </c>
      <c r="D43" s="29" t="s">
        <v>776</v>
      </c>
      <c r="E43" s="29" t="s">
        <v>780</v>
      </c>
      <c r="F43" s="34"/>
      <c r="G43" s="31">
        <f>SUM(G44)</f>
        <v>718.4</v>
      </c>
      <c r="H43" s="31">
        <f>SUM(H44)</f>
        <v>551.6</v>
      </c>
      <c r="I43" s="31">
        <f t="shared" si="0"/>
        <v>76.78173719376392</v>
      </c>
    </row>
    <row r="44" spans="1:9" s="37" customFormat="1" ht="32.25" customHeight="1">
      <c r="A44" s="32" t="s">
        <v>710</v>
      </c>
      <c r="B44" s="28"/>
      <c r="C44" s="29" t="s">
        <v>715</v>
      </c>
      <c r="D44" s="29" t="s">
        <v>776</v>
      </c>
      <c r="E44" s="29" t="s">
        <v>780</v>
      </c>
      <c r="F44" s="30" t="s">
        <v>711</v>
      </c>
      <c r="G44" s="31">
        <f>461.8+164+11.9+80.7</f>
        <v>718.4</v>
      </c>
      <c r="H44" s="31">
        <v>551.6</v>
      </c>
      <c r="I44" s="31">
        <f t="shared" si="0"/>
        <v>76.78173719376392</v>
      </c>
    </row>
    <row r="45" spans="1:9" ht="21" customHeight="1">
      <c r="A45" s="200" t="s">
        <v>632</v>
      </c>
      <c r="B45" s="118" t="s">
        <v>633</v>
      </c>
      <c r="C45" s="55"/>
      <c r="D45" s="55"/>
      <c r="E45" s="55"/>
      <c r="F45" s="201"/>
      <c r="G45" s="199">
        <f>SUM(G46+G104+G130+G155+G295+G315+G362+G401+G346+G341)</f>
        <v>791681.1</v>
      </c>
      <c r="H45" s="199">
        <f>SUM(H46+H104+H130+H155+H295+H315+H362+H401+H346)</f>
        <v>277278</v>
      </c>
      <c r="I45" s="54">
        <f t="shared" si="0"/>
        <v>35.02395093175775</v>
      </c>
    </row>
    <row r="46" spans="1:9" ht="15">
      <c r="A46" s="27" t="s">
        <v>702</v>
      </c>
      <c r="B46" s="28"/>
      <c r="C46" s="29" t="s">
        <v>703</v>
      </c>
      <c r="D46" s="29"/>
      <c r="E46" s="29"/>
      <c r="F46" s="30"/>
      <c r="G46" s="31">
        <f>SUM(G47+G70+G76+G63+G66)</f>
        <v>96004.90000000001</v>
      </c>
      <c r="H46" s="31">
        <f>SUM(H47+H70+H76+H63+H66)</f>
        <v>63770.40000000001</v>
      </c>
      <c r="I46" s="31">
        <f t="shared" si="0"/>
        <v>66.42410960273904</v>
      </c>
    </row>
    <row r="47" spans="1:9" ht="42.75">
      <c r="A47" s="32" t="s">
        <v>754</v>
      </c>
      <c r="B47" s="28"/>
      <c r="C47" s="29" t="s">
        <v>703</v>
      </c>
      <c r="D47" s="29" t="s">
        <v>737</v>
      </c>
      <c r="E47" s="29"/>
      <c r="F47" s="30"/>
      <c r="G47" s="31">
        <f>SUM(G48)+G60+G58</f>
        <v>75832.40000000001</v>
      </c>
      <c r="H47" s="31">
        <f>SUM(H48)+H60+H58</f>
        <v>52319.90000000001</v>
      </c>
      <c r="I47" s="31">
        <f t="shared" si="0"/>
        <v>68.99412388372252</v>
      </c>
    </row>
    <row r="48" spans="1:9" ht="43.5" customHeight="1">
      <c r="A48" s="32" t="s">
        <v>706</v>
      </c>
      <c r="B48" s="28"/>
      <c r="C48" s="29" t="s">
        <v>703</v>
      </c>
      <c r="D48" s="29" t="s">
        <v>737</v>
      </c>
      <c r="E48" s="29" t="s">
        <v>707</v>
      </c>
      <c r="F48" s="33"/>
      <c r="G48" s="31">
        <f>SUM(G49+G56)</f>
        <v>75301.6</v>
      </c>
      <c r="H48" s="31">
        <f>SUM(H49+H56)</f>
        <v>51899.200000000004</v>
      </c>
      <c r="I48" s="31">
        <f t="shared" si="0"/>
        <v>68.92177589852008</v>
      </c>
    </row>
    <row r="49" spans="1:9" ht="14.25" customHeight="1">
      <c r="A49" s="32" t="s">
        <v>714</v>
      </c>
      <c r="B49" s="28"/>
      <c r="C49" s="29" t="s">
        <v>703</v>
      </c>
      <c r="D49" s="29" t="s">
        <v>737</v>
      </c>
      <c r="E49" s="29" t="s">
        <v>716</v>
      </c>
      <c r="F49" s="33"/>
      <c r="G49" s="31">
        <f>SUM(G50:G50+G51+G53+G54)+G52+G55</f>
        <v>74234.8</v>
      </c>
      <c r="H49" s="31">
        <f>SUM(H50:H50+H51+H53+H54)+H52+H55</f>
        <v>51161.8</v>
      </c>
      <c r="I49" s="31">
        <f t="shared" si="0"/>
        <v>68.9188897929273</v>
      </c>
    </row>
    <row r="50" spans="1:9" ht="29.25" customHeight="1">
      <c r="A50" s="32" t="s">
        <v>710</v>
      </c>
      <c r="B50" s="28"/>
      <c r="C50" s="29" t="s">
        <v>703</v>
      </c>
      <c r="D50" s="29" t="s">
        <v>737</v>
      </c>
      <c r="E50" s="29" t="s">
        <v>716</v>
      </c>
      <c r="F50" s="30" t="s">
        <v>711</v>
      </c>
      <c r="G50" s="31">
        <v>73378</v>
      </c>
      <c r="H50" s="31">
        <v>50612.1</v>
      </c>
      <c r="I50" s="31">
        <f t="shared" si="0"/>
        <v>68.97448826623783</v>
      </c>
    </row>
    <row r="51" spans="1:9" ht="42" customHeight="1">
      <c r="A51" s="32" t="s">
        <v>755</v>
      </c>
      <c r="B51" s="28"/>
      <c r="C51" s="29" t="s">
        <v>703</v>
      </c>
      <c r="D51" s="29" t="s">
        <v>737</v>
      </c>
      <c r="E51" s="29" t="s">
        <v>756</v>
      </c>
      <c r="F51" s="30" t="s">
        <v>711</v>
      </c>
      <c r="G51" s="31">
        <f>717.9+21.1</f>
        <v>739</v>
      </c>
      <c r="H51" s="31">
        <v>507.8</v>
      </c>
      <c r="I51" s="31">
        <f t="shared" si="0"/>
        <v>68.71447902571042</v>
      </c>
    </row>
    <row r="52" spans="1:9" ht="57" hidden="1">
      <c r="A52" s="32" t="s">
        <v>757</v>
      </c>
      <c r="B52" s="28"/>
      <c r="C52" s="29" t="s">
        <v>703</v>
      </c>
      <c r="D52" s="29" t="s">
        <v>737</v>
      </c>
      <c r="E52" s="29" t="s">
        <v>758</v>
      </c>
      <c r="F52" s="30" t="s">
        <v>711</v>
      </c>
      <c r="G52" s="31"/>
      <c r="H52" s="31"/>
      <c r="I52" s="31" t="e">
        <f t="shared" si="0"/>
        <v>#DIV/0!</v>
      </c>
    </row>
    <row r="53" spans="1:9" ht="72" customHeight="1">
      <c r="A53" s="32" t="s">
        <v>759</v>
      </c>
      <c r="B53" s="28"/>
      <c r="C53" s="29" t="s">
        <v>703</v>
      </c>
      <c r="D53" s="29" t="s">
        <v>737</v>
      </c>
      <c r="E53" s="29" t="s">
        <v>760</v>
      </c>
      <c r="F53" s="30" t="s">
        <v>711</v>
      </c>
      <c r="G53" s="31">
        <v>42</v>
      </c>
      <c r="H53" s="31">
        <v>41.9</v>
      </c>
      <c r="I53" s="31">
        <f t="shared" si="0"/>
        <v>99.76190476190476</v>
      </c>
    </row>
    <row r="54" spans="1:9" ht="42.75" customHeight="1" hidden="1">
      <c r="A54" s="32" t="s">
        <v>634</v>
      </c>
      <c r="B54" s="28"/>
      <c r="C54" s="29" t="s">
        <v>703</v>
      </c>
      <c r="D54" s="29" t="s">
        <v>737</v>
      </c>
      <c r="E54" s="29" t="s">
        <v>635</v>
      </c>
      <c r="F54" s="30" t="s">
        <v>711</v>
      </c>
      <c r="G54" s="31">
        <v>0</v>
      </c>
      <c r="H54" s="31">
        <v>0</v>
      </c>
      <c r="I54" s="31" t="e">
        <f t="shared" si="0"/>
        <v>#DIV/0!</v>
      </c>
    </row>
    <row r="55" spans="1:9" ht="59.25" customHeight="1">
      <c r="A55" s="32" t="s">
        <v>761</v>
      </c>
      <c r="B55" s="28"/>
      <c r="C55" s="29" t="s">
        <v>703</v>
      </c>
      <c r="D55" s="29" t="s">
        <v>737</v>
      </c>
      <c r="E55" s="29" t="s">
        <v>762</v>
      </c>
      <c r="F55" s="30" t="s">
        <v>711</v>
      </c>
      <c r="G55" s="31">
        <v>75.8</v>
      </c>
      <c r="H55" s="31"/>
      <c r="I55" s="31">
        <f t="shared" si="0"/>
        <v>0</v>
      </c>
    </row>
    <row r="56" spans="1:9" s="37" customFormat="1" ht="27" customHeight="1">
      <c r="A56" s="32" t="s">
        <v>763</v>
      </c>
      <c r="B56" s="28"/>
      <c r="C56" s="29" t="s">
        <v>715</v>
      </c>
      <c r="D56" s="29" t="s">
        <v>737</v>
      </c>
      <c r="E56" s="29" t="s">
        <v>764</v>
      </c>
      <c r="F56" s="33"/>
      <c r="G56" s="31">
        <f>SUM(G57)</f>
        <v>1066.8</v>
      </c>
      <c r="H56" s="31">
        <f>SUM(H57)</f>
        <v>737.4</v>
      </c>
      <c r="I56" s="31">
        <f t="shared" si="0"/>
        <v>69.12260967379078</v>
      </c>
    </row>
    <row r="57" spans="1:9" s="37" customFormat="1" ht="27" customHeight="1">
      <c r="A57" s="32" t="s">
        <v>710</v>
      </c>
      <c r="B57" s="28"/>
      <c r="C57" s="29" t="s">
        <v>703</v>
      </c>
      <c r="D57" s="29" t="s">
        <v>737</v>
      </c>
      <c r="E57" s="29" t="s">
        <v>764</v>
      </c>
      <c r="F57" s="30" t="s">
        <v>711</v>
      </c>
      <c r="G57" s="31">
        <f>842.7+224.1+220.8-220.8</f>
        <v>1066.8</v>
      </c>
      <c r="H57" s="31">
        <v>737.4</v>
      </c>
      <c r="I57" s="31">
        <f t="shared" si="0"/>
        <v>69.12260967379078</v>
      </c>
    </row>
    <row r="58" spans="1:9" s="37" customFormat="1" ht="27" customHeight="1">
      <c r="A58" s="32" t="s">
        <v>765</v>
      </c>
      <c r="B58" s="28"/>
      <c r="C58" s="29" t="s">
        <v>703</v>
      </c>
      <c r="D58" s="29" t="s">
        <v>737</v>
      </c>
      <c r="E58" s="29" t="s">
        <v>766</v>
      </c>
      <c r="F58" s="30"/>
      <c r="G58" s="31">
        <f>SUM(G59)</f>
        <v>264.8</v>
      </c>
      <c r="H58" s="31">
        <f>SUM(H59)</f>
        <v>264.8</v>
      </c>
      <c r="I58" s="31">
        <f t="shared" si="0"/>
        <v>100</v>
      </c>
    </row>
    <row r="59" spans="1:9" s="37" customFormat="1" ht="27" customHeight="1">
      <c r="A59" s="32" t="s">
        <v>710</v>
      </c>
      <c r="B59" s="28"/>
      <c r="C59" s="29" t="s">
        <v>703</v>
      </c>
      <c r="D59" s="29" t="s">
        <v>737</v>
      </c>
      <c r="E59" s="29" t="s">
        <v>766</v>
      </c>
      <c r="F59" s="30" t="s">
        <v>711</v>
      </c>
      <c r="G59" s="31">
        <v>264.8</v>
      </c>
      <c r="H59" s="31">
        <v>264.8</v>
      </c>
      <c r="I59" s="31">
        <f t="shared" si="0"/>
        <v>100</v>
      </c>
    </row>
    <row r="60" spans="1:9" s="37" customFormat="1" ht="19.5" customHeight="1">
      <c r="A60" s="42" t="s">
        <v>767</v>
      </c>
      <c r="B60" s="28"/>
      <c r="C60" s="29" t="s">
        <v>703</v>
      </c>
      <c r="D60" s="29" t="s">
        <v>737</v>
      </c>
      <c r="E60" s="29" t="s">
        <v>768</v>
      </c>
      <c r="F60" s="33"/>
      <c r="G60" s="31">
        <f>SUM(G61)</f>
        <v>266</v>
      </c>
      <c r="H60" s="31">
        <f>SUM(H61)</f>
        <v>155.9</v>
      </c>
      <c r="I60" s="31">
        <f t="shared" si="0"/>
        <v>58.609022556390975</v>
      </c>
    </row>
    <row r="61" spans="1:9" s="37" customFormat="1" ht="27" customHeight="1">
      <c r="A61" s="32" t="s">
        <v>710</v>
      </c>
      <c r="B61" s="28"/>
      <c r="C61" s="29" t="s">
        <v>703</v>
      </c>
      <c r="D61" s="29" t="s">
        <v>737</v>
      </c>
      <c r="E61" s="29" t="s">
        <v>768</v>
      </c>
      <c r="F61" s="33" t="s">
        <v>711</v>
      </c>
      <c r="G61" s="31">
        <f>SUM(G62:G63)</f>
        <v>266</v>
      </c>
      <c r="H61" s="31">
        <f>SUM(H62:H63)</f>
        <v>155.9</v>
      </c>
      <c r="I61" s="31">
        <f t="shared" si="0"/>
        <v>58.609022556390975</v>
      </c>
    </row>
    <row r="62" spans="1:9" s="37" customFormat="1" ht="15" customHeight="1">
      <c r="A62" s="27" t="s">
        <v>769</v>
      </c>
      <c r="B62" s="28"/>
      <c r="C62" s="29" t="s">
        <v>703</v>
      </c>
      <c r="D62" s="29" t="s">
        <v>737</v>
      </c>
      <c r="E62" s="29" t="s">
        <v>770</v>
      </c>
      <c r="F62" s="33" t="s">
        <v>711</v>
      </c>
      <c r="G62" s="31">
        <f>255.9+10.1</f>
        <v>266</v>
      </c>
      <c r="H62" s="31">
        <v>155.9</v>
      </c>
      <c r="I62" s="31">
        <f t="shared" si="0"/>
        <v>58.609022556390975</v>
      </c>
    </row>
    <row r="63" spans="1:9" s="37" customFormat="1" ht="15.75" customHeight="1" hidden="1">
      <c r="A63" s="32" t="s">
        <v>771</v>
      </c>
      <c r="B63" s="28"/>
      <c r="C63" s="29" t="s">
        <v>703</v>
      </c>
      <c r="D63" s="29" t="s">
        <v>772</v>
      </c>
      <c r="E63" s="29"/>
      <c r="F63" s="33"/>
      <c r="G63" s="31">
        <f>SUM(G64)</f>
        <v>0</v>
      </c>
      <c r="H63" s="31">
        <f>SUM(H64)</f>
        <v>0</v>
      </c>
      <c r="I63" s="31" t="e">
        <f t="shared" si="0"/>
        <v>#DIV/0!</v>
      </c>
    </row>
    <row r="64" spans="1:9" ht="42" customHeight="1" hidden="1">
      <c r="A64" s="46" t="s">
        <v>773</v>
      </c>
      <c r="B64" s="28"/>
      <c r="C64" s="29" t="s">
        <v>703</v>
      </c>
      <c r="D64" s="29" t="s">
        <v>772</v>
      </c>
      <c r="E64" s="29" t="s">
        <v>774</v>
      </c>
      <c r="F64" s="33"/>
      <c r="G64" s="31">
        <f>SUM(G65)</f>
        <v>0</v>
      </c>
      <c r="H64" s="31">
        <f>SUM(H65)</f>
        <v>0</v>
      </c>
      <c r="I64" s="31" t="e">
        <f t="shared" si="0"/>
        <v>#DIV/0!</v>
      </c>
    </row>
    <row r="65" spans="1:9" ht="33" customHeight="1" hidden="1">
      <c r="A65" s="32" t="s">
        <v>710</v>
      </c>
      <c r="B65" s="28"/>
      <c r="C65" s="29" t="s">
        <v>703</v>
      </c>
      <c r="D65" s="29" t="s">
        <v>772</v>
      </c>
      <c r="E65" s="29" t="s">
        <v>774</v>
      </c>
      <c r="F65" s="30" t="s">
        <v>711</v>
      </c>
      <c r="G65" s="31"/>
      <c r="H65" s="31"/>
      <c r="I65" s="31" t="e">
        <f t="shared" si="0"/>
        <v>#DIV/0!</v>
      </c>
    </row>
    <row r="66" spans="1:9" ht="18.75" customHeight="1" hidden="1">
      <c r="A66" s="27" t="s">
        <v>636</v>
      </c>
      <c r="B66" s="28"/>
      <c r="C66" s="29" t="s">
        <v>703</v>
      </c>
      <c r="D66" s="29" t="s">
        <v>776</v>
      </c>
      <c r="E66" s="29"/>
      <c r="F66" s="30"/>
      <c r="G66" s="31">
        <f aca="true" t="shared" si="4" ref="G66:H68">SUM(G67)</f>
        <v>0</v>
      </c>
      <c r="H66" s="31">
        <f t="shared" si="4"/>
        <v>0</v>
      </c>
      <c r="I66" s="31" t="e">
        <f t="shared" si="0"/>
        <v>#DIV/0!</v>
      </c>
    </row>
    <row r="67" spans="1:9" ht="14.25" customHeight="1" hidden="1">
      <c r="A67" s="27" t="s">
        <v>706</v>
      </c>
      <c r="B67" s="28"/>
      <c r="C67" s="29" t="s">
        <v>703</v>
      </c>
      <c r="D67" s="29" t="s">
        <v>776</v>
      </c>
      <c r="E67" s="29" t="s">
        <v>707</v>
      </c>
      <c r="F67" s="30"/>
      <c r="G67" s="31">
        <f t="shared" si="4"/>
        <v>0</v>
      </c>
      <c r="H67" s="31">
        <f t="shared" si="4"/>
        <v>0</v>
      </c>
      <c r="I67" s="31" t="e">
        <f t="shared" si="0"/>
        <v>#DIV/0!</v>
      </c>
    </row>
    <row r="68" spans="1:9" ht="19.5" customHeight="1" hidden="1">
      <c r="A68" s="27" t="s">
        <v>714</v>
      </c>
      <c r="B68" s="28"/>
      <c r="C68" s="29" t="s">
        <v>703</v>
      </c>
      <c r="D68" s="29" t="s">
        <v>776</v>
      </c>
      <c r="E68" s="29" t="s">
        <v>716</v>
      </c>
      <c r="F68" s="30"/>
      <c r="G68" s="31">
        <f t="shared" si="4"/>
        <v>0</v>
      </c>
      <c r="H68" s="31">
        <f t="shared" si="4"/>
        <v>0</v>
      </c>
      <c r="I68" s="31" t="e">
        <f t="shared" si="0"/>
        <v>#DIV/0!</v>
      </c>
    </row>
    <row r="69" spans="1:9" ht="20.25" customHeight="1" hidden="1">
      <c r="A69" s="32" t="s">
        <v>710</v>
      </c>
      <c r="B69" s="28"/>
      <c r="C69" s="29" t="s">
        <v>715</v>
      </c>
      <c r="D69" s="29" t="s">
        <v>776</v>
      </c>
      <c r="E69" s="29" t="s">
        <v>716</v>
      </c>
      <c r="F69" s="34" t="s">
        <v>711</v>
      </c>
      <c r="G69" s="31"/>
      <c r="H69" s="31"/>
      <c r="I69" s="31" t="e">
        <f t="shared" si="0"/>
        <v>#DIV/0!</v>
      </c>
    </row>
    <row r="70" spans="1:9" ht="20.25" customHeight="1">
      <c r="A70" s="48" t="s">
        <v>781</v>
      </c>
      <c r="B70" s="44"/>
      <c r="C70" s="45" t="s">
        <v>703</v>
      </c>
      <c r="D70" s="45" t="s">
        <v>726</v>
      </c>
      <c r="E70" s="45"/>
      <c r="F70" s="33"/>
      <c r="G70" s="31">
        <f>SUM(G71)</f>
        <v>4219.8</v>
      </c>
      <c r="H70" s="31">
        <f>SUM(H71)</f>
        <v>4219.8</v>
      </c>
      <c r="I70" s="31">
        <f t="shared" si="0"/>
        <v>100</v>
      </c>
    </row>
    <row r="71" spans="1:9" ht="18.75" customHeight="1">
      <c r="A71" s="48" t="s">
        <v>781</v>
      </c>
      <c r="B71" s="44"/>
      <c r="C71" s="45" t="s">
        <v>703</v>
      </c>
      <c r="D71" s="45" t="s">
        <v>726</v>
      </c>
      <c r="E71" s="45" t="s">
        <v>782</v>
      </c>
      <c r="F71" s="33"/>
      <c r="G71" s="31">
        <f>SUM(G72+G74)</f>
        <v>4219.8</v>
      </c>
      <c r="H71" s="31">
        <f>SUM(H72+H74)</f>
        <v>4219.8</v>
      </c>
      <c r="I71" s="31">
        <f t="shared" si="0"/>
        <v>100</v>
      </c>
    </row>
    <row r="72" spans="1:9" ht="28.5">
      <c r="A72" s="27" t="s">
        <v>783</v>
      </c>
      <c r="B72" s="44"/>
      <c r="C72" s="45" t="s">
        <v>703</v>
      </c>
      <c r="D72" s="45" t="s">
        <v>726</v>
      </c>
      <c r="E72" s="45" t="s">
        <v>784</v>
      </c>
      <c r="F72" s="33"/>
      <c r="G72" s="31">
        <f>SUM(G73:G73)</f>
        <v>2142.4</v>
      </c>
      <c r="H72" s="31">
        <f>SUM(H73:H73)</f>
        <v>2142.4</v>
      </c>
      <c r="I72" s="31">
        <f t="shared" si="0"/>
        <v>100</v>
      </c>
    </row>
    <row r="73" spans="1:9" ht="28.5">
      <c r="A73" s="32" t="s">
        <v>710</v>
      </c>
      <c r="B73" s="44"/>
      <c r="C73" s="45" t="s">
        <v>703</v>
      </c>
      <c r="D73" s="45" t="s">
        <v>726</v>
      </c>
      <c r="E73" s="45" t="s">
        <v>784</v>
      </c>
      <c r="F73" s="33" t="s">
        <v>711</v>
      </c>
      <c r="G73" s="31">
        <v>2142.4</v>
      </c>
      <c r="H73" s="31">
        <v>2142.4</v>
      </c>
      <c r="I73" s="31">
        <f t="shared" si="0"/>
        <v>100</v>
      </c>
    </row>
    <row r="74" spans="1:9" ht="28.5">
      <c r="A74" s="32" t="s">
        <v>785</v>
      </c>
      <c r="B74" s="44"/>
      <c r="C74" s="45" t="s">
        <v>703</v>
      </c>
      <c r="D74" s="45" t="s">
        <v>726</v>
      </c>
      <c r="E74" s="45" t="s">
        <v>786</v>
      </c>
      <c r="F74" s="33"/>
      <c r="G74" s="31">
        <f>SUM(G75)</f>
        <v>2077.4</v>
      </c>
      <c r="H74" s="31">
        <f>SUM(H75)</f>
        <v>2077.4</v>
      </c>
      <c r="I74" s="31">
        <f t="shared" si="0"/>
        <v>100</v>
      </c>
    </row>
    <row r="75" spans="1:9" ht="28.5">
      <c r="A75" s="32" t="s">
        <v>710</v>
      </c>
      <c r="B75" s="44"/>
      <c r="C75" s="45" t="s">
        <v>703</v>
      </c>
      <c r="D75" s="45" t="s">
        <v>726</v>
      </c>
      <c r="E75" s="45" t="s">
        <v>786</v>
      </c>
      <c r="F75" s="33" t="s">
        <v>711</v>
      </c>
      <c r="G75" s="31">
        <v>2077.4</v>
      </c>
      <c r="H75" s="31">
        <v>2077.4</v>
      </c>
      <c r="I75" s="31">
        <f t="shared" si="0"/>
        <v>100</v>
      </c>
    </row>
    <row r="76" spans="1:9" ht="18.75" customHeight="1">
      <c r="A76" s="32" t="s">
        <v>719</v>
      </c>
      <c r="B76" s="28"/>
      <c r="C76" s="29" t="s">
        <v>703</v>
      </c>
      <c r="D76" s="29" t="s">
        <v>798</v>
      </c>
      <c r="E76" s="29"/>
      <c r="F76" s="33"/>
      <c r="G76" s="31">
        <f>SUM(G77+G88+G91+G94+G97+G100+G85)+G82+G80</f>
        <v>15952.700000000003</v>
      </c>
      <c r="H76" s="31">
        <f>SUM(H77+H88+H91+H94+H97+H100+H85)+H82+H80</f>
        <v>7230.699999999999</v>
      </c>
      <c r="I76" s="31">
        <f t="shared" si="0"/>
        <v>45.32586960201093</v>
      </c>
    </row>
    <row r="77" spans="1:9" ht="28.5">
      <c r="A77" s="27" t="s">
        <v>799</v>
      </c>
      <c r="B77" s="28"/>
      <c r="C77" s="29" t="s">
        <v>703</v>
      </c>
      <c r="D77" s="29" t="s">
        <v>798</v>
      </c>
      <c r="E77" s="29" t="s">
        <v>800</v>
      </c>
      <c r="F77" s="30"/>
      <c r="G77" s="31">
        <f>SUM(G78)</f>
        <v>6776.3</v>
      </c>
      <c r="H77" s="31">
        <f>SUM(H78)</f>
        <v>2749.5</v>
      </c>
      <c r="I77" s="31">
        <f aca="true" t="shared" si="5" ref="I77:I140">SUM(H77/G77*100)</f>
        <v>40.575240175316914</v>
      </c>
    </row>
    <row r="78" spans="1:9" ht="28.5">
      <c r="A78" s="27" t="s">
        <v>801</v>
      </c>
      <c r="B78" s="28"/>
      <c r="C78" s="29" t="s">
        <v>703</v>
      </c>
      <c r="D78" s="29" t="s">
        <v>798</v>
      </c>
      <c r="E78" s="29" t="s">
        <v>802</v>
      </c>
      <c r="F78" s="30"/>
      <c r="G78" s="31">
        <f>SUM(G79)</f>
        <v>6776.3</v>
      </c>
      <c r="H78" s="31">
        <f>SUM(H79)</f>
        <v>2749.5</v>
      </c>
      <c r="I78" s="31">
        <f t="shared" si="5"/>
        <v>40.575240175316914</v>
      </c>
    </row>
    <row r="79" spans="1:9" ht="27" customHeight="1">
      <c r="A79" s="32" t="s">
        <v>710</v>
      </c>
      <c r="B79" s="28"/>
      <c r="C79" s="29" t="s">
        <v>703</v>
      </c>
      <c r="D79" s="29" t="s">
        <v>798</v>
      </c>
      <c r="E79" s="29" t="s">
        <v>802</v>
      </c>
      <c r="F79" s="30" t="s">
        <v>711</v>
      </c>
      <c r="G79" s="31">
        <f>6752.8+23.5</f>
        <v>6776.3</v>
      </c>
      <c r="H79" s="31">
        <v>2749.5</v>
      </c>
      <c r="I79" s="31">
        <f t="shared" si="5"/>
        <v>40.575240175316914</v>
      </c>
    </row>
    <row r="80" spans="1:9" ht="27" customHeight="1">
      <c r="A80" s="32" t="s">
        <v>803</v>
      </c>
      <c r="B80" s="28"/>
      <c r="C80" s="29" t="s">
        <v>703</v>
      </c>
      <c r="D80" s="29" t="s">
        <v>798</v>
      </c>
      <c r="E80" s="29" t="s">
        <v>804</v>
      </c>
      <c r="F80" s="30"/>
      <c r="G80" s="31">
        <f>SUM(G81)</f>
        <v>759.4</v>
      </c>
      <c r="H80" s="31">
        <f>SUM(H81)</f>
        <v>0</v>
      </c>
      <c r="I80" s="31">
        <f t="shared" si="5"/>
        <v>0</v>
      </c>
    </row>
    <row r="81" spans="1:9" ht="27" customHeight="1">
      <c r="A81" s="32" t="s">
        <v>710</v>
      </c>
      <c r="B81" s="28"/>
      <c r="C81" s="29" t="s">
        <v>703</v>
      </c>
      <c r="D81" s="29" t="s">
        <v>798</v>
      </c>
      <c r="E81" s="29" t="s">
        <v>804</v>
      </c>
      <c r="F81" s="30" t="s">
        <v>711</v>
      </c>
      <c r="G81" s="31">
        <v>759.4</v>
      </c>
      <c r="H81" s="31"/>
      <c r="I81" s="31">
        <f t="shared" si="5"/>
        <v>0</v>
      </c>
    </row>
    <row r="82" spans="1:9" ht="27" customHeight="1">
      <c r="A82" s="32" t="s">
        <v>799</v>
      </c>
      <c r="B82" s="28"/>
      <c r="C82" s="29" t="s">
        <v>703</v>
      </c>
      <c r="D82" s="29" t="s">
        <v>798</v>
      </c>
      <c r="E82" s="29" t="s">
        <v>707</v>
      </c>
      <c r="F82" s="33"/>
      <c r="G82" s="31">
        <f>SUM(G83)</f>
        <v>1094.7000000000003</v>
      </c>
      <c r="H82" s="31">
        <f>SUM(H83)</f>
        <v>836.4</v>
      </c>
      <c r="I82" s="31">
        <f t="shared" si="5"/>
        <v>76.40449438202245</v>
      </c>
    </row>
    <row r="83" spans="1:9" ht="27" customHeight="1">
      <c r="A83" s="32" t="s">
        <v>805</v>
      </c>
      <c r="B83" s="28"/>
      <c r="C83" s="29" t="s">
        <v>703</v>
      </c>
      <c r="D83" s="29" t="s">
        <v>798</v>
      </c>
      <c r="E83" s="29" t="s">
        <v>806</v>
      </c>
      <c r="F83" s="33"/>
      <c r="G83" s="31">
        <f>SUM(G84)</f>
        <v>1094.7000000000003</v>
      </c>
      <c r="H83" s="31">
        <f>SUM(H84)</f>
        <v>836.4</v>
      </c>
      <c r="I83" s="31">
        <f t="shared" si="5"/>
        <v>76.40449438202245</v>
      </c>
    </row>
    <row r="84" spans="1:9" ht="27" customHeight="1">
      <c r="A84" s="49" t="s">
        <v>807</v>
      </c>
      <c r="B84" s="28"/>
      <c r="C84" s="29" t="s">
        <v>703</v>
      </c>
      <c r="D84" s="29" t="s">
        <v>798</v>
      </c>
      <c r="E84" s="29" t="s">
        <v>806</v>
      </c>
      <c r="F84" s="33" t="s">
        <v>808</v>
      </c>
      <c r="G84" s="31">
        <f>734.2+60.6+294.6+5.4-0.1</f>
        <v>1094.7000000000003</v>
      </c>
      <c r="H84" s="31">
        <v>836.4</v>
      </c>
      <c r="I84" s="31">
        <f t="shared" si="5"/>
        <v>76.40449438202245</v>
      </c>
    </row>
    <row r="85" spans="1:9" ht="20.25" customHeight="1">
      <c r="A85" s="27" t="s">
        <v>794</v>
      </c>
      <c r="B85" s="28"/>
      <c r="C85" s="29" t="s">
        <v>703</v>
      </c>
      <c r="D85" s="29" t="s">
        <v>798</v>
      </c>
      <c r="E85" s="29" t="s">
        <v>796</v>
      </c>
      <c r="F85" s="30"/>
      <c r="G85" s="31">
        <f>SUM(G87)</f>
        <v>730.7</v>
      </c>
      <c r="H85" s="31">
        <f>SUM(H87)</f>
        <v>536.9</v>
      </c>
      <c r="I85" s="31">
        <f t="shared" si="5"/>
        <v>73.47748734090598</v>
      </c>
    </row>
    <row r="86" spans="1:9" ht="19.5" customHeight="1">
      <c r="A86" s="27" t="s">
        <v>765</v>
      </c>
      <c r="B86" s="28"/>
      <c r="C86" s="29" t="s">
        <v>703</v>
      </c>
      <c r="D86" s="29" t="s">
        <v>798</v>
      </c>
      <c r="E86" s="29" t="s">
        <v>766</v>
      </c>
      <c r="F86" s="30"/>
      <c r="G86" s="31">
        <f>SUM(G87)</f>
        <v>730.7</v>
      </c>
      <c r="H86" s="31">
        <f>SUM(H87)</f>
        <v>536.9</v>
      </c>
      <c r="I86" s="31">
        <f t="shared" si="5"/>
        <v>73.47748734090598</v>
      </c>
    </row>
    <row r="87" spans="1:9" ht="32.25" customHeight="1">
      <c r="A87" s="32" t="s">
        <v>710</v>
      </c>
      <c r="B87" s="28"/>
      <c r="C87" s="29" t="s">
        <v>703</v>
      </c>
      <c r="D87" s="29" t="s">
        <v>798</v>
      </c>
      <c r="E87" s="29" t="s">
        <v>766</v>
      </c>
      <c r="F87" s="30" t="s">
        <v>711</v>
      </c>
      <c r="G87" s="31">
        <f>423.2+113.7+193.8</f>
        <v>730.7</v>
      </c>
      <c r="H87" s="31">
        <f>423.2+113.7</f>
        <v>536.9</v>
      </c>
      <c r="I87" s="31">
        <f t="shared" si="5"/>
        <v>73.47748734090598</v>
      </c>
    </row>
    <row r="88" spans="1:9" ht="46.5" customHeight="1">
      <c r="A88" s="46" t="s">
        <v>809</v>
      </c>
      <c r="B88" s="28"/>
      <c r="C88" s="29" t="s">
        <v>703</v>
      </c>
      <c r="D88" s="29" t="s">
        <v>798</v>
      </c>
      <c r="E88" s="29" t="s">
        <v>733</v>
      </c>
      <c r="F88" s="30"/>
      <c r="G88" s="31">
        <f>SUM(G89)</f>
        <v>1028</v>
      </c>
      <c r="H88" s="31">
        <f>SUM(H89)</f>
        <v>917.7</v>
      </c>
      <c r="I88" s="31">
        <f t="shared" si="5"/>
        <v>89.2704280155642</v>
      </c>
    </row>
    <row r="89" spans="1:9" ht="28.5" customHeight="1">
      <c r="A89" s="46" t="s">
        <v>734</v>
      </c>
      <c r="B89" s="28"/>
      <c r="C89" s="29" t="s">
        <v>703</v>
      </c>
      <c r="D89" s="29" t="s">
        <v>798</v>
      </c>
      <c r="E89" s="29" t="s">
        <v>810</v>
      </c>
      <c r="F89" s="30"/>
      <c r="G89" s="31">
        <f>SUM(G90)</f>
        <v>1028</v>
      </c>
      <c r="H89" s="31">
        <f>SUM(H90)</f>
        <v>917.7</v>
      </c>
      <c r="I89" s="31">
        <f t="shared" si="5"/>
        <v>89.2704280155642</v>
      </c>
    </row>
    <row r="90" spans="1:9" ht="26.25" customHeight="1">
      <c r="A90" s="32" t="s">
        <v>710</v>
      </c>
      <c r="B90" s="28"/>
      <c r="C90" s="29" t="s">
        <v>703</v>
      </c>
      <c r="D90" s="29" t="s">
        <v>798</v>
      </c>
      <c r="E90" s="29" t="s">
        <v>810</v>
      </c>
      <c r="F90" s="30" t="s">
        <v>711</v>
      </c>
      <c r="G90" s="31">
        <f>1514+654.4-5.4-1135</f>
        <v>1028</v>
      </c>
      <c r="H90" s="31">
        <v>917.7</v>
      </c>
      <c r="I90" s="31">
        <f t="shared" si="5"/>
        <v>89.2704280155642</v>
      </c>
    </row>
    <row r="91" spans="1:9" ht="33" customHeight="1">
      <c r="A91" s="32" t="s">
        <v>721</v>
      </c>
      <c r="B91" s="28"/>
      <c r="C91" s="29" t="s">
        <v>703</v>
      </c>
      <c r="D91" s="29" t="s">
        <v>798</v>
      </c>
      <c r="E91" s="29" t="s">
        <v>722</v>
      </c>
      <c r="F91" s="34"/>
      <c r="G91" s="31">
        <f>SUM(G92)</f>
        <v>1689.3999999999999</v>
      </c>
      <c r="H91" s="31">
        <f>SUM(H92)</f>
        <v>872.8</v>
      </c>
      <c r="I91" s="31">
        <f t="shared" si="5"/>
        <v>51.66331241861016</v>
      </c>
    </row>
    <row r="92" spans="1:9" ht="16.5" customHeight="1">
      <c r="A92" s="32" t="s">
        <v>723</v>
      </c>
      <c r="B92" s="28"/>
      <c r="C92" s="29" t="s">
        <v>703</v>
      </c>
      <c r="D92" s="29" t="s">
        <v>798</v>
      </c>
      <c r="E92" s="29" t="s">
        <v>811</v>
      </c>
      <c r="F92" s="34"/>
      <c r="G92" s="31">
        <f>SUM(G93)</f>
        <v>1689.3999999999999</v>
      </c>
      <c r="H92" s="31">
        <f>SUM(H93)</f>
        <v>872.8</v>
      </c>
      <c r="I92" s="31">
        <f t="shared" si="5"/>
        <v>51.66331241861016</v>
      </c>
    </row>
    <row r="93" spans="1:9" ht="27" customHeight="1">
      <c r="A93" s="32" t="s">
        <v>710</v>
      </c>
      <c r="B93" s="28"/>
      <c r="C93" s="29" t="s">
        <v>703</v>
      </c>
      <c r="D93" s="29" t="s">
        <v>798</v>
      </c>
      <c r="E93" s="29" t="s">
        <v>811</v>
      </c>
      <c r="F93" s="34" t="s">
        <v>711</v>
      </c>
      <c r="G93" s="31">
        <f>916.4+812.7+0.6-264.6+15+357.1-276.8+57.5+71.5</f>
        <v>1689.3999999999999</v>
      </c>
      <c r="H93" s="31">
        <v>872.8</v>
      </c>
      <c r="I93" s="31">
        <f t="shared" si="5"/>
        <v>51.66331241861016</v>
      </c>
    </row>
    <row r="94" spans="1:9" ht="42.75" hidden="1">
      <c r="A94" s="43" t="s">
        <v>812</v>
      </c>
      <c r="B94" s="28"/>
      <c r="C94" s="29" t="s">
        <v>703</v>
      </c>
      <c r="D94" s="29" t="s">
        <v>798</v>
      </c>
      <c r="E94" s="29" t="s">
        <v>751</v>
      </c>
      <c r="F94" s="30"/>
      <c r="G94" s="31">
        <f>SUM(G96)</f>
        <v>0</v>
      </c>
      <c r="H94" s="31">
        <f>SUM(H96)</f>
        <v>0</v>
      </c>
      <c r="I94" s="31" t="e">
        <f t="shared" si="5"/>
        <v>#DIV/0!</v>
      </c>
    </row>
    <row r="95" spans="1:9" ht="42.75" hidden="1">
      <c r="A95" s="43" t="s">
        <v>813</v>
      </c>
      <c r="B95" s="28"/>
      <c r="C95" s="29" t="s">
        <v>703</v>
      </c>
      <c r="D95" s="29" t="s">
        <v>798</v>
      </c>
      <c r="E95" s="29" t="s">
        <v>814</v>
      </c>
      <c r="F95" s="30"/>
      <c r="G95" s="31">
        <f>SUM(G96)</f>
        <v>0</v>
      </c>
      <c r="H95" s="31">
        <f>SUM(H96)</f>
        <v>0</v>
      </c>
      <c r="I95" s="31" t="e">
        <f t="shared" si="5"/>
        <v>#DIV/0!</v>
      </c>
    </row>
    <row r="96" spans="1:9" ht="15" hidden="1">
      <c r="A96" s="43" t="s">
        <v>815</v>
      </c>
      <c r="B96" s="28"/>
      <c r="C96" s="29" t="s">
        <v>703</v>
      </c>
      <c r="D96" s="29" t="s">
        <v>798</v>
      </c>
      <c r="E96" s="29" t="s">
        <v>814</v>
      </c>
      <c r="F96" s="30" t="s">
        <v>816</v>
      </c>
      <c r="G96" s="31"/>
      <c r="H96" s="31"/>
      <c r="I96" s="31" t="e">
        <f t="shared" si="5"/>
        <v>#DIV/0!</v>
      </c>
    </row>
    <row r="97" spans="1:9" ht="28.5">
      <c r="A97" s="27" t="s">
        <v>817</v>
      </c>
      <c r="B97" s="28"/>
      <c r="C97" s="29" t="s">
        <v>703</v>
      </c>
      <c r="D97" s="29" t="s">
        <v>798</v>
      </c>
      <c r="E97" s="45" t="s">
        <v>818</v>
      </c>
      <c r="F97" s="33"/>
      <c r="G97" s="31">
        <f>SUM(G98)</f>
        <v>1874.2</v>
      </c>
      <c r="H97" s="31">
        <f>SUM(H98)</f>
        <v>1317.4</v>
      </c>
      <c r="I97" s="31">
        <f t="shared" si="5"/>
        <v>70.29132429836731</v>
      </c>
    </row>
    <row r="98" spans="1:9" ht="28.5">
      <c r="A98" s="32" t="s">
        <v>805</v>
      </c>
      <c r="B98" s="28"/>
      <c r="C98" s="29" t="s">
        <v>703</v>
      </c>
      <c r="D98" s="29" t="s">
        <v>798</v>
      </c>
      <c r="E98" s="45" t="s">
        <v>819</v>
      </c>
      <c r="F98" s="33"/>
      <c r="G98" s="31">
        <f>SUM(G99)</f>
        <v>1874.2</v>
      </c>
      <c r="H98" s="31">
        <f>SUM(H99)</f>
        <v>1317.4</v>
      </c>
      <c r="I98" s="31">
        <f t="shared" si="5"/>
        <v>70.29132429836731</v>
      </c>
    </row>
    <row r="99" spans="1:9" ht="19.5" customHeight="1">
      <c r="A99" s="49" t="s">
        <v>807</v>
      </c>
      <c r="B99" s="28"/>
      <c r="C99" s="29" t="s">
        <v>703</v>
      </c>
      <c r="D99" s="29" t="s">
        <v>798</v>
      </c>
      <c r="E99" s="45" t="s">
        <v>819</v>
      </c>
      <c r="F99" s="33" t="s">
        <v>808</v>
      </c>
      <c r="G99" s="31">
        <f>1676.2+26.3+127.2+44.5</f>
        <v>1874.2</v>
      </c>
      <c r="H99" s="31">
        <v>1317.4</v>
      </c>
      <c r="I99" s="31">
        <f t="shared" si="5"/>
        <v>70.29132429836731</v>
      </c>
    </row>
    <row r="100" spans="1:9" ht="21.75" customHeight="1">
      <c r="A100" s="42" t="s">
        <v>767</v>
      </c>
      <c r="B100" s="28"/>
      <c r="C100" s="29" t="s">
        <v>703</v>
      </c>
      <c r="D100" s="29" t="s">
        <v>798</v>
      </c>
      <c r="E100" s="29" t="s">
        <v>768</v>
      </c>
      <c r="F100" s="34"/>
      <c r="G100" s="31">
        <f>SUM(G101)</f>
        <v>2000</v>
      </c>
      <c r="H100" s="31">
        <f>SUM(H101)</f>
        <v>0</v>
      </c>
      <c r="I100" s="31">
        <f t="shared" si="5"/>
        <v>0</v>
      </c>
    </row>
    <row r="101" spans="1:9" ht="30" customHeight="1">
      <c r="A101" s="32" t="s">
        <v>710</v>
      </c>
      <c r="B101" s="28"/>
      <c r="C101" s="29" t="s">
        <v>703</v>
      </c>
      <c r="D101" s="29" t="s">
        <v>798</v>
      </c>
      <c r="E101" s="29" t="s">
        <v>768</v>
      </c>
      <c r="F101" s="34" t="s">
        <v>711</v>
      </c>
      <c r="G101" s="31">
        <f>SUM(G102:G103)</f>
        <v>2000</v>
      </c>
      <c r="H101" s="31">
        <f>SUM(H102:H103)</f>
        <v>0</v>
      </c>
      <c r="I101" s="31">
        <f t="shared" si="5"/>
        <v>0</v>
      </c>
    </row>
    <row r="102" spans="1:9" ht="22.5" customHeight="1">
      <c r="A102" s="32" t="s">
        <v>820</v>
      </c>
      <c r="B102" s="28"/>
      <c r="C102" s="29" t="s">
        <v>703</v>
      </c>
      <c r="D102" s="29" t="s">
        <v>798</v>
      </c>
      <c r="E102" s="29" t="s">
        <v>821</v>
      </c>
      <c r="F102" s="34" t="s">
        <v>711</v>
      </c>
      <c r="G102" s="31">
        <v>2000</v>
      </c>
      <c r="H102" s="31"/>
      <c r="I102" s="31">
        <f t="shared" si="5"/>
        <v>0</v>
      </c>
    </row>
    <row r="103" spans="1:9" ht="29.25" customHeight="1" hidden="1">
      <c r="A103" s="32" t="s">
        <v>822</v>
      </c>
      <c r="B103" s="28"/>
      <c r="C103" s="29" t="s">
        <v>703</v>
      </c>
      <c r="D103" s="29" t="s">
        <v>798</v>
      </c>
      <c r="E103" s="29" t="s">
        <v>823</v>
      </c>
      <c r="F103" s="34" t="s">
        <v>711</v>
      </c>
      <c r="G103" s="31"/>
      <c r="H103" s="31"/>
      <c r="I103" s="31" t="e">
        <f t="shared" si="5"/>
        <v>#DIV/0!</v>
      </c>
    </row>
    <row r="104" spans="1:9" ht="33" customHeight="1">
      <c r="A104" s="27" t="s">
        <v>824</v>
      </c>
      <c r="B104" s="28"/>
      <c r="C104" s="45" t="s">
        <v>713</v>
      </c>
      <c r="D104" s="45"/>
      <c r="E104" s="45"/>
      <c r="F104" s="33"/>
      <c r="G104" s="31">
        <f>SUM(G108)+G105+G126</f>
        <v>23450.7</v>
      </c>
      <c r="H104" s="31">
        <f>SUM(H108)+H105+H126</f>
        <v>15879.199999999997</v>
      </c>
      <c r="I104" s="31">
        <f t="shared" si="5"/>
        <v>67.71311730566677</v>
      </c>
    </row>
    <row r="105" spans="1:9" ht="18.75" customHeight="1" hidden="1">
      <c r="A105" s="27" t="s">
        <v>825</v>
      </c>
      <c r="B105" s="28"/>
      <c r="C105" s="29" t="s">
        <v>713</v>
      </c>
      <c r="D105" s="29" t="s">
        <v>705</v>
      </c>
      <c r="E105" s="29"/>
      <c r="F105" s="33"/>
      <c r="G105" s="31">
        <f>SUM(G106)</f>
        <v>0</v>
      </c>
      <c r="H105" s="31">
        <f>SUM(H106)</f>
        <v>0</v>
      </c>
      <c r="I105" s="31" t="e">
        <f t="shared" si="5"/>
        <v>#DIV/0!</v>
      </c>
    </row>
    <row r="106" spans="1:9" ht="15" hidden="1">
      <c r="A106" s="27" t="s">
        <v>637</v>
      </c>
      <c r="B106" s="28"/>
      <c r="C106" s="29" t="s">
        <v>713</v>
      </c>
      <c r="D106" s="29" t="s">
        <v>705</v>
      </c>
      <c r="E106" s="55" t="s">
        <v>827</v>
      </c>
      <c r="F106" s="33"/>
      <c r="G106" s="31">
        <f>SUM(G107)</f>
        <v>0</v>
      </c>
      <c r="H106" s="31">
        <f>SUM(H107)</f>
        <v>0</v>
      </c>
      <c r="I106" s="31" t="e">
        <f t="shared" si="5"/>
        <v>#DIV/0!</v>
      </c>
    </row>
    <row r="107" spans="1:9" ht="42.75" hidden="1">
      <c r="A107" s="27" t="s">
        <v>638</v>
      </c>
      <c r="B107" s="28"/>
      <c r="C107" s="45" t="s">
        <v>713</v>
      </c>
      <c r="D107" s="45" t="s">
        <v>705</v>
      </c>
      <c r="E107" s="45" t="s">
        <v>639</v>
      </c>
      <c r="F107" s="33" t="s">
        <v>640</v>
      </c>
      <c r="G107" s="31"/>
      <c r="H107" s="31"/>
      <c r="I107" s="31" t="e">
        <f t="shared" si="5"/>
        <v>#DIV/0!</v>
      </c>
    </row>
    <row r="108" spans="1:9" ht="45.75" customHeight="1">
      <c r="A108" s="46" t="s">
        <v>860</v>
      </c>
      <c r="B108" s="28"/>
      <c r="C108" s="45" t="s">
        <v>713</v>
      </c>
      <c r="D108" s="45" t="s">
        <v>861</v>
      </c>
      <c r="E108" s="45"/>
      <c r="F108" s="33"/>
      <c r="G108" s="31">
        <f>SUM(G112+G117+G120+G123)+G110</f>
        <v>23450.7</v>
      </c>
      <c r="H108" s="31">
        <f>SUM(H112+H117+H120+H123)+H110</f>
        <v>15879.199999999997</v>
      </c>
      <c r="I108" s="31">
        <f t="shared" si="5"/>
        <v>67.71311730566677</v>
      </c>
    </row>
    <row r="109" spans="1:9" s="68" customFormat="1" ht="16.5" customHeight="1" hidden="1">
      <c r="A109" s="27" t="s">
        <v>794</v>
      </c>
      <c r="B109" s="28"/>
      <c r="C109" s="45" t="s">
        <v>713</v>
      </c>
      <c r="D109" s="45" t="s">
        <v>861</v>
      </c>
      <c r="E109" s="45" t="s">
        <v>796</v>
      </c>
      <c r="F109" s="33"/>
      <c r="G109" s="31">
        <f>SUM(G110)</f>
        <v>0</v>
      </c>
      <c r="H109" s="31">
        <f>SUM(H110)</f>
        <v>0</v>
      </c>
      <c r="I109" s="31" t="e">
        <f t="shared" si="5"/>
        <v>#DIV/0!</v>
      </c>
    </row>
    <row r="110" spans="1:9" ht="21.75" customHeight="1" hidden="1">
      <c r="A110" s="27" t="s">
        <v>765</v>
      </c>
      <c r="B110" s="28"/>
      <c r="C110" s="45" t="s">
        <v>713</v>
      </c>
      <c r="D110" s="45" t="s">
        <v>861</v>
      </c>
      <c r="E110" s="45" t="s">
        <v>766</v>
      </c>
      <c r="F110" s="33"/>
      <c r="G110" s="31">
        <f>SUM(G111)</f>
        <v>0</v>
      </c>
      <c r="H110" s="31">
        <f>SUM(H111)</f>
        <v>0</v>
      </c>
      <c r="I110" s="31" t="e">
        <f t="shared" si="5"/>
        <v>#DIV/0!</v>
      </c>
    </row>
    <row r="111" spans="1:9" ht="28.5" hidden="1">
      <c r="A111" s="32" t="s">
        <v>710</v>
      </c>
      <c r="B111" s="28"/>
      <c r="C111" s="45" t="s">
        <v>713</v>
      </c>
      <c r="D111" s="45" t="s">
        <v>861</v>
      </c>
      <c r="E111" s="45" t="s">
        <v>766</v>
      </c>
      <c r="F111" s="33" t="s">
        <v>711</v>
      </c>
      <c r="G111" s="31"/>
      <c r="H111" s="31"/>
      <c r="I111" s="31" t="e">
        <f t="shared" si="5"/>
        <v>#DIV/0!</v>
      </c>
    </row>
    <row r="112" spans="1:9" ht="14.25" customHeight="1">
      <c r="A112" s="46" t="s">
        <v>862</v>
      </c>
      <c r="B112" s="28"/>
      <c r="C112" s="45" t="s">
        <v>713</v>
      </c>
      <c r="D112" s="45" t="s">
        <v>861</v>
      </c>
      <c r="E112" s="45" t="s">
        <v>863</v>
      </c>
      <c r="F112" s="33"/>
      <c r="G112" s="31">
        <f>SUM(G113+G115)</f>
        <v>14223.4</v>
      </c>
      <c r="H112" s="31">
        <f>SUM(H113+H115)</f>
        <v>10264.099999999999</v>
      </c>
      <c r="I112" s="31">
        <f t="shared" si="5"/>
        <v>72.16347708705372</v>
      </c>
    </row>
    <row r="113" spans="1:9" ht="42.75">
      <c r="A113" s="46" t="s">
        <v>864</v>
      </c>
      <c r="B113" s="28"/>
      <c r="C113" s="45" t="s">
        <v>713</v>
      </c>
      <c r="D113" s="45" t="s">
        <v>861</v>
      </c>
      <c r="E113" s="45" t="s">
        <v>865</v>
      </c>
      <c r="F113" s="33"/>
      <c r="G113" s="31">
        <f>SUM(G114)</f>
        <v>687</v>
      </c>
      <c r="H113" s="31">
        <f>SUM(H114)</f>
        <v>438.8</v>
      </c>
      <c r="I113" s="31">
        <f t="shared" si="5"/>
        <v>63.871906841339154</v>
      </c>
    </row>
    <row r="114" spans="1:9" ht="28.5">
      <c r="A114" s="32" t="s">
        <v>710</v>
      </c>
      <c r="B114" s="28"/>
      <c r="C114" s="45" t="s">
        <v>713</v>
      </c>
      <c r="D114" s="45" t="s">
        <v>861</v>
      </c>
      <c r="E114" s="45" t="s">
        <v>865</v>
      </c>
      <c r="F114" s="33" t="s">
        <v>711</v>
      </c>
      <c r="G114" s="31">
        <v>687</v>
      </c>
      <c r="H114" s="31">
        <v>438.8</v>
      </c>
      <c r="I114" s="31">
        <f t="shared" si="5"/>
        <v>63.871906841339154</v>
      </c>
    </row>
    <row r="115" spans="1:9" ht="28.5">
      <c r="A115" s="32" t="s">
        <v>872</v>
      </c>
      <c r="B115" s="28"/>
      <c r="C115" s="45" t="s">
        <v>713</v>
      </c>
      <c r="D115" s="45" t="s">
        <v>861</v>
      </c>
      <c r="E115" s="45" t="s">
        <v>873</v>
      </c>
      <c r="F115" s="45"/>
      <c r="G115" s="31">
        <f>SUM(G116)</f>
        <v>13536.4</v>
      </c>
      <c r="H115" s="31">
        <f>SUM(H116)</f>
        <v>9825.3</v>
      </c>
      <c r="I115" s="31">
        <f t="shared" si="5"/>
        <v>72.58429124434856</v>
      </c>
    </row>
    <row r="116" spans="1:9" ht="15">
      <c r="A116" s="32" t="s">
        <v>792</v>
      </c>
      <c r="B116" s="28"/>
      <c r="C116" s="45" t="s">
        <v>713</v>
      </c>
      <c r="D116" s="45" t="s">
        <v>861</v>
      </c>
      <c r="E116" s="45" t="s">
        <v>873</v>
      </c>
      <c r="F116" s="45" t="s">
        <v>793</v>
      </c>
      <c r="G116" s="31">
        <f>8000+2000+3536.4</f>
        <v>13536.4</v>
      </c>
      <c r="H116" s="31">
        <v>9825.3</v>
      </c>
      <c r="I116" s="31">
        <f t="shared" si="5"/>
        <v>72.58429124434856</v>
      </c>
    </row>
    <row r="117" spans="1:9" ht="15">
      <c r="A117" s="46" t="s">
        <v>874</v>
      </c>
      <c r="B117" s="60"/>
      <c r="C117" s="60" t="s">
        <v>713</v>
      </c>
      <c r="D117" s="60" t="s">
        <v>861</v>
      </c>
      <c r="E117" s="60" t="s">
        <v>875</v>
      </c>
      <c r="F117" s="65"/>
      <c r="G117" s="31">
        <f>SUM(G118)</f>
        <v>300.5</v>
      </c>
      <c r="H117" s="31">
        <f>SUM(H118)</f>
        <v>227.3</v>
      </c>
      <c r="I117" s="31">
        <f t="shared" si="5"/>
        <v>75.6405990016639</v>
      </c>
    </row>
    <row r="118" spans="1:9" ht="27" customHeight="1">
      <c r="A118" s="46" t="s">
        <v>876</v>
      </c>
      <c r="B118" s="60"/>
      <c r="C118" s="61" t="s">
        <v>713</v>
      </c>
      <c r="D118" s="61" t="s">
        <v>861</v>
      </c>
      <c r="E118" s="61" t="s">
        <v>877</v>
      </c>
      <c r="F118" s="62"/>
      <c r="G118" s="31">
        <f>SUM(G119)</f>
        <v>300.5</v>
      </c>
      <c r="H118" s="31">
        <f>SUM(H119)</f>
        <v>227.3</v>
      </c>
      <c r="I118" s="31">
        <f t="shared" si="5"/>
        <v>75.6405990016639</v>
      </c>
    </row>
    <row r="119" spans="1:9" ht="28.5">
      <c r="A119" s="32" t="s">
        <v>710</v>
      </c>
      <c r="B119" s="60"/>
      <c r="C119" s="61" t="s">
        <v>713</v>
      </c>
      <c r="D119" s="61" t="s">
        <v>861</v>
      </c>
      <c r="E119" s="61" t="s">
        <v>877</v>
      </c>
      <c r="F119" s="62" t="s">
        <v>711</v>
      </c>
      <c r="G119" s="31">
        <f>320.5-20</f>
        <v>300.5</v>
      </c>
      <c r="H119" s="31">
        <v>227.3</v>
      </c>
      <c r="I119" s="31">
        <f t="shared" si="5"/>
        <v>75.6405990016639</v>
      </c>
    </row>
    <row r="120" spans="1:9" ht="42.75">
      <c r="A120" s="27" t="s">
        <v>878</v>
      </c>
      <c r="B120" s="28"/>
      <c r="C120" s="45" t="s">
        <v>713</v>
      </c>
      <c r="D120" s="45" t="s">
        <v>861</v>
      </c>
      <c r="E120" s="45" t="s">
        <v>879</v>
      </c>
      <c r="F120" s="33"/>
      <c r="G120" s="31">
        <f>SUM(G121)</f>
        <v>8926.800000000001</v>
      </c>
      <c r="H120" s="31">
        <f>SUM(H121)</f>
        <v>5387.8</v>
      </c>
      <c r="I120" s="31">
        <f t="shared" si="5"/>
        <v>60.35533449836446</v>
      </c>
    </row>
    <row r="121" spans="1:9" ht="28.5">
      <c r="A121" s="27" t="s">
        <v>805</v>
      </c>
      <c r="B121" s="28"/>
      <c r="C121" s="45" t="s">
        <v>713</v>
      </c>
      <c r="D121" s="45" t="s">
        <v>861</v>
      </c>
      <c r="E121" s="45" t="s">
        <v>880</v>
      </c>
      <c r="F121" s="33"/>
      <c r="G121" s="31">
        <f>SUM(G122)</f>
        <v>8926.800000000001</v>
      </c>
      <c r="H121" s="31">
        <f>SUM(H122)</f>
        <v>5387.8</v>
      </c>
      <c r="I121" s="31">
        <f t="shared" si="5"/>
        <v>60.35533449836446</v>
      </c>
    </row>
    <row r="122" spans="1:9" ht="18" customHeight="1">
      <c r="A122" s="49" t="s">
        <v>807</v>
      </c>
      <c r="B122" s="66"/>
      <c r="C122" s="67" t="s">
        <v>713</v>
      </c>
      <c r="D122" s="67" t="s">
        <v>861</v>
      </c>
      <c r="E122" s="67" t="s">
        <v>880</v>
      </c>
      <c r="F122" s="34" t="s">
        <v>808</v>
      </c>
      <c r="G122" s="31">
        <f>8890.6+12.2+20+4</f>
        <v>8926.800000000001</v>
      </c>
      <c r="H122" s="31">
        <v>5387.8</v>
      </c>
      <c r="I122" s="31">
        <f t="shared" si="5"/>
        <v>60.35533449836446</v>
      </c>
    </row>
    <row r="123" spans="1:9" ht="14.25" customHeight="1" hidden="1">
      <c r="A123" s="32" t="s">
        <v>881</v>
      </c>
      <c r="B123" s="66"/>
      <c r="C123" s="67" t="s">
        <v>713</v>
      </c>
      <c r="D123" s="67" t="s">
        <v>861</v>
      </c>
      <c r="E123" s="67" t="s">
        <v>882</v>
      </c>
      <c r="F123" s="34"/>
      <c r="G123" s="31">
        <f>SUM(G125)</f>
        <v>0</v>
      </c>
      <c r="H123" s="31">
        <f>SUM(H125)</f>
        <v>0</v>
      </c>
      <c r="I123" s="31" t="e">
        <f t="shared" si="5"/>
        <v>#DIV/0!</v>
      </c>
    </row>
    <row r="124" spans="1:9" ht="71.25" hidden="1">
      <c r="A124" s="46" t="s">
        <v>883</v>
      </c>
      <c r="B124" s="28"/>
      <c r="C124" s="45" t="s">
        <v>713</v>
      </c>
      <c r="D124" s="45" t="s">
        <v>861</v>
      </c>
      <c r="E124" s="61" t="s">
        <v>884</v>
      </c>
      <c r="F124" s="33"/>
      <c r="G124" s="31">
        <f>SUM(G125)</f>
        <v>0</v>
      </c>
      <c r="H124" s="31">
        <f>SUM(H125)</f>
        <v>0</v>
      </c>
      <c r="I124" s="31" t="e">
        <f t="shared" si="5"/>
        <v>#DIV/0!</v>
      </c>
    </row>
    <row r="125" spans="1:9" ht="57" customHeight="1" hidden="1">
      <c r="A125" s="46" t="s">
        <v>885</v>
      </c>
      <c r="B125" s="28"/>
      <c r="C125" s="45" t="s">
        <v>713</v>
      </c>
      <c r="D125" s="45" t="s">
        <v>861</v>
      </c>
      <c r="E125" s="61" t="s">
        <v>884</v>
      </c>
      <c r="F125" s="33" t="s">
        <v>886</v>
      </c>
      <c r="G125" s="31"/>
      <c r="H125" s="31"/>
      <c r="I125" s="31" t="e">
        <f t="shared" si="5"/>
        <v>#DIV/0!</v>
      </c>
    </row>
    <row r="126" spans="1:9" ht="28.5" hidden="1">
      <c r="A126" s="46" t="s">
        <v>887</v>
      </c>
      <c r="B126" s="28"/>
      <c r="C126" s="45" t="s">
        <v>713</v>
      </c>
      <c r="D126" s="45" t="s">
        <v>798</v>
      </c>
      <c r="E126" s="61"/>
      <c r="F126" s="33"/>
      <c r="G126" s="31">
        <f aca="true" t="shared" si="6" ref="G126:H128">SUM(G127)</f>
        <v>0</v>
      </c>
      <c r="H126" s="31">
        <f t="shared" si="6"/>
        <v>0</v>
      </c>
      <c r="I126" s="31" t="e">
        <f t="shared" si="5"/>
        <v>#DIV/0!</v>
      </c>
    </row>
    <row r="127" spans="1:9" ht="15" hidden="1">
      <c r="A127" s="46" t="s">
        <v>881</v>
      </c>
      <c r="B127" s="28"/>
      <c r="C127" s="45" t="s">
        <v>713</v>
      </c>
      <c r="D127" s="45" t="s">
        <v>798</v>
      </c>
      <c r="E127" s="61" t="s">
        <v>882</v>
      </c>
      <c r="F127" s="33"/>
      <c r="G127" s="31">
        <f t="shared" si="6"/>
        <v>0</v>
      </c>
      <c r="H127" s="31">
        <f t="shared" si="6"/>
        <v>0</v>
      </c>
      <c r="I127" s="31" t="e">
        <f t="shared" si="5"/>
        <v>#DIV/0!</v>
      </c>
    </row>
    <row r="128" spans="1:9" ht="42.75" hidden="1">
      <c r="A128" s="46" t="s">
        <v>0</v>
      </c>
      <c r="B128" s="28"/>
      <c r="C128" s="45" t="s">
        <v>713</v>
      </c>
      <c r="D128" s="45" t="s">
        <v>798</v>
      </c>
      <c r="E128" s="61" t="s">
        <v>884</v>
      </c>
      <c r="F128" s="33"/>
      <c r="G128" s="31">
        <f t="shared" si="6"/>
        <v>0</v>
      </c>
      <c r="H128" s="31">
        <f t="shared" si="6"/>
        <v>0</v>
      </c>
      <c r="I128" s="31" t="e">
        <f t="shared" si="5"/>
        <v>#DIV/0!</v>
      </c>
    </row>
    <row r="129" spans="1:9" ht="15" hidden="1">
      <c r="A129" s="43" t="s">
        <v>815</v>
      </c>
      <c r="B129" s="28"/>
      <c r="C129" s="45" t="s">
        <v>713</v>
      </c>
      <c r="D129" s="45" t="s">
        <v>798</v>
      </c>
      <c r="E129" s="61" t="s">
        <v>884</v>
      </c>
      <c r="F129" s="33" t="s">
        <v>816</v>
      </c>
      <c r="G129" s="31"/>
      <c r="H129" s="31"/>
      <c r="I129" s="31" t="e">
        <f t="shared" si="5"/>
        <v>#DIV/0!</v>
      </c>
    </row>
    <row r="130" spans="1:9" ht="27" customHeight="1">
      <c r="A130" s="27" t="s">
        <v>736</v>
      </c>
      <c r="B130" s="28"/>
      <c r="C130" s="29" t="s">
        <v>737</v>
      </c>
      <c r="D130" s="29"/>
      <c r="E130" s="29"/>
      <c r="F130" s="30"/>
      <c r="G130" s="31">
        <f>SUM(G131+G140)</f>
        <v>66495.2</v>
      </c>
      <c r="H130" s="31">
        <f>SUM(H131+H140)</f>
        <v>53529</v>
      </c>
      <c r="I130" s="31">
        <f t="shared" si="5"/>
        <v>80.50054740793321</v>
      </c>
    </row>
    <row r="131" spans="1:9" ht="15">
      <c r="A131" s="27" t="s">
        <v>738</v>
      </c>
      <c r="B131" s="28"/>
      <c r="C131" s="29" t="s">
        <v>737</v>
      </c>
      <c r="D131" s="29" t="s">
        <v>739</v>
      </c>
      <c r="E131" s="29"/>
      <c r="F131" s="30"/>
      <c r="G131" s="31">
        <f>SUM(G135)+G132</f>
        <v>65400</v>
      </c>
      <c r="H131" s="31">
        <f>SUM(H135)+H132</f>
        <v>53329</v>
      </c>
      <c r="I131" s="31">
        <f t="shared" si="5"/>
        <v>81.5428134556575</v>
      </c>
    </row>
    <row r="132" spans="1:9" ht="28.5">
      <c r="A132" s="27" t="s">
        <v>2</v>
      </c>
      <c r="B132" s="28"/>
      <c r="C132" s="29" t="s">
        <v>737</v>
      </c>
      <c r="D132" s="29" t="s">
        <v>739</v>
      </c>
      <c r="E132" s="45" t="s">
        <v>3</v>
      </c>
      <c r="F132" s="33"/>
      <c r="G132" s="31">
        <f>SUM(G133)+G134</f>
        <v>28400</v>
      </c>
      <c r="H132" s="31">
        <f>SUM(H133)+H134</f>
        <v>22622.6</v>
      </c>
      <c r="I132" s="31">
        <f t="shared" si="5"/>
        <v>79.65704225352113</v>
      </c>
    </row>
    <row r="133" spans="1:9" ht="18" customHeight="1">
      <c r="A133" s="27" t="s">
        <v>4</v>
      </c>
      <c r="B133" s="28"/>
      <c r="C133" s="29" t="s">
        <v>737</v>
      </c>
      <c r="D133" s="29" t="s">
        <v>739</v>
      </c>
      <c r="E133" s="45" t="s">
        <v>3</v>
      </c>
      <c r="F133" s="30" t="s">
        <v>5</v>
      </c>
      <c r="G133" s="31">
        <f>23400+5000</f>
        <v>28400</v>
      </c>
      <c r="H133" s="31">
        <v>22622.6</v>
      </c>
      <c r="I133" s="31">
        <f t="shared" si="5"/>
        <v>79.65704225352113</v>
      </c>
    </row>
    <row r="134" spans="1:9" ht="28.5" customHeight="1" hidden="1">
      <c r="A134" s="32" t="s">
        <v>710</v>
      </c>
      <c r="B134" s="28"/>
      <c r="C134" s="29" t="s">
        <v>737</v>
      </c>
      <c r="D134" s="29" t="s">
        <v>739</v>
      </c>
      <c r="E134" s="45" t="s">
        <v>3</v>
      </c>
      <c r="F134" s="30" t="s">
        <v>711</v>
      </c>
      <c r="G134" s="31"/>
      <c r="H134" s="31"/>
      <c r="I134" s="31" t="e">
        <f t="shared" si="5"/>
        <v>#DIV/0!</v>
      </c>
    </row>
    <row r="135" spans="1:9" ht="18.75" customHeight="1">
      <c r="A135" s="27" t="s">
        <v>740</v>
      </c>
      <c r="B135" s="28"/>
      <c r="C135" s="29" t="s">
        <v>737</v>
      </c>
      <c r="D135" s="29" t="s">
        <v>739</v>
      </c>
      <c r="E135" s="29" t="s">
        <v>741</v>
      </c>
      <c r="F135" s="30"/>
      <c r="G135" s="31">
        <f>SUM(G136)</f>
        <v>37000</v>
      </c>
      <c r="H135" s="31">
        <f>SUM(H136)</f>
        <v>30706.4</v>
      </c>
      <c r="I135" s="31">
        <f t="shared" si="5"/>
        <v>82.99027027027027</v>
      </c>
    </row>
    <row r="136" spans="1:9" s="47" customFormat="1" ht="30" customHeight="1">
      <c r="A136" s="27" t="s">
        <v>742</v>
      </c>
      <c r="B136" s="28"/>
      <c r="C136" s="29" t="s">
        <v>737</v>
      </c>
      <c r="D136" s="29" t="s">
        <v>739</v>
      </c>
      <c r="E136" s="29" t="s">
        <v>10</v>
      </c>
      <c r="F136" s="30"/>
      <c r="G136" s="31">
        <f>SUM(G137+G138)</f>
        <v>37000</v>
      </c>
      <c r="H136" s="31">
        <f>SUM(H137+H138)</f>
        <v>30706.4</v>
      </c>
      <c r="I136" s="31">
        <f t="shared" si="5"/>
        <v>82.99027027027027</v>
      </c>
    </row>
    <row r="137" spans="1:9" ht="14.25" customHeight="1">
      <c r="A137" s="27" t="s">
        <v>4</v>
      </c>
      <c r="B137" s="28"/>
      <c r="C137" s="29" t="s">
        <v>737</v>
      </c>
      <c r="D137" s="29" t="s">
        <v>739</v>
      </c>
      <c r="E137" s="29" t="s">
        <v>10</v>
      </c>
      <c r="F137" s="30" t="s">
        <v>5</v>
      </c>
      <c r="G137" s="31">
        <f>40000-3000</f>
        <v>37000</v>
      </c>
      <c r="H137" s="31">
        <v>30706.4</v>
      </c>
      <c r="I137" s="31">
        <f t="shared" si="5"/>
        <v>82.99027027027027</v>
      </c>
    </row>
    <row r="138" spans="1:9" ht="71.25" hidden="1">
      <c r="A138" s="27" t="s">
        <v>11</v>
      </c>
      <c r="B138" s="28"/>
      <c r="C138" s="29" t="s">
        <v>737</v>
      </c>
      <c r="D138" s="29" t="s">
        <v>739</v>
      </c>
      <c r="E138" s="29" t="s">
        <v>12</v>
      </c>
      <c r="F138" s="30"/>
      <c r="G138" s="31">
        <f>SUM(G139)</f>
        <v>0</v>
      </c>
      <c r="H138" s="31">
        <f>SUM(H139)</f>
        <v>0</v>
      </c>
      <c r="I138" s="31" t="e">
        <f t="shared" si="5"/>
        <v>#DIV/0!</v>
      </c>
    </row>
    <row r="139" spans="1:9" ht="14.25" customHeight="1" hidden="1">
      <c r="A139" s="27" t="s">
        <v>4</v>
      </c>
      <c r="B139" s="28"/>
      <c r="C139" s="29" t="s">
        <v>737</v>
      </c>
      <c r="D139" s="29" t="s">
        <v>739</v>
      </c>
      <c r="E139" s="29" t="s">
        <v>12</v>
      </c>
      <c r="F139" s="30" t="s">
        <v>5</v>
      </c>
      <c r="G139" s="31"/>
      <c r="H139" s="31"/>
      <c r="I139" s="31" t="e">
        <f t="shared" si="5"/>
        <v>#DIV/0!</v>
      </c>
    </row>
    <row r="140" spans="1:9" ht="21.75" customHeight="1">
      <c r="A140" s="43" t="s">
        <v>744</v>
      </c>
      <c r="B140" s="44"/>
      <c r="C140" s="45" t="s">
        <v>737</v>
      </c>
      <c r="D140" s="45" t="s">
        <v>795</v>
      </c>
      <c r="E140" s="45"/>
      <c r="F140" s="33"/>
      <c r="G140" s="31">
        <f>SUM(G144+G146+G151+G141)</f>
        <v>1095.1999999999998</v>
      </c>
      <c r="H140" s="31">
        <f>SUM(H144+H146+H151+H141)</f>
        <v>200</v>
      </c>
      <c r="I140" s="31">
        <f t="shared" si="5"/>
        <v>18.261504747991236</v>
      </c>
    </row>
    <row r="141" spans="1:9" ht="16.5" customHeight="1" hidden="1">
      <c r="A141" s="43" t="s">
        <v>812</v>
      </c>
      <c r="B141" s="45"/>
      <c r="C141" s="45" t="s">
        <v>737</v>
      </c>
      <c r="D141" s="45" t="s">
        <v>795</v>
      </c>
      <c r="E141" s="45" t="s">
        <v>751</v>
      </c>
      <c r="F141" s="33"/>
      <c r="G141" s="31">
        <f>SUM(G143)</f>
        <v>0</v>
      </c>
      <c r="H141" s="31">
        <f>SUM(H143)</f>
        <v>0</v>
      </c>
      <c r="I141" s="31" t="e">
        <f aca="true" t="shared" si="7" ref="I141:I207">SUM(H141/G141*100)</f>
        <v>#DIV/0!</v>
      </c>
    </row>
    <row r="142" spans="1:9" s="47" customFormat="1" ht="28.5" customHeight="1" hidden="1">
      <c r="A142" s="43" t="s">
        <v>813</v>
      </c>
      <c r="B142" s="45"/>
      <c r="C142" s="45"/>
      <c r="D142" s="45"/>
      <c r="E142" s="61" t="s">
        <v>814</v>
      </c>
      <c r="F142" s="33"/>
      <c r="G142" s="31">
        <f>SUM(G143)</f>
        <v>0</v>
      </c>
      <c r="H142" s="31">
        <f>SUM(H143)</f>
        <v>0</v>
      </c>
      <c r="I142" s="31" t="e">
        <f t="shared" si="7"/>
        <v>#DIV/0!</v>
      </c>
    </row>
    <row r="143" spans="1:9" s="85" customFormat="1" ht="19.5" customHeight="1" hidden="1">
      <c r="A143" s="43" t="s">
        <v>815</v>
      </c>
      <c r="B143" s="45"/>
      <c r="C143" s="45" t="s">
        <v>737</v>
      </c>
      <c r="D143" s="45" t="s">
        <v>795</v>
      </c>
      <c r="E143" s="61" t="s">
        <v>814</v>
      </c>
      <c r="F143" s="33" t="s">
        <v>816</v>
      </c>
      <c r="G143" s="31"/>
      <c r="H143" s="31"/>
      <c r="I143" s="31" t="e">
        <f t="shared" si="7"/>
        <v>#DIV/0!</v>
      </c>
    </row>
    <row r="144" spans="1:9" s="68" customFormat="1" ht="27.75" customHeight="1" hidden="1">
      <c r="A144" s="72" t="s">
        <v>13</v>
      </c>
      <c r="B144" s="45"/>
      <c r="C144" s="45" t="s">
        <v>737</v>
      </c>
      <c r="D144" s="45" t="s">
        <v>795</v>
      </c>
      <c r="E144" s="45" t="s">
        <v>14</v>
      </c>
      <c r="F144" s="33"/>
      <c r="G144" s="31">
        <f>SUM(G145)</f>
        <v>0</v>
      </c>
      <c r="H144" s="31">
        <f>SUM(H145)</f>
        <v>0</v>
      </c>
      <c r="I144" s="31" t="e">
        <f t="shared" si="7"/>
        <v>#DIV/0!</v>
      </c>
    </row>
    <row r="145" spans="1:9" s="68" customFormat="1" ht="27" customHeight="1" hidden="1">
      <c r="A145" s="32" t="s">
        <v>710</v>
      </c>
      <c r="B145" s="45"/>
      <c r="C145" s="45" t="s">
        <v>737</v>
      </c>
      <c r="D145" s="45" t="s">
        <v>795</v>
      </c>
      <c r="E145" s="45" t="s">
        <v>14</v>
      </c>
      <c r="F145" s="33" t="s">
        <v>711</v>
      </c>
      <c r="G145" s="31">
        <f>5050-2000-3050</f>
        <v>0</v>
      </c>
      <c r="H145" s="31">
        <f>5050-2000-3050</f>
        <v>0</v>
      </c>
      <c r="I145" s="31" t="e">
        <f t="shared" si="7"/>
        <v>#DIV/0!</v>
      </c>
    </row>
    <row r="146" spans="1:9" s="68" customFormat="1" ht="27" customHeight="1">
      <c r="A146" s="42" t="s">
        <v>746</v>
      </c>
      <c r="B146" s="28"/>
      <c r="C146" s="45" t="s">
        <v>737</v>
      </c>
      <c r="D146" s="45" t="s">
        <v>795</v>
      </c>
      <c r="E146" s="29" t="s">
        <v>747</v>
      </c>
      <c r="F146" s="33"/>
      <c r="G146" s="31">
        <f>SUM(G147)</f>
        <v>690.1999999999998</v>
      </c>
      <c r="H146" s="31">
        <f>SUM(H147)</f>
        <v>200</v>
      </c>
      <c r="I146" s="31">
        <f t="shared" si="7"/>
        <v>28.977108084613164</v>
      </c>
    </row>
    <row r="147" spans="1:9" s="68" customFormat="1" ht="27" customHeight="1">
      <c r="A147" s="42" t="s">
        <v>15</v>
      </c>
      <c r="B147" s="28"/>
      <c r="C147" s="45" t="s">
        <v>737</v>
      </c>
      <c r="D147" s="45" t="s">
        <v>795</v>
      </c>
      <c r="E147" s="29" t="s">
        <v>16</v>
      </c>
      <c r="F147" s="33"/>
      <c r="G147" s="31">
        <f>SUM(G148)</f>
        <v>690.1999999999998</v>
      </c>
      <c r="H147" s="31">
        <f>SUM(H148)</f>
        <v>200</v>
      </c>
      <c r="I147" s="31">
        <f t="shared" si="7"/>
        <v>28.977108084613164</v>
      </c>
    </row>
    <row r="148" spans="1:9" s="68" customFormat="1" ht="30.75" customHeight="1">
      <c r="A148" s="32" t="s">
        <v>710</v>
      </c>
      <c r="B148" s="28"/>
      <c r="C148" s="45" t="s">
        <v>737</v>
      </c>
      <c r="D148" s="45" t="s">
        <v>795</v>
      </c>
      <c r="E148" s="29" t="s">
        <v>16</v>
      </c>
      <c r="F148" s="33" t="s">
        <v>711</v>
      </c>
      <c r="G148" s="31">
        <f>1208.7+2000-2518.5</f>
        <v>690.1999999999998</v>
      </c>
      <c r="H148" s="31">
        <v>200</v>
      </c>
      <c r="I148" s="31">
        <f t="shared" si="7"/>
        <v>28.977108084613164</v>
      </c>
    </row>
    <row r="149" spans="1:9" s="202" customFormat="1" ht="22.5" customHeight="1" hidden="1">
      <c r="A149" s="42" t="s">
        <v>746</v>
      </c>
      <c r="B149" s="28"/>
      <c r="C149" s="45" t="s">
        <v>737</v>
      </c>
      <c r="D149" s="45" t="s">
        <v>795</v>
      </c>
      <c r="E149" s="29" t="s">
        <v>747</v>
      </c>
      <c r="F149" s="33"/>
      <c r="G149" s="31">
        <f>SUM(G150)</f>
        <v>0</v>
      </c>
      <c r="H149" s="31">
        <f>SUM(H150)</f>
        <v>0</v>
      </c>
      <c r="I149" s="31" t="e">
        <f t="shared" si="7"/>
        <v>#DIV/0!</v>
      </c>
    </row>
    <row r="150" spans="1:9" s="68" customFormat="1" ht="26.25" customHeight="1" hidden="1">
      <c r="A150" s="42" t="s">
        <v>748</v>
      </c>
      <c r="B150" s="28"/>
      <c r="C150" s="45" t="s">
        <v>737</v>
      </c>
      <c r="D150" s="45" t="s">
        <v>795</v>
      </c>
      <c r="E150" s="29" t="s">
        <v>747</v>
      </c>
      <c r="F150" s="33" t="s">
        <v>749</v>
      </c>
      <c r="G150" s="31"/>
      <c r="H150" s="31"/>
      <c r="I150" s="31" t="e">
        <f t="shared" si="7"/>
        <v>#DIV/0!</v>
      </c>
    </row>
    <row r="151" spans="1:9" s="68" customFormat="1" ht="21" customHeight="1">
      <c r="A151" s="42" t="s">
        <v>767</v>
      </c>
      <c r="B151" s="28"/>
      <c r="C151" s="45" t="s">
        <v>737</v>
      </c>
      <c r="D151" s="45" t="s">
        <v>795</v>
      </c>
      <c r="E151" s="29" t="s">
        <v>768</v>
      </c>
      <c r="F151" s="33"/>
      <c r="G151" s="31">
        <f>SUM(G152)</f>
        <v>405</v>
      </c>
      <c r="H151" s="31">
        <f>SUM(H152)</f>
        <v>0</v>
      </c>
      <c r="I151" s="31">
        <f t="shared" si="7"/>
        <v>0</v>
      </c>
    </row>
    <row r="152" spans="1:9" s="68" customFormat="1" ht="28.5">
      <c r="A152" s="32" t="s">
        <v>710</v>
      </c>
      <c r="B152" s="28"/>
      <c r="C152" s="45" t="s">
        <v>737</v>
      </c>
      <c r="D152" s="45" t="s">
        <v>795</v>
      </c>
      <c r="E152" s="29" t="s">
        <v>768</v>
      </c>
      <c r="F152" s="33" t="s">
        <v>711</v>
      </c>
      <c r="G152" s="31">
        <f>SUM(G153:G154)</f>
        <v>405</v>
      </c>
      <c r="H152" s="31">
        <f>SUM(H153:H154)</f>
        <v>0</v>
      </c>
      <c r="I152" s="31">
        <f t="shared" si="7"/>
        <v>0</v>
      </c>
    </row>
    <row r="153" spans="1:9" s="68" customFormat="1" ht="42.75" customHeight="1">
      <c r="A153" s="73" t="s">
        <v>17</v>
      </c>
      <c r="B153" s="44"/>
      <c r="C153" s="45" t="s">
        <v>737</v>
      </c>
      <c r="D153" s="45" t="s">
        <v>795</v>
      </c>
      <c r="E153" s="29" t="s">
        <v>18</v>
      </c>
      <c r="F153" s="33" t="s">
        <v>711</v>
      </c>
      <c r="G153" s="64">
        <f>43.3+361.7</f>
        <v>405</v>
      </c>
      <c r="H153" s="64"/>
      <c r="I153" s="31">
        <f t="shared" si="7"/>
        <v>0</v>
      </c>
    </row>
    <row r="154" spans="1:9" s="68" customFormat="1" ht="19.5" customHeight="1" hidden="1">
      <c r="A154" s="73" t="s">
        <v>19</v>
      </c>
      <c r="B154" s="44"/>
      <c r="C154" s="45" t="s">
        <v>737</v>
      </c>
      <c r="D154" s="45" t="s">
        <v>795</v>
      </c>
      <c r="E154" s="29" t="s">
        <v>20</v>
      </c>
      <c r="F154" s="33" t="s">
        <v>711</v>
      </c>
      <c r="G154" s="64"/>
      <c r="H154" s="64"/>
      <c r="I154" s="31" t="e">
        <f t="shared" si="7"/>
        <v>#DIV/0!</v>
      </c>
    </row>
    <row r="155" spans="1:9" s="68" customFormat="1" ht="18" customHeight="1">
      <c r="A155" s="43" t="s">
        <v>21</v>
      </c>
      <c r="B155" s="44"/>
      <c r="C155" s="45" t="s">
        <v>772</v>
      </c>
      <c r="D155" s="45"/>
      <c r="E155" s="45"/>
      <c r="F155" s="34"/>
      <c r="G155" s="203">
        <f>SUM(G156+G208+G235+G262)</f>
        <v>572786.3999999999</v>
      </c>
      <c r="H155" s="203">
        <f>SUM(H156+H208+H235+H262)</f>
        <v>127351.2</v>
      </c>
      <c r="I155" s="31">
        <f t="shared" si="7"/>
        <v>22.23362845207219</v>
      </c>
    </row>
    <row r="156" spans="1:9" s="68" customFormat="1" ht="15">
      <c r="A156" s="27" t="s">
        <v>22</v>
      </c>
      <c r="B156" s="28"/>
      <c r="C156" s="29" t="s">
        <v>772</v>
      </c>
      <c r="D156" s="29" t="s">
        <v>703</v>
      </c>
      <c r="E156" s="29"/>
      <c r="F156" s="30"/>
      <c r="G156" s="31">
        <f>SUM(G177+G199+G169+G182+G157+G196)</f>
        <v>224570.79999999996</v>
      </c>
      <c r="H156" s="31">
        <f>SUM(H177+H199+H169+H182+H157)</f>
        <v>24076.4</v>
      </c>
      <c r="I156" s="31">
        <f t="shared" si="7"/>
        <v>10.721073265090567</v>
      </c>
    </row>
    <row r="157" spans="1:9" s="47" customFormat="1" ht="49.5" customHeight="1">
      <c r="A157" s="78" t="s">
        <v>23</v>
      </c>
      <c r="B157" s="79"/>
      <c r="C157" s="29" t="s">
        <v>772</v>
      </c>
      <c r="D157" s="29" t="s">
        <v>703</v>
      </c>
      <c r="E157" s="29" t="s">
        <v>24</v>
      </c>
      <c r="F157" s="30"/>
      <c r="G157" s="31">
        <f>SUM(G158+G165)</f>
        <v>222198.39999999997</v>
      </c>
      <c r="H157" s="31">
        <f>SUM(H158+H165)</f>
        <v>23798.300000000003</v>
      </c>
      <c r="I157" s="31">
        <f t="shared" si="7"/>
        <v>10.710383153074012</v>
      </c>
    </row>
    <row r="158" spans="1:9" s="47" customFormat="1" ht="92.25" customHeight="1">
      <c r="A158" s="78" t="s">
        <v>25</v>
      </c>
      <c r="B158" s="79"/>
      <c r="C158" s="29" t="s">
        <v>772</v>
      </c>
      <c r="D158" s="29" t="s">
        <v>703</v>
      </c>
      <c r="E158" s="29" t="s">
        <v>26</v>
      </c>
      <c r="F158" s="30"/>
      <c r="G158" s="31">
        <f>SUM(G159+G161+G163)</f>
        <v>176409.59999999998</v>
      </c>
      <c r="H158" s="31">
        <f>SUM(H159+H161+H163)</f>
        <v>20414.4</v>
      </c>
      <c r="I158" s="31">
        <f t="shared" si="7"/>
        <v>11.572159338267307</v>
      </c>
    </row>
    <row r="159" spans="1:9" s="47" customFormat="1" ht="78" customHeight="1">
      <c r="A159" s="78" t="s">
        <v>27</v>
      </c>
      <c r="B159" s="79"/>
      <c r="C159" s="29" t="s">
        <v>772</v>
      </c>
      <c r="D159" s="29" t="s">
        <v>703</v>
      </c>
      <c r="E159" s="29" t="s">
        <v>28</v>
      </c>
      <c r="F159" s="30"/>
      <c r="G159" s="31">
        <f>SUM(G160)</f>
        <v>34568</v>
      </c>
      <c r="H159" s="31">
        <f>SUM(H160)</f>
        <v>15652.8</v>
      </c>
      <c r="I159" s="31">
        <f t="shared" si="7"/>
        <v>45.28118491090025</v>
      </c>
    </row>
    <row r="160" spans="1:9" s="47" customFormat="1" ht="15">
      <c r="A160" s="27" t="s">
        <v>4</v>
      </c>
      <c r="B160" s="28"/>
      <c r="C160" s="29" t="s">
        <v>772</v>
      </c>
      <c r="D160" s="29" t="s">
        <v>703</v>
      </c>
      <c r="E160" s="29" t="s">
        <v>28</v>
      </c>
      <c r="F160" s="30" t="s">
        <v>5</v>
      </c>
      <c r="G160" s="31">
        <f>16568+18000</f>
        <v>34568</v>
      </c>
      <c r="H160" s="31">
        <v>15652.8</v>
      </c>
      <c r="I160" s="31">
        <f t="shared" si="7"/>
        <v>45.28118491090025</v>
      </c>
    </row>
    <row r="161" spans="1:9" s="47" customFormat="1" ht="71.25">
      <c r="A161" s="78" t="s">
        <v>29</v>
      </c>
      <c r="B161" s="79"/>
      <c r="C161" s="29" t="s">
        <v>772</v>
      </c>
      <c r="D161" s="29" t="s">
        <v>703</v>
      </c>
      <c r="E161" s="29" t="s">
        <v>30</v>
      </c>
      <c r="F161" s="30"/>
      <c r="G161" s="31">
        <f>SUM(G162)</f>
        <v>108161.9</v>
      </c>
      <c r="H161" s="31">
        <f>SUM(H162)</f>
        <v>0</v>
      </c>
      <c r="I161" s="31">
        <f t="shared" si="7"/>
        <v>0</v>
      </c>
    </row>
    <row r="162" spans="1:9" s="47" customFormat="1" ht="15">
      <c r="A162" s="80" t="s">
        <v>815</v>
      </c>
      <c r="B162" s="79"/>
      <c r="C162" s="29" t="s">
        <v>772</v>
      </c>
      <c r="D162" s="29" t="s">
        <v>703</v>
      </c>
      <c r="E162" s="29" t="s">
        <v>30</v>
      </c>
      <c r="F162" s="30" t="s">
        <v>816</v>
      </c>
      <c r="G162" s="31">
        <f>108161.9+36640-36640</f>
        <v>108161.9</v>
      </c>
      <c r="H162" s="31"/>
      <c r="I162" s="31">
        <f t="shared" si="7"/>
        <v>0</v>
      </c>
    </row>
    <row r="163" spans="1:9" s="47" customFormat="1" ht="92.25" customHeight="1">
      <c r="A163" s="78" t="s">
        <v>31</v>
      </c>
      <c r="B163" s="79"/>
      <c r="C163" s="29" t="s">
        <v>772</v>
      </c>
      <c r="D163" s="29" t="s">
        <v>703</v>
      </c>
      <c r="E163" s="29" t="s">
        <v>32</v>
      </c>
      <c r="F163" s="30"/>
      <c r="G163" s="31">
        <f>SUM(G164)</f>
        <v>33679.7</v>
      </c>
      <c r="H163" s="31">
        <f>SUM(H164)</f>
        <v>4761.6</v>
      </c>
      <c r="I163" s="31">
        <f t="shared" si="7"/>
        <v>14.137893152254922</v>
      </c>
    </row>
    <row r="164" spans="1:9" s="47" customFormat="1" ht="15">
      <c r="A164" s="80" t="s">
        <v>815</v>
      </c>
      <c r="B164" s="79"/>
      <c r="C164" s="29" t="s">
        <v>772</v>
      </c>
      <c r="D164" s="29" t="s">
        <v>703</v>
      </c>
      <c r="E164" s="29" t="s">
        <v>32</v>
      </c>
      <c r="F164" s="30" t="s">
        <v>816</v>
      </c>
      <c r="G164" s="31">
        <v>33679.7</v>
      </c>
      <c r="H164" s="31">
        <v>4761.6</v>
      </c>
      <c r="I164" s="31">
        <f t="shared" si="7"/>
        <v>14.137893152254922</v>
      </c>
    </row>
    <row r="165" spans="1:9" s="47" customFormat="1" ht="57">
      <c r="A165" s="48" t="s">
        <v>33</v>
      </c>
      <c r="B165" s="79"/>
      <c r="C165" s="29" t="s">
        <v>772</v>
      </c>
      <c r="D165" s="29" t="s">
        <v>703</v>
      </c>
      <c r="E165" s="29" t="s">
        <v>34</v>
      </c>
      <c r="F165" s="30"/>
      <c r="G165" s="31">
        <f>SUM(G166)+G172+G175</f>
        <v>45788.8</v>
      </c>
      <c r="H165" s="31">
        <f>SUM(H166)+H172+H175</f>
        <v>3383.9</v>
      </c>
      <c r="I165" s="31">
        <f t="shared" si="7"/>
        <v>7.390235166678314</v>
      </c>
    </row>
    <row r="166" spans="1:9" s="47" customFormat="1" ht="37.5" customHeight="1">
      <c r="A166" s="48" t="s">
        <v>35</v>
      </c>
      <c r="B166" s="79"/>
      <c r="C166" s="29" t="s">
        <v>772</v>
      </c>
      <c r="D166" s="29" t="s">
        <v>703</v>
      </c>
      <c r="E166" s="29" t="s">
        <v>36</v>
      </c>
      <c r="F166" s="30"/>
      <c r="G166" s="31">
        <f>SUM(G167+G168)</f>
        <v>4720.4</v>
      </c>
      <c r="H166" s="31">
        <f>SUM(H167+H168)</f>
        <v>1562</v>
      </c>
      <c r="I166" s="31">
        <f t="shared" si="7"/>
        <v>33.090416066435054</v>
      </c>
    </row>
    <row r="167" spans="1:9" s="47" customFormat="1" ht="21" customHeight="1">
      <c r="A167" s="82" t="s">
        <v>4</v>
      </c>
      <c r="B167" s="79"/>
      <c r="C167" s="29" t="s">
        <v>772</v>
      </c>
      <c r="D167" s="29" t="s">
        <v>703</v>
      </c>
      <c r="E167" s="29" t="s">
        <v>36</v>
      </c>
      <c r="F167" s="30" t="s">
        <v>5</v>
      </c>
      <c r="G167" s="31">
        <f>5000-813.5-2003.1-295-100</f>
        <v>1788.4</v>
      </c>
      <c r="H167" s="31">
        <v>233.9</v>
      </c>
      <c r="I167" s="31">
        <f t="shared" si="7"/>
        <v>13.078729590695593</v>
      </c>
    </row>
    <row r="168" spans="1:9" s="47" customFormat="1" ht="30.75" customHeight="1">
      <c r="A168" s="82" t="s">
        <v>37</v>
      </c>
      <c r="B168" s="79"/>
      <c r="C168" s="29" t="s">
        <v>772</v>
      </c>
      <c r="D168" s="29" t="s">
        <v>703</v>
      </c>
      <c r="E168" s="29" t="s">
        <v>36</v>
      </c>
      <c r="F168" s="30" t="s">
        <v>38</v>
      </c>
      <c r="G168" s="31">
        <f>1405+1527</f>
        <v>2932</v>
      </c>
      <c r="H168" s="31">
        <v>1328.1</v>
      </c>
      <c r="I168" s="31">
        <f t="shared" si="7"/>
        <v>45.296725784447474</v>
      </c>
    </row>
    <row r="169" spans="1:9" s="47" customFormat="1" ht="0.75" customHeight="1" hidden="1">
      <c r="A169" s="43" t="s">
        <v>812</v>
      </c>
      <c r="B169" s="28"/>
      <c r="C169" s="29" t="s">
        <v>772</v>
      </c>
      <c r="D169" s="29" t="s">
        <v>703</v>
      </c>
      <c r="E169" s="29" t="s">
        <v>751</v>
      </c>
      <c r="F169" s="30"/>
      <c r="G169" s="31">
        <f>SUM(G170)</f>
        <v>0</v>
      </c>
      <c r="H169" s="31">
        <f>SUM(H170)</f>
        <v>0</v>
      </c>
      <c r="I169" s="31" t="e">
        <f t="shared" si="7"/>
        <v>#DIV/0!</v>
      </c>
    </row>
    <row r="170" spans="1:9" s="47" customFormat="1" ht="18" customHeight="1" hidden="1">
      <c r="A170" s="43" t="s">
        <v>813</v>
      </c>
      <c r="B170" s="28"/>
      <c r="C170" s="29" t="s">
        <v>772</v>
      </c>
      <c r="D170" s="29" t="s">
        <v>703</v>
      </c>
      <c r="E170" s="29" t="s">
        <v>814</v>
      </c>
      <c r="F170" s="30"/>
      <c r="G170" s="31">
        <f>SUM(G171)</f>
        <v>0</v>
      </c>
      <c r="H170" s="31">
        <f>SUM(H171)</f>
        <v>0</v>
      </c>
      <c r="I170" s="31" t="e">
        <f t="shared" si="7"/>
        <v>#DIV/0!</v>
      </c>
    </row>
    <row r="171" spans="1:9" s="47" customFormat="1" ht="25.5" customHeight="1" hidden="1">
      <c r="A171" s="43" t="s">
        <v>815</v>
      </c>
      <c r="B171" s="28"/>
      <c r="C171" s="29" t="s">
        <v>772</v>
      </c>
      <c r="D171" s="29" t="s">
        <v>703</v>
      </c>
      <c r="E171" s="29" t="s">
        <v>814</v>
      </c>
      <c r="F171" s="30" t="s">
        <v>816</v>
      </c>
      <c r="G171" s="31"/>
      <c r="H171" s="31"/>
      <c r="I171" s="31" t="e">
        <f t="shared" si="7"/>
        <v>#DIV/0!</v>
      </c>
    </row>
    <row r="172" spans="1:9" s="47" customFormat="1" ht="43.5" customHeight="1">
      <c r="A172" s="83" t="s">
        <v>39</v>
      </c>
      <c r="B172" s="28"/>
      <c r="C172" s="29" t="s">
        <v>772</v>
      </c>
      <c r="D172" s="29" t="s">
        <v>703</v>
      </c>
      <c r="E172" s="29" t="s">
        <v>40</v>
      </c>
      <c r="F172" s="30"/>
      <c r="G172" s="31">
        <f>SUM(G173+G174)</f>
        <v>28509</v>
      </c>
      <c r="H172" s="31">
        <f>SUM(H173+H174)</f>
        <v>0</v>
      </c>
      <c r="I172" s="31">
        <f t="shared" si="7"/>
        <v>0</v>
      </c>
    </row>
    <row r="173" spans="1:9" s="47" customFormat="1" ht="19.5" customHeight="1">
      <c r="A173" s="80" t="s">
        <v>815</v>
      </c>
      <c r="B173" s="28"/>
      <c r="C173" s="29" t="s">
        <v>772</v>
      </c>
      <c r="D173" s="29" t="s">
        <v>703</v>
      </c>
      <c r="E173" s="29" t="s">
        <v>40</v>
      </c>
      <c r="F173" s="30" t="s">
        <v>816</v>
      </c>
      <c r="G173" s="31">
        <f>24088.9-10788.9+4420.1</f>
        <v>17720.100000000002</v>
      </c>
      <c r="H173" s="31"/>
      <c r="I173" s="31">
        <f t="shared" si="7"/>
        <v>0</v>
      </c>
    </row>
    <row r="174" spans="1:9" s="47" customFormat="1" ht="29.25" customHeight="1">
      <c r="A174" s="80" t="s">
        <v>41</v>
      </c>
      <c r="B174" s="28"/>
      <c r="C174" s="29" t="s">
        <v>772</v>
      </c>
      <c r="D174" s="29" t="s">
        <v>703</v>
      </c>
      <c r="E174" s="29" t="s">
        <v>40</v>
      </c>
      <c r="F174" s="30" t="s">
        <v>42</v>
      </c>
      <c r="G174" s="31">
        <f>10788.9+3654.7-3654.7</f>
        <v>10788.899999999998</v>
      </c>
      <c r="H174" s="31"/>
      <c r="I174" s="31">
        <f t="shared" si="7"/>
        <v>0</v>
      </c>
    </row>
    <row r="175" spans="1:9" s="47" customFormat="1" ht="63" customHeight="1">
      <c r="A175" s="83" t="s">
        <v>43</v>
      </c>
      <c r="B175" s="28"/>
      <c r="C175" s="29" t="s">
        <v>772</v>
      </c>
      <c r="D175" s="29" t="s">
        <v>703</v>
      </c>
      <c r="E175" s="29" t="s">
        <v>44</v>
      </c>
      <c r="F175" s="30"/>
      <c r="G175" s="31">
        <f>SUM(G176)</f>
        <v>12559.4</v>
      </c>
      <c r="H175" s="31">
        <f>SUM(H176)</f>
        <v>1821.9</v>
      </c>
      <c r="I175" s="31">
        <f t="shared" si="7"/>
        <v>14.50626622290874</v>
      </c>
    </row>
    <row r="176" spans="1:9" s="47" customFormat="1" ht="19.5" customHeight="1">
      <c r="A176" s="80" t="s">
        <v>815</v>
      </c>
      <c r="B176" s="28"/>
      <c r="C176" s="29" t="s">
        <v>772</v>
      </c>
      <c r="D176" s="29" t="s">
        <v>703</v>
      </c>
      <c r="E176" s="29" t="s">
        <v>44</v>
      </c>
      <c r="F176" s="30" t="s">
        <v>816</v>
      </c>
      <c r="G176" s="31">
        <f>9059.4+3500</f>
        <v>12559.4</v>
      </c>
      <c r="H176" s="31">
        <v>1821.9</v>
      </c>
      <c r="I176" s="31">
        <f t="shared" si="7"/>
        <v>14.50626622290874</v>
      </c>
    </row>
    <row r="177" spans="1:9" s="47" customFormat="1" ht="15.75" customHeight="1" hidden="1">
      <c r="A177" s="27" t="s">
        <v>45</v>
      </c>
      <c r="B177" s="28"/>
      <c r="C177" s="29" t="s">
        <v>772</v>
      </c>
      <c r="D177" s="29" t="s">
        <v>703</v>
      </c>
      <c r="E177" s="29" t="s">
        <v>46</v>
      </c>
      <c r="F177" s="30"/>
      <c r="G177" s="31">
        <f>SUM(G178+G180)</f>
        <v>0</v>
      </c>
      <c r="H177" s="31">
        <f>SUM(H178+H180)</f>
        <v>0</v>
      </c>
      <c r="I177" s="31" t="e">
        <f t="shared" si="7"/>
        <v>#DIV/0!</v>
      </c>
    </row>
    <row r="178" spans="1:9" s="47" customFormat="1" ht="42.75" customHeight="1" hidden="1">
      <c r="A178" s="46" t="s">
        <v>47</v>
      </c>
      <c r="B178" s="28"/>
      <c r="C178" s="29" t="s">
        <v>772</v>
      </c>
      <c r="D178" s="29" t="s">
        <v>703</v>
      </c>
      <c r="E178" s="29" t="s">
        <v>48</v>
      </c>
      <c r="F178" s="30"/>
      <c r="G178" s="31">
        <f>SUM(G179)</f>
        <v>0</v>
      </c>
      <c r="H178" s="31">
        <f>SUM(H179)</f>
        <v>0</v>
      </c>
      <c r="I178" s="31" t="e">
        <f t="shared" si="7"/>
        <v>#DIV/0!</v>
      </c>
    </row>
    <row r="179" spans="1:9" s="47" customFormat="1" ht="20.25" customHeight="1" hidden="1">
      <c r="A179" s="27" t="s">
        <v>4</v>
      </c>
      <c r="B179" s="28"/>
      <c r="C179" s="29" t="s">
        <v>772</v>
      </c>
      <c r="D179" s="29" t="s">
        <v>703</v>
      </c>
      <c r="E179" s="29" t="s">
        <v>48</v>
      </c>
      <c r="F179" s="30" t="s">
        <v>5</v>
      </c>
      <c r="G179" s="31"/>
      <c r="H179" s="31"/>
      <c r="I179" s="31" t="e">
        <f t="shared" si="7"/>
        <v>#DIV/0!</v>
      </c>
    </row>
    <row r="180" spans="1:9" s="47" customFormat="1" ht="44.25" customHeight="1" hidden="1">
      <c r="A180" s="46" t="s">
        <v>49</v>
      </c>
      <c r="B180" s="44"/>
      <c r="C180" s="29" t="s">
        <v>772</v>
      </c>
      <c r="D180" s="29" t="s">
        <v>703</v>
      </c>
      <c r="E180" s="29" t="s">
        <v>50</v>
      </c>
      <c r="F180" s="33"/>
      <c r="G180" s="31">
        <f>SUM(G181)</f>
        <v>0</v>
      </c>
      <c r="H180" s="31">
        <f>SUM(H181)</f>
        <v>0</v>
      </c>
      <c r="I180" s="31" t="e">
        <f t="shared" si="7"/>
        <v>#DIV/0!</v>
      </c>
    </row>
    <row r="181" spans="1:9" s="47" customFormat="1" ht="30" customHeight="1" hidden="1">
      <c r="A181" s="32" t="s">
        <v>710</v>
      </c>
      <c r="B181" s="84"/>
      <c r="C181" s="29" t="s">
        <v>772</v>
      </c>
      <c r="D181" s="29" t="s">
        <v>703</v>
      </c>
      <c r="E181" s="29" t="s">
        <v>50</v>
      </c>
      <c r="F181" s="62" t="s">
        <v>711</v>
      </c>
      <c r="G181" s="64"/>
      <c r="H181" s="64"/>
      <c r="I181" s="31" t="e">
        <f t="shared" si="7"/>
        <v>#DIV/0!</v>
      </c>
    </row>
    <row r="182" spans="1:9" s="47" customFormat="1" ht="17.25" customHeight="1" hidden="1">
      <c r="A182" s="46" t="s">
        <v>881</v>
      </c>
      <c r="B182" s="60"/>
      <c r="C182" s="88" t="s">
        <v>772</v>
      </c>
      <c r="D182" s="88" t="s">
        <v>703</v>
      </c>
      <c r="E182" s="88" t="s">
        <v>882</v>
      </c>
      <c r="F182" s="86"/>
      <c r="G182" s="87">
        <f>SUM(G186)+G191+G183</f>
        <v>0</v>
      </c>
      <c r="H182" s="87">
        <f>SUM(H186)+H191+H183</f>
        <v>0</v>
      </c>
      <c r="I182" s="31" t="e">
        <f t="shared" si="7"/>
        <v>#DIV/0!</v>
      </c>
    </row>
    <row r="183" spans="1:9" s="47" customFormat="1" ht="46.5" customHeight="1" hidden="1">
      <c r="A183" s="46" t="s">
        <v>51</v>
      </c>
      <c r="B183" s="60"/>
      <c r="C183" s="88" t="s">
        <v>772</v>
      </c>
      <c r="D183" s="88" t="s">
        <v>703</v>
      </c>
      <c r="E183" s="88" t="s">
        <v>52</v>
      </c>
      <c r="F183" s="86"/>
      <c r="G183" s="87">
        <f>SUM(G184)</f>
        <v>0</v>
      </c>
      <c r="H183" s="87">
        <f>SUM(H184)</f>
        <v>0</v>
      </c>
      <c r="I183" s="31" t="e">
        <f t="shared" si="7"/>
        <v>#DIV/0!</v>
      </c>
    </row>
    <row r="184" spans="1:9" s="47" customFormat="1" ht="19.5" customHeight="1" hidden="1">
      <c r="A184" s="46" t="s">
        <v>815</v>
      </c>
      <c r="B184" s="60"/>
      <c r="C184" s="88" t="s">
        <v>772</v>
      </c>
      <c r="D184" s="88" t="s">
        <v>703</v>
      </c>
      <c r="E184" s="88" t="s">
        <v>52</v>
      </c>
      <c r="F184" s="86" t="s">
        <v>816</v>
      </c>
      <c r="G184" s="87"/>
      <c r="H184" s="87"/>
      <c r="I184" s="31" t="e">
        <f t="shared" si="7"/>
        <v>#DIV/0!</v>
      </c>
    </row>
    <row r="185" spans="1:9" s="47" customFormat="1" ht="26.25" customHeight="1" hidden="1">
      <c r="A185" s="46"/>
      <c r="B185" s="60"/>
      <c r="C185" s="60"/>
      <c r="D185" s="60"/>
      <c r="E185" s="60"/>
      <c r="F185" s="86"/>
      <c r="G185" s="87"/>
      <c r="H185" s="87"/>
      <c r="I185" s="31" t="e">
        <f t="shared" si="7"/>
        <v>#DIV/0!</v>
      </c>
    </row>
    <row r="186" spans="1:9" s="47" customFormat="1" ht="18" customHeight="1" hidden="1">
      <c r="A186" s="27" t="s">
        <v>53</v>
      </c>
      <c r="B186" s="60"/>
      <c r="C186" s="88" t="s">
        <v>772</v>
      </c>
      <c r="D186" s="88" t="s">
        <v>703</v>
      </c>
      <c r="E186" s="88" t="s">
        <v>54</v>
      </c>
      <c r="F186" s="86"/>
      <c r="G186" s="87">
        <f>SUM(G187+G189)</f>
        <v>0</v>
      </c>
      <c r="H186" s="87">
        <f>SUM(H187+H189)</f>
        <v>0</v>
      </c>
      <c r="I186" s="31" t="e">
        <f t="shared" si="7"/>
        <v>#DIV/0!</v>
      </c>
    </row>
    <row r="187" spans="1:9" s="47" customFormat="1" ht="42.75" hidden="1">
      <c r="A187" s="46" t="s">
        <v>55</v>
      </c>
      <c r="B187" s="89"/>
      <c r="C187" s="88" t="s">
        <v>772</v>
      </c>
      <c r="D187" s="88" t="s">
        <v>703</v>
      </c>
      <c r="E187" s="88" t="s">
        <v>56</v>
      </c>
      <c r="F187" s="86"/>
      <c r="G187" s="87">
        <f>SUM(G188)</f>
        <v>0</v>
      </c>
      <c r="H187" s="87">
        <f>SUM(H188)</f>
        <v>0</v>
      </c>
      <c r="I187" s="31" t="e">
        <f t="shared" si="7"/>
        <v>#DIV/0!</v>
      </c>
    </row>
    <row r="188" spans="1:9" s="47" customFormat="1" ht="15" hidden="1">
      <c r="A188" s="43" t="s">
        <v>815</v>
      </c>
      <c r="B188" s="60"/>
      <c r="C188" s="88" t="s">
        <v>772</v>
      </c>
      <c r="D188" s="88" t="s">
        <v>703</v>
      </c>
      <c r="E188" s="88" t="s">
        <v>56</v>
      </c>
      <c r="F188" s="65" t="s">
        <v>816</v>
      </c>
      <c r="G188" s="31"/>
      <c r="H188" s="31"/>
      <c r="I188" s="31" t="e">
        <f t="shared" si="7"/>
        <v>#DIV/0!</v>
      </c>
    </row>
    <row r="189" spans="1:9" s="47" customFormat="1" ht="28.5" hidden="1">
      <c r="A189" s="43" t="s">
        <v>57</v>
      </c>
      <c r="B189" s="60"/>
      <c r="C189" s="88" t="s">
        <v>772</v>
      </c>
      <c r="D189" s="88" t="s">
        <v>703</v>
      </c>
      <c r="E189" s="88" t="s">
        <v>58</v>
      </c>
      <c r="F189" s="65"/>
      <c r="G189" s="31">
        <f>SUM(G190)</f>
        <v>0</v>
      </c>
      <c r="H189" s="31">
        <f>SUM(H190)</f>
        <v>0</v>
      </c>
      <c r="I189" s="31" t="e">
        <f t="shared" si="7"/>
        <v>#DIV/0!</v>
      </c>
    </row>
    <row r="190" spans="1:9" s="47" customFormat="1" ht="28.5" hidden="1">
      <c r="A190" s="32" t="s">
        <v>710</v>
      </c>
      <c r="B190" s="84"/>
      <c r="C190" s="29" t="s">
        <v>772</v>
      </c>
      <c r="D190" s="29" t="s">
        <v>703</v>
      </c>
      <c r="E190" s="88" t="s">
        <v>58</v>
      </c>
      <c r="F190" s="65" t="s">
        <v>711</v>
      </c>
      <c r="G190" s="31"/>
      <c r="H190" s="31"/>
      <c r="I190" s="31" t="e">
        <f t="shared" si="7"/>
        <v>#DIV/0!</v>
      </c>
    </row>
    <row r="191" spans="1:9" s="47" customFormat="1" ht="28.5" hidden="1">
      <c r="A191" s="32" t="s">
        <v>59</v>
      </c>
      <c r="B191" s="84"/>
      <c r="C191" s="29" t="s">
        <v>772</v>
      </c>
      <c r="D191" s="29" t="s">
        <v>703</v>
      </c>
      <c r="E191" s="61" t="s">
        <v>60</v>
      </c>
      <c r="F191" s="65"/>
      <c r="G191" s="31"/>
      <c r="H191" s="31"/>
      <c r="I191" s="31" t="e">
        <f t="shared" si="7"/>
        <v>#DIV/0!</v>
      </c>
    </row>
    <row r="192" spans="1:9" s="47" customFormat="1" ht="42.75" hidden="1">
      <c r="A192" s="32" t="s">
        <v>61</v>
      </c>
      <c r="B192" s="84"/>
      <c r="C192" s="29" t="s">
        <v>772</v>
      </c>
      <c r="D192" s="29" t="s">
        <v>703</v>
      </c>
      <c r="E192" s="61" t="s">
        <v>62</v>
      </c>
      <c r="F192" s="65"/>
      <c r="G192" s="31">
        <f>SUM(G193)</f>
        <v>0</v>
      </c>
      <c r="H192" s="31">
        <f>SUM(H193)</f>
        <v>0</v>
      </c>
      <c r="I192" s="31" t="e">
        <f t="shared" si="7"/>
        <v>#DIV/0!</v>
      </c>
    </row>
    <row r="193" spans="1:9" s="47" customFormat="1" ht="15" hidden="1">
      <c r="A193" s="27" t="s">
        <v>4</v>
      </c>
      <c r="B193" s="84"/>
      <c r="C193" s="29" t="s">
        <v>772</v>
      </c>
      <c r="D193" s="29" t="s">
        <v>703</v>
      </c>
      <c r="E193" s="88" t="s">
        <v>62</v>
      </c>
      <c r="F193" s="65" t="s">
        <v>5</v>
      </c>
      <c r="G193" s="31"/>
      <c r="H193" s="31"/>
      <c r="I193" s="31" t="e">
        <f t="shared" si="7"/>
        <v>#DIV/0!</v>
      </c>
    </row>
    <row r="194" spans="1:9" s="47" customFormat="1" ht="42.75" hidden="1">
      <c r="A194" s="32" t="s">
        <v>63</v>
      </c>
      <c r="B194" s="84"/>
      <c r="C194" s="29" t="s">
        <v>772</v>
      </c>
      <c r="D194" s="29" t="s">
        <v>703</v>
      </c>
      <c r="E194" s="61" t="s">
        <v>64</v>
      </c>
      <c r="F194" s="65"/>
      <c r="G194" s="31">
        <f>SUM(G195)</f>
        <v>0</v>
      </c>
      <c r="H194" s="31">
        <f>SUM(H195)</f>
        <v>0</v>
      </c>
      <c r="I194" s="31" t="e">
        <f t="shared" si="7"/>
        <v>#DIV/0!</v>
      </c>
    </row>
    <row r="195" spans="1:9" s="47" customFormat="1" ht="21.75" customHeight="1" hidden="1">
      <c r="A195" s="27" t="s">
        <v>4</v>
      </c>
      <c r="B195" s="84"/>
      <c r="C195" s="29" t="s">
        <v>772</v>
      </c>
      <c r="D195" s="29" t="s">
        <v>703</v>
      </c>
      <c r="E195" s="88" t="s">
        <v>64</v>
      </c>
      <c r="F195" s="65" t="s">
        <v>5</v>
      </c>
      <c r="G195" s="31"/>
      <c r="H195" s="31"/>
      <c r="I195" s="31" t="e">
        <f t="shared" si="7"/>
        <v>#DIV/0!</v>
      </c>
    </row>
    <row r="196" spans="1:9" s="47" customFormat="1" ht="21.75" customHeight="1">
      <c r="A196" s="27" t="s">
        <v>45</v>
      </c>
      <c r="B196" s="84"/>
      <c r="C196" s="29" t="s">
        <v>772</v>
      </c>
      <c r="D196" s="29" t="s">
        <v>703</v>
      </c>
      <c r="E196" s="88" t="s">
        <v>46</v>
      </c>
      <c r="F196" s="65"/>
      <c r="G196" s="31">
        <f>SUM(G197)</f>
        <v>813.5</v>
      </c>
      <c r="H196" s="31"/>
      <c r="I196" s="31"/>
    </row>
    <row r="197" spans="1:9" s="47" customFormat="1" ht="45.75" customHeight="1">
      <c r="A197" s="27" t="s">
        <v>517</v>
      </c>
      <c r="B197" s="84"/>
      <c r="C197" s="29" t="s">
        <v>772</v>
      </c>
      <c r="D197" s="29" t="s">
        <v>703</v>
      </c>
      <c r="E197" s="61" t="s">
        <v>50</v>
      </c>
      <c r="F197" s="65"/>
      <c r="G197" s="31">
        <f>SUM(G198)</f>
        <v>813.5</v>
      </c>
      <c r="H197" s="31"/>
      <c r="I197" s="31"/>
    </row>
    <row r="198" spans="1:9" s="47" customFormat="1" ht="32.25" customHeight="1">
      <c r="A198" s="27" t="s">
        <v>710</v>
      </c>
      <c r="B198" s="84"/>
      <c r="C198" s="29" t="s">
        <v>772</v>
      </c>
      <c r="D198" s="29" t="s">
        <v>703</v>
      </c>
      <c r="E198" s="61" t="s">
        <v>50</v>
      </c>
      <c r="F198" s="62" t="s">
        <v>711</v>
      </c>
      <c r="G198" s="31">
        <v>813.5</v>
      </c>
      <c r="H198" s="31"/>
      <c r="I198" s="31"/>
    </row>
    <row r="199" spans="1:9" s="47" customFormat="1" ht="15">
      <c r="A199" s="90" t="s">
        <v>767</v>
      </c>
      <c r="B199" s="60"/>
      <c r="C199" s="60" t="s">
        <v>772</v>
      </c>
      <c r="D199" s="60" t="s">
        <v>703</v>
      </c>
      <c r="E199" s="60" t="s">
        <v>768</v>
      </c>
      <c r="F199" s="65"/>
      <c r="G199" s="31">
        <f>SUM(G200+G203)+G206</f>
        <v>1558.9</v>
      </c>
      <c r="H199" s="31">
        <f>SUM(H200+H203)+H206</f>
        <v>278.1</v>
      </c>
      <c r="I199" s="31">
        <f t="shared" si="7"/>
        <v>17.83950221309898</v>
      </c>
    </row>
    <row r="200" spans="1:9" s="47" customFormat="1" ht="25.5" customHeight="1" hidden="1">
      <c r="A200" s="32" t="s">
        <v>710</v>
      </c>
      <c r="B200" s="60"/>
      <c r="C200" s="60" t="s">
        <v>772</v>
      </c>
      <c r="D200" s="60" t="s">
        <v>703</v>
      </c>
      <c r="E200" s="60" t="s">
        <v>768</v>
      </c>
      <c r="F200" s="65" t="s">
        <v>711</v>
      </c>
      <c r="G200" s="91">
        <f>SUM(G201:G202)</f>
        <v>0</v>
      </c>
      <c r="H200" s="91">
        <f>SUM(H201:H202)</f>
        <v>0</v>
      </c>
      <c r="I200" s="31" t="e">
        <f t="shared" si="7"/>
        <v>#DIV/0!</v>
      </c>
    </row>
    <row r="201" spans="1:9" s="47" customFormat="1" ht="15" customHeight="1" hidden="1">
      <c r="A201" s="80" t="s">
        <v>65</v>
      </c>
      <c r="B201" s="60"/>
      <c r="C201" s="60" t="s">
        <v>772</v>
      </c>
      <c r="D201" s="60" t="s">
        <v>703</v>
      </c>
      <c r="E201" s="60" t="s">
        <v>66</v>
      </c>
      <c r="F201" s="65" t="s">
        <v>711</v>
      </c>
      <c r="G201" s="91"/>
      <c r="H201" s="91"/>
      <c r="I201" s="31" t="e">
        <f t="shared" si="7"/>
        <v>#DIV/0!</v>
      </c>
    </row>
    <row r="202" spans="1:9" s="85" customFormat="1" ht="15" customHeight="1" hidden="1">
      <c r="A202" s="80" t="s">
        <v>67</v>
      </c>
      <c r="B202" s="60"/>
      <c r="C202" s="60" t="s">
        <v>772</v>
      </c>
      <c r="D202" s="60" t="s">
        <v>703</v>
      </c>
      <c r="E202" s="60" t="s">
        <v>68</v>
      </c>
      <c r="F202" s="65" t="s">
        <v>711</v>
      </c>
      <c r="G202" s="91"/>
      <c r="H202" s="91"/>
      <c r="I202" s="31" t="e">
        <f t="shared" si="7"/>
        <v>#DIV/0!</v>
      </c>
    </row>
    <row r="203" spans="1:9" s="85" customFormat="1" ht="15">
      <c r="A203" s="80" t="s">
        <v>815</v>
      </c>
      <c r="B203" s="60"/>
      <c r="C203" s="60" t="s">
        <v>772</v>
      </c>
      <c r="D203" s="60" t="s">
        <v>703</v>
      </c>
      <c r="E203" s="60" t="s">
        <v>768</v>
      </c>
      <c r="F203" s="65" t="s">
        <v>816</v>
      </c>
      <c r="G203" s="64">
        <f>SUM(G204)</f>
        <v>1012.5</v>
      </c>
      <c r="H203" s="64">
        <f>SUM(H204)</f>
        <v>167.7</v>
      </c>
      <c r="I203" s="31">
        <f t="shared" si="7"/>
        <v>16.562962962962963</v>
      </c>
    </row>
    <row r="204" spans="1:9" ht="47.25" customHeight="1">
      <c r="A204" s="43" t="s">
        <v>69</v>
      </c>
      <c r="B204" s="60"/>
      <c r="C204" s="61" t="s">
        <v>772</v>
      </c>
      <c r="D204" s="61" t="s">
        <v>703</v>
      </c>
      <c r="E204" s="61" t="s">
        <v>70</v>
      </c>
      <c r="F204" s="62" t="s">
        <v>816</v>
      </c>
      <c r="G204" s="31">
        <f>SUM(G205)</f>
        <v>1012.5</v>
      </c>
      <c r="H204" s="31">
        <f>SUM(H205)</f>
        <v>167.7</v>
      </c>
      <c r="I204" s="31">
        <f t="shared" si="7"/>
        <v>16.562962962962963</v>
      </c>
    </row>
    <row r="205" spans="1:9" s="47" customFormat="1" ht="47.25" customHeight="1">
      <c r="A205" s="46" t="s">
        <v>55</v>
      </c>
      <c r="B205" s="60"/>
      <c r="C205" s="61" t="s">
        <v>772</v>
      </c>
      <c r="D205" s="61" t="s">
        <v>703</v>
      </c>
      <c r="E205" s="61" t="s">
        <v>71</v>
      </c>
      <c r="F205" s="62" t="s">
        <v>816</v>
      </c>
      <c r="G205" s="31">
        <v>1012.5</v>
      </c>
      <c r="H205" s="31">
        <v>167.7</v>
      </c>
      <c r="I205" s="31">
        <f t="shared" si="7"/>
        <v>16.562962962962963</v>
      </c>
    </row>
    <row r="206" spans="1:9" s="47" customFormat="1" ht="47.25" customHeight="1">
      <c r="A206" s="92" t="s">
        <v>74</v>
      </c>
      <c r="B206" s="60"/>
      <c r="C206" s="61" t="s">
        <v>772</v>
      </c>
      <c r="D206" s="61" t="s">
        <v>703</v>
      </c>
      <c r="E206" s="61" t="s">
        <v>75</v>
      </c>
      <c r="F206" s="62"/>
      <c r="G206" s="31">
        <f>SUM(G207)</f>
        <v>546.4</v>
      </c>
      <c r="H206" s="31">
        <f>SUM(H207)</f>
        <v>110.4</v>
      </c>
      <c r="I206" s="31">
        <f t="shared" si="7"/>
        <v>20.20497803806735</v>
      </c>
    </row>
    <row r="207" spans="1:9" s="47" customFormat="1" ht="19.5" customHeight="1">
      <c r="A207" s="80" t="s">
        <v>815</v>
      </c>
      <c r="B207" s="60"/>
      <c r="C207" s="61" t="s">
        <v>772</v>
      </c>
      <c r="D207" s="61" t="s">
        <v>703</v>
      </c>
      <c r="E207" s="61" t="s">
        <v>75</v>
      </c>
      <c r="F207" s="62" t="s">
        <v>816</v>
      </c>
      <c r="G207" s="31">
        <v>546.4</v>
      </c>
      <c r="H207" s="31">
        <v>110.4</v>
      </c>
      <c r="I207" s="31">
        <f t="shared" si="7"/>
        <v>20.20497803806735</v>
      </c>
    </row>
    <row r="208" spans="1:9" ht="21" customHeight="1">
      <c r="A208" s="43" t="s">
        <v>76</v>
      </c>
      <c r="B208" s="44"/>
      <c r="C208" s="45" t="s">
        <v>772</v>
      </c>
      <c r="D208" s="45" t="s">
        <v>705</v>
      </c>
      <c r="E208" s="45"/>
      <c r="F208" s="33"/>
      <c r="G208" s="31">
        <f>SUM(G215+G227)+G209+G223+G212</f>
        <v>51305.5</v>
      </c>
      <c r="H208" s="31">
        <f>SUM(H215+H227)+H209+H223+H212</f>
        <v>24530.6</v>
      </c>
      <c r="I208" s="31">
        <f aca="true" t="shared" si="8" ref="I208:I277">SUM(H208/G208*100)</f>
        <v>47.81280759372776</v>
      </c>
    </row>
    <row r="209" spans="1:9" ht="18" customHeight="1" hidden="1">
      <c r="A209" s="27" t="s">
        <v>794</v>
      </c>
      <c r="B209" s="28"/>
      <c r="C209" s="45" t="s">
        <v>772</v>
      </c>
      <c r="D209" s="45" t="s">
        <v>705</v>
      </c>
      <c r="E209" s="45" t="s">
        <v>796</v>
      </c>
      <c r="F209" s="33"/>
      <c r="G209" s="31">
        <f>SUM(G210)</f>
        <v>0</v>
      </c>
      <c r="H209" s="31">
        <f>SUM(H210)</f>
        <v>0</v>
      </c>
      <c r="I209" s="31" t="e">
        <f t="shared" si="8"/>
        <v>#DIV/0!</v>
      </c>
    </row>
    <row r="210" spans="1:9" ht="15.75" customHeight="1" hidden="1">
      <c r="A210" s="27" t="s">
        <v>765</v>
      </c>
      <c r="B210" s="28"/>
      <c r="C210" s="45" t="s">
        <v>772</v>
      </c>
      <c r="D210" s="45" t="s">
        <v>705</v>
      </c>
      <c r="E210" s="45" t="s">
        <v>766</v>
      </c>
      <c r="F210" s="30"/>
      <c r="G210" s="31">
        <f>SUM(G211)</f>
        <v>0</v>
      </c>
      <c r="H210" s="31">
        <f>SUM(H211)</f>
        <v>0</v>
      </c>
      <c r="I210" s="31" t="e">
        <f t="shared" si="8"/>
        <v>#DIV/0!</v>
      </c>
    </row>
    <row r="211" spans="1:9" ht="15.75" customHeight="1" hidden="1">
      <c r="A211" s="32" t="s">
        <v>710</v>
      </c>
      <c r="B211" s="28"/>
      <c r="C211" s="45" t="s">
        <v>772</v>
      </c>
      <c r="D211" s="45" t="s">
        <v>705</v>
      </c>
      <c r="E211" s="45" t="s">
        <v>766</v>
      </c>
      <c r="F211" s="30" t="s">
        <v>711</v>
      </c>
      <c r="G211" s="31"/>
      <c r="H211" s="31"/>
      <c r="I211" s="31" t="e">
        <f t="shared" si="8"/>
        <v>#DIV/0!</v>
      </c>
    </row>
    <row r="212" spans="1:9" ht="27.75" customHeight="1">
      <c r="A212" s="94" t="s">
        <v>81</v>
      </c>
      <c r="B212" s="28"/>
      <c r="C212" s="45" t="s">
        <v>772</v>
      </c>
      <c r="D212" s="45" t="s">
        <v>705</v>
      </c>
      <c r="E212" s="45" t="s">
        <v>82</v>
      </c>
      <c r="F212" s="30"/>
      <c r="G212" s="31">
        <f>SUM(G213)</f>
        <v>9483.599999999999</v>
      </c>
      <c r="H212" s="31">
        <f>SUM(H213)</f>
        <v>9483.6</v>
      </c>
      <c r="I212" s="31">
        <f t="shared" si="8"/>
        <v>100.00000000000003</v>
      </c>
    </row>
    <row r="213" spans="1:9" ht="33" customHeight="1">
      <c r="A213" s="94" t="s">
        <v>83</v>
      </c>
      <c r="B213" s="28"/>
      <c r="C213" s="45" t="s">
        <v>772</v>
      </c>
      <c r="D213" s="45" t="s">
        <v>705</v>
      </c>
      <c r="E213" s="45" t="s">
        <v>84</v>
      </c>
      <c r="F213" s="30"/>
      <c r="G213" s="31">
        <f>SUM(G214)</f>
        <v>9483.599999999999</v>
      </c>
      <c r="H213" s="31">
        <f>SUM(H214)</f>
        <v>9483.6</v>
      </c>
      <c r="I213" s="31">
        <f t="shared" si="8"/>
        <v>100.00000000000003</v>
      </c>
    </row>
    <row r="214" spans="1:9" ht="15.75" customHeight="1">
      <c r="A214" s="27" t="s">
        <v>4</v>
      </c>
      <c r="B214" s="28"/>
      <c r="C214" s="45" t="s">
        <v>772</v>
      </c>
      <c r="D214" s="45" t="s">
        <v>705</v>
      </c>
      <c r="E214" s="45" t="s">
        <v>84</v>
      </c>
      <c r="F214" s="30" t="s">
        <v>5</v>
      </c>
      <c r="G214" s="31">
        <f>9483.6+19600-19600</f>
        <v>9483.599999999999</v>
      </c>
      <c r="H214" s="31">
        <v>9483.6</v>
      </c>
      <c r="I214" s="31">
        <f t="shared" si="8"/>
        <v>100.00000000000003</v>
      </c>
    </row>
    <row r="215" spans="1:9" ht="18" customHeight="1">
      <c r="A215" s="72" t="s">
        <v>85</v>
      </c>
      <c r="B215" s="44"/>
      <c r="C215" s="45" t="s">
        <v>772</v>
      </c>
      <c r="D215" s="45" t="s">
        <v>705</v>
      </c>
      <c r="E215" s="45" t="s">
        <v>78</v>
      </c>
      <c r="F215" s="33"/>
      <c r="G215" s="31">
        <f>SUM(G216+G218+G220)</f>
        <v>41821.9</v>
      </c>
      <c r="H215" s="31">
        <f>SUM(H216+H218+H220)</f>
        <v>15047</v>
      </c>
      <c r="I215" s="31">
        <f t="shared" si="8"/>
        <v>35.9787575409056</v>
      </c>
    </row>
    <row r="216" spans="1:9" ht="57" hidden="1">
      <c r="A216" s="90" t="s">
        <v>86</v>
      </c>
      <c r="B216" s="44"/>
      <c r="C216" s="45" t="s">
        <v>772</v>
      </c>
      <c r="D216" s="45" t="s">
        <v>705</v>
      </c>
      <c r="E216" s="45" t="s">
        <v>87</v>
      </c>
      <c r="F216" s="33"/>
      <c r="G216" s="31">
        <f>SUM(G217)</f>
        <v>0</v>
      </c>
      <c r="H216" s="31">
        <f>SUM(H217)</f>
        <v>0</v>
      </c>
      <c r="I216" s="31" t="e">
        <f t="shared" si="8"/>
        <v>#DIV/0!</v>
      </c>
    </row>
    <row r="217" spans="1:9" s="102" customFormat="1" ht="15" hidden="1">
      <c r="A217" s="27" t="s">
        <v>4</v>
      </c>
      <c r="B217" s="28"/>
      <c r="C217" s="29" t="s">
        <v>772</v>
      </c>
      <c r="D217" s="45" t="s">
        <v>705</v>
      </c>
      <c r="E217" s="45" t="s">
        <v>87</v>
      </c>
      <c r="F217" s="30" t="s">
        <v>5</v>
      </c>
      <c r="G217" s="31"/>
      <c r="H217" s="31"/>
      <c r="I217" s="31" t="e">
        <f t="shared" si="8"/>
        <v>#DIV/0!</v>
      </c>
    </row>
    <row r="218" spans="1:9" ht="57" hidden="1">
      <c r="A218" s="90" t="s">
        <v>88</v>
      </c>
      <c r="B218" s="28"/>
      <c r="C218" s="45" t="s">
        <v>772</v>
      </c>
      <c r="D218" s="45" t="s">
        <v>705</v>
      </c>
      <c r="E218" s="45" t="s">
        <v>89</v>
      </c>
      <c r="F218" s="30"/>
      <c r="G218" s="31">
        <f>SUM(G219)</f>
        <v>0</v>
      </c>
      <c r="H218" s="31">
        <f>SUM(H219)</f>
        <v>0</v>
      </c>
      <c r="I218" s="31" t="e">
        <f t="shared" si="8"/>
        <v>#DIV/0!</v>
      </c>
    </row>
    <row r="219" spans="1:9" s="102" customFormat="1" ht="20.25" customHeight="1" hidden="1">
      <c r="A219" s="27" t="s">
        <v>4</v>
      </c>
      <c r="B219" s="28"/>
      <c r="C219" s="45" t="s">
        <v>772</v>
      </c>
      <c r="D219" s="45" t="s">
        <v>705</v>
      </c>
      <c r="E219" s="45" t="s">
        <v>89</v>
      </c>
      <c r="F219" s="30" t="s">
        <v>5</v>
      </c>
      <c r="G219" s="31"/>
      <c r="H219" s="31"/>
      <c r="I219" s="31" t="e">
        <f t="shared" si="8"/>
        <v>#DIV/0!</v>
      </c>
    </row>
    <row r="220" spans="1:9" ht="14.25" customHeight="1">
      <c r="A220" s="46" t="s">
        <v>90</v>
      </c>
      <c r="B220" s="44"/>
      <c r="C220" s="45" t="s">
        <v>772</v>
      </c>
      <c r="D220" s="45" t="s">
        <v>705</v>
      </c>
      <c r="E220" s="45" t="s">
        <v>91</v>
      </c>
      <c r="F220" s="33"/>
      <c r="G220" s="31">
        <f>SUM(G221:G222)</f>
        <v>41821.9</v>
      </c>
      <c r="H220" s="31">
        <f>SUM(H221:H222)</f>
        <v>15047</v>
      </c>
      <c r="I220" s="31">
        <f t="shared" si="8"/>
        <v>35.9787575409056</v>
      </c>
    </row>
    <row r="221" spans="1:9" ht="15" customHeight="1">
      <c r="A221" s="27" t="s">
        <v>4</v>
      </c>
      <c r="B221" s="44"/>
      <c r="C221" s="45" t="s">
        <v>772</v>
      </c>
      <c r="D221" s="45" t="s">
        <v>705</v>
      </c>
      <c r="E221" s="45" t="s">
        <v>91</v>
      </c>
      <c r="F221" s="30" t="s">
        <v>5</v>
      </c>
      <c r="G221" s="64">
        <f>878+4272.1+2990.6+495+1505+9445.5</f>
        <v>19586.2</v>
      </c>
      <c r="H221" s="64">
        <f>878+4272.1+2990.6</f>
        <v>8140.700000000001</v>
      </c>
      <c r="I221" s="31">
        <f t="shared" si="8"/>
        <v>41.56344773360836</v>
      </c>
    </row>
    <row r="222" spans="1:9" ht="27" customHeight="1">
      <c r="A222" s="32" t="s">
        <v>710</v>
      </c>
      <c r="B222" s="44"/>
      <c r="C222" s="45" t="s">
        <v>772</v>
      </c>
      <c r="D222" s="45" t="s">
        <v>705</v>
      </c>
      <c r="E222" s="45" t="s">
        <v>91</v>
      </c>
      <c r="F222" s="30" t="s">
        <v>711</v>
      </c>
      <c r="G222" s="64">
        <f>600+18395+77.3-249.3+233.8-162+2908.4-2908.4+174.4-91.9+100+2908.4+250</f>
        <v>22235.7</v>
      </c>
      <c r="H222" s="64">
        <v>6906.3</v>
      </c>
      <c r="I222" s="31">
        <f t="shared" si="8"/>
        <v>31.059512405725926</v>
      </c>
    </row>
    <row r="223" spans="1:9" ht="17.25" customHeight="1" hidden="1">
      <c r="A223" s="46" t="s">
        <v>881</v>
      </c>
      <c r="B223" s="60"/>
      <c r="C223" s="45" t="s">
        <v>772</v>
      </c>
      <c r="D223" s="45" t="s">
        <v>705</v>
      </c>
      <c r="E223" s="61" t="s">
        <v>882</v>
      </c>
      <c r="F223" s="33"/>
      <c r="G223" s="64">
        <f aca="true" t="shared" si="9" ref="G223:H225">SUM(G224)</f>
        <v>0</v>
      </c>
      <c r="H223" s="64">
        <f t="shared" si="9"/>
        <v>0</v>
      </c>
      <c r="I223" s="31" t="e">
        <f t="shared" si="8"/>
        <v>#DIV/0!</v>
      </c>
    </row>
    <row r="224" spans="1:9" ht="15.75" customHeight="1" hidden="1">
      <c r="A224" s="27" t="s">
        <v>53</v>
      </c>
      <c r="B224" s="60"/>
      <c r="C224" s="45" t="s">
        <v>772</v>
      </c>
      <c r="D224" s="45" t="s">
        <v>705</v>
      </c>
      <c r="E224" s="61" t="s">
        <v>54</v>
      </c>
      <c r="F224" s="33"/>
      <c r="G224" s="64">
        <f t="shared" si="9"/>
        <v>0</v>
      </c>
      <c r="H224" s="64">
        <f t="shared" si="9"/>
        <v>0</v>
      </c>
      <c r="I224" s="31" t="e">
        <f t="shared" si="8"/>
        <v>#DIV/0!</v>
      </c>
    </row>
    <row r="225" spans="1:9" ht="13.5" customHeight="1" hidden="1">
      <c r="A225" s="46" t="s">
        <v>92</v>
      </c>
      <c r="B225" s="28"/>
      <c r="C225" s="45" t="s">
        <v>772</v>
      </c>
      <c r="D225" s="45" t="s">
        <v>705</v>
      </c>
      <c r="E225" s="61" t="s">
        <v>93</v>
      </c>
      <c r="F225" s="33"/>
      <c r="G225" s="64">
        <f t="shared" si="9"/>
        <v>0</v>
      </c>
      <c r="H225" s="64">
        <f t="shared" si="9"/>
        <v>0</v>
      </c>
      <c r="I225" s="31" t="e">
        <f t="shared" si="8"/>
        <v>#DIV/0!</v>
      </c>
    </row>
    <row r="226" spans="1:9" ht="28.5" customHeight="1" hidden="1">
      <c r="A226" s="32" t="s">
        <v>710</v>
      </c>
      <c r="B226" s="44"/>
      <c r="C226" s="45" t="s">
        <v>772</v>
      </c>
      <c r="D226" s="45" t="s">
        <v>705</v>
      </c>
      <c r="E226" s="61" t="s">
        <v>93</v>
      </c>
      <c r="F226" s="30" t="s">
        <v>711</v>
      </c>
      <c r="G226" s="64"/>
      <c r="H226" s="64"/>
      <c r="I226" s="31" t="e">
        <f t="shared" si="8"/>
        <v>#DIV/0!</v>
      </c>
    </row>
    <row r="227" spans="1:9" ht="15" hidden="1">
      <c r="A227" s="90" t="s">
        <v>767</v>
      </c>
      <c r="B227" s="95"/>
      <c r="C227" s="60" t="s">
        <v>772</v>
      </c>
      <c r="D227" s="60" t="s">
        <v>705</v>
      </c>
      <c r="E227" s="60" t="s">
        <v>768</v>
      </c>
      <c r="F227" s="65"/>
      <c r="G227" s="64">
        <f>SUM(G228)</f>
        <v>0</v>
      </c>
      <c r="H227" s="64">
        <f>SUM(H228)</f>
        <v>0</v>
      </c>
      <c r="I227" s="31" t="e">
        <f t="shared" si="8"/>
        <v>#DIV/0!</v>
      </c>
    </row>
    <row r="228" spans="1:9" s="106" customFormat="1" ht="57" hidden="1">
      <c r="A228" s="103" t="s">
        <v>854</v>
      </c>
      <c r="B228" s="95"/>
      <c r="C228" s="61" t="s">
        <v>772</v>
      </c>
      <c r="D228" s="61" t="s">
        <v>705</v>
      </c>
      <c r="E228" s="61" t="s">
        <v>855</v>
      </c>
      <c r="F228" s="30"/>
      <c r="G228" s="64">
        <f>SUM(G229)+G230+G232+G231</f>
        <v>0</v>
      </c>
      <c r="H228" s="64">
        <f>SUM(H229)+H230+H232</f>
        <v>0</v>
      </c>
      <c r="I228" s="31" t="e">
        <f t="shared" si="8"/>
        <v>#DIV/0!</v>
      </c>
    </row>
    <row r="229" spans="1:9" ht="42.75" hidden="1">
      <c r="A229" s="32" t="s">
        <v>94</v>
      </c>
      <c r="B229" s="95"/>
      <c r="C229" s="61" t="s">
        <v>772</v>
      </c>
      <c r="D229" s="61" t="s">
        <v>705</v>
      </c>
      <c r="E229" s="61" t="s">
        <v>95</v>
      </c>
      <c r="F229" s="30" t="s">
        <v>711</v>
      </c>
      <c r="G229" s="64">
        <f>600-600</f>
        <v>0</v>
      </c>
      <c r="H229" s="64">
        <f>600-600</f>
        <v>0</v>
      </c>
      <c r="I229" s="31" t="e">
        <f t="shared" si="8"/>
        <v>#DIV/0!</v>
      </c>
    </row>
    <row r="230" spans="1:9" ht="28.5" hidden="1">
      <c r="A230" s="80" t="s">
        <v>96</v>
      </c>
      <c r="B230" s="95"/>
      <c r="C230" s="61" t="s">
        <v>772</v>
      </c>
      <c r="D230" s="61" t="s">
        <v>705</v>
      </c>
      <c r="E230" s="61" t="s">
        <v>97</v>
      </c>
      <c r="F230" s="30" t="s">
        <v>711</v>
      </c>
      <c r="G230" s="64">
        <f>900-900</f>
        <v>0</v>
      </c>
      <c r="H230" s="64">
        <f>900-900</f>
        <v>0</v>
      </c>
      <c r="I230" s="31" t="e">
        <f t="shared" si="8"/>
        <v>#DIV/0!</v>
      </c>
    </row>
    <row r="231" spans="1:9" ht="28.5" hidden="1">
      <c r="A231" s="32" t="s">
        <v>710</v>
      </c>
      <c r="B231" s="95"/>
      <c r="C231" s="61" t="s">
        <v>772</v>
      </c>
      <c r="D231" s="61" t="s">
        <v>705</v>
      </c>
      <c r="E231" s="61" t="s">
        <v>855</v>
      </c>
      <c r="F231" s="30" t="s">
        <v>711</v>
      </c>
      <c r="G231" s="64">
        <f>5825.2-5825.2</f>
        <v>0</v>
      </c>
      <c r="H231" s="64"/>
      <c r="I231" s="31" t="e">
        <f t="shared" si="8"/>
        <v>#DIV/0!</v>
      </c>
    </row>
    <row r="232" spans="1:9" ht="42.75" hidden="1">
      <c r="A232" s="92" t="s">
        <v>100</v>
      </c>
      <c r="B232" s="95"/>
      <c r="C232" s="61" t="s">
        <v>772</v>
      </c>
      <c r="D232" s="61" t="s">
        <v>705</v>
      </c>
      <c r="E232" s="61" t="s">
        <v>101</v>
      </c>
      <c r="F232" s="30"/>
      <c r="G232" s="64">
        <f>SUM(G233)</f>
        <v>0</v>
      </c>
      <c r="H232" s="64">
        <f>SUM(H233)</f>
        <v>0</v>
      </c>
      <c r="I232" s="31" t="e">
        <f t="shared" si="8"/>
        <v>#DIV/0!</v>
      </c>
    </row>
    <row r="233" spans="1:9" ht="28.5" hidden="1">
      <c r="A233" s="80" t="s">
        <v>92</v>
      </c>
      <c r="B233" s="95"/>
      <c r="C233" s="61" t="s">
        <v>772</v>
      </c>
      <c r="D233" s="61" t="s">
        <v>705</v>
      </c>
      <c r="E233" s="61" t="s">
        <v>102</v>
      </c>
      <c r="F233" s="30"/>
      <c r="G233" s="64">
        <f>SUM(G234)</f>
        <v>0</v>
      </c>
      <c r="H233" s="64">
        <f>SUM(H234)</f>
        <v>0</v>
      </c>
      <c r="I233" s="31" t="e">
        <f t="shared" si="8"/>
        <v>#DIV/0!</v>
      </c>
    </row>
    <row r="234" spans="1:9" ht="28.5" hidden="1">
      <c r="A234" s="32" t="s">
        <v>710</v>
      </c>
      <c r="B234" s="95"/>
      <c r="C234" s="61" t="s">
        <v>772</v>
      </c>
      <c r="D234" s="61" t="s">
        <v>705</v>
      </c>
      <c r="E234" s="61" t="s">
        <v>102</v>
      </c>
      <c r="F234" s="30" t="s">
        <v>711</v>
      </c>
      <c r="G234" s="64">
        <f>4200.9-4200.9</f>
        <v>0</v>
      </c>
      <c r="H234" s="64">
        <f>4200.9-4200.9</f>
        <v>0</v>
      </c>
      <c r="I234" s="31" t="e">
        <f t="shared" si="8"/>
        <v>#DIV/0!</v>
      </c>
    </row>
    <row r="235" spans="1:9" s="204" customFormat="1" ht="16.5" customHeight="1">
      <c r="A235" s="96" t="s">
        <v>103</v>
      </c>
      <c r="B235" s="44"/>
      <c r="C235" s="45" t="s">
        <v>772</v>
      </c>
      <c r="D235" s="45" t="s">
        <v>713</v>
      </c>
      <c r="E235" s="45"/>
      <c r="F235" s="33"/>
      <c r="G235" s="31">
        <f>SUM(G238+G255)+G236</f>
        <v>280285.10000000003</v>
      </c>
      <c r="H235" s="31">
        <f>SUM(H238+H255)+H236</f>
        <v>71482.59999999999</v>
      </c>
      <c r="I235" s="31">
        <f t="shared" si="8"/>
        <v>25.50353193944308</v>
      </c>
    </row>
    <row r="236" spans="1:9" s="119" customFormat="1" ht="76.5" customHeight="1" hidden="1">
      <c r="A236" s="96" t="s">
        <v>104</v>
      </c>
      <c r="B236" s="44"/>
      <c r="C236" s="45" t="s">
        <v>772</v>
      </c>
      <c r="D236" s="45" t="s">
        <v>713</v>
      </c>
      <c r="E236" s="45" t="s">
        <v>105</v>
      </c>
      <c r="F236" s="33"/>
      <c r="G236" s="31">
        <f>SUM(G237)</f>
        <v>0</v>
      </c>
      <c r="H236" s="31">
        <f>SUM(H237)</f>
        <v>0</v>
      </c>
      <c r="I236" s="31" t="e">
        <f t="shared" si="8"/>
        <v>#DIV/0!</v>
      </c>
    </row>
    <row r="237" spans="1:9" s="119" customFormat="1" ht="61.5" customHeight="1" hidden="1">
      <c r="A237" s="96" t="s">
        <v>106</v>
      </c>
      <c r="B237" s="44"/>
      <c r="C237" s="45" t="s">
        <v>772</v>
      </c>
      <c r="D237" s="45" t="s">
        <v>713</v>
      </c>
      <c r="E237" s="45" t="s">
        <v>105</v>
      </c>
      <c r="F237" s="33" t="s">
        <v>107</v>
      </c>
      <c r="G237" s="31"/>
      <c r="H237" s="31"/>
      <c r="I237" s="31" t="e">
        <f t="shared" si="8"/>
        <v>#DIV/0!</v>
      </c>
    </row>
    <row r="238" spans="1:9" s="119" customFormat="1" ht="18.75" customHeight="1">
      <c r="A238" s="96" t="s">
        <v>103</v>
      </c>
      <c r="B238" s="60"/>
      <c r="C238" s="45" t="s">
        <v>772</v>
      </c>
      <c r="D238" s="45" t="s">
        <v>713</v>
      </c>
      <c r="E238" s="61" t="s">
        <v>108</v>
      </c>
      <c r="F238" s="62"/>
      <c r="G238" s="31">
        <f>SUM(G239+G244+G249+G252)+G247</f>
        <v>278385.10000000003</v>
      </c>
      <c r="H238" s="31">
        <f>SUM(H239+H244+H249+H252)+H247</f>
        <v>71087.2</v>
      </c>
      <c r="I238" s="31">
        <f t="shared" si="8"/>
        <v>25.535562068515876</v>
      </c>
    </row>
    <row r="239" spans="1:9" s="119" customFormat="1" ht="15.75" customHeight="1">
      <c r="A239" s="90" t="s">
        <v>109</v>
      </c>
      <c r="B239" s="95"/>
      <c r="C239" s="45" t="s">
        <v>772</v>
      </c>
      <c r="D239" s="45" t="s">
        <v>713</v>
      </c>
      <c r="E239" s="61" t="s">
        <v>110</v>
      </c>
      <c r="F239" s="62"/>
      <c r="G239" s="31">
        <f>SUM(G240:G242)</f>
        <v>35963.1</v>
      </c>
      <c r="H239" s="31">
        <f>SUM(H241:H242)</f>
        <v>20816.7</v>
      </c>
      <c r="I239" s="31">
        <f t="shared" si="8"/>
        <v>57.883497251349304</v>
      </c>
    </row>
    <row r="240" spans="1:9" s="119" customFormat="1" ht="15.75" customHeight="1">
      <c r="A240" s="27" t="s">
        <v>4</v>
      </c>
      <c r="B240" s="95"/>
      <c r="C240" s="45" t="s">
        <v>772</v>
      </c>
      <c r="D240" s="45" t="s">
        <v>713</v>
      </c>
      <c r="E240" s="61" t="s">
        <v>110</v>
      </c>
      <c r="F240" s="62" t="s">
        <v>5</v>
      </c>
      <c r="G240" s="31">
        <v>1500</v>
      </c>
      <c r="H240" s="31"/>
      <c r="I240" s="31"/>
    </row>
    <row r="241" spans="1:9" s="119" customFormat="1" ht="28.5">
      <c r="A241" s="32" t="s">
        <v>710</v>
      </c>
      <c r="B241" s="95"/>
      <c r="C241" s="45" t="s">
        <v>772</v>
      </c>
      <c r="D241" s="45" t="s">
        <v>713</v>
      </c>
      <c r="E241" s="61" t="s">
        <v>110</v>
      </c>
      <c r="F241" s="62" t="s">
        <v>711</v>
      </c>
      <c r="G241" s="31">
        <f>32463.1+1500+2000-1500</f>
        <v>34463.1</v>
      </c>
      <c r="H241" s="31">
        <v>20816.7</v>
      </c>
      <c r="I241" s="31">
        <f t="shared" si="8"/>
        <v>60.4028656737206</v>
      </c>
    </row>
    <row r="242" spans="1:9" s="119" customFormat="1" ht="59.25" customHeight="1" hidden="1">
      <c r="A242" s="32" t="s">
        <v>757</v>
      </c>
      <c r="B242" s="95"/>
      <c r="C242" s="45" t="s">
        <v>772</v>
      </c>
      <c r="D242" s="45" t="s">
        <v>713</v>
      </c>
      <c r="E242" s="61" t="s">
        <v>111</v>
      </c>
      <c r="F242" s="62"/>
      <c r="G242" s="31">
        <f>SUM(G243)</f>
        <v>0</v>
      </c>
      <c r="H242" s="31">
        <f>SUM(H243)</f>
        <v>0</v>
      </c>
      <c r="I242" s="31" t="e">
        <f t="shared" si="8"/>
        <v>#DIV/0!</v>
      </c>
    </row>
    <row r="243" spans="1:9" s="119" customFormat="1" ht="28.5" hidden="1">
      <c r="A243" s="32" t="s">
        <v>710</v>
      </c>
      <c r="B243" s="95"/>
      <c r="C243" s="45" t="s">
        <v>772</v>
      </c>
      <c r="D243" s="45" t="s">
        <v>713</v>
      </c>
      <c r="E243" s="61" t="s">
        <v>111</v>
      </c>
      <c r="F243" s="62" t="s">
        <v>711</v>
      </c>
      <c r="G243" s="31"/>
      <c r="H243" s="31"/>
      <c r="I243" s="31" t="e">
        <f t="shared" si="8"/>
        <v>#DIV/0!</v>
      </c>
    </row>
    <row r="244" spans="1:9" s="119" customFormat="1" ht="43.5" customHeight="1">
      <c r="A244" s="90" t="s">
        <v>112</v>
      </c>
      <c r="B244" s="95"/>
      <c r="C244" s="45" t="s">
        <v>772</v>
      </c>
      <c r="D244" s="45" t="s">
        <v>713</v>
      </c>
      <c r="E244" s="61" t="s">
        <v>113</v>
      </c>
      <c r="F244" s="62"/>
      <c r="G244" s="31">
        <f>SUM(G246+G245)</f>
        <v>219133.2</v>
      </c>
      <c r="H244" s="31">
        <f>SUM(H246)</f>
        <v>43097.5</v>
      </c>
      <c r="I244" s="31">
        <f t="shared" si="8"/>
        <v>19.667261738522505</v>
      </c>
    </row>
    <row r="245" spans="1:10" s="47" customFormat="1" ht="15">
      <c r="A245" s="27" t="s">
        <v>4</v>
      </c>
      <c r="B245" s="95"/>
      <c r="C245" s="45" t="s">
        <v>772</v>
      </c>
      <c r="D245" s="45" t="s">
        <v>713</v>
      </c>
      <c r="E245" s="61" t="s">
        <v>113</v>
      </c>
      <c r="F245" s="62" t="s">
        <v>5</v>
      </c>
      <c r="G245" s="31">
        <f>11600+3000</f>
        <v>14600</v>
      </c>
      <c r="H245" s="31"/>
      <c r="I245" s="31"/>
      <c r="J245" s="233"/>
    </row>
    <row r="246" spans="1:9" s="119" customFormat="1" ht="14.25" customHeight="1">
      <c r="A246" s="32" t="s">
        <v>710</v>
      </c>
      <c r="B246" s="95"/>
      <c r="C246" s="45" t="s">
        <v>772</v>
      </c>
      <c r="D246" s="45" t="s">
        <v>713</v>
      </c>
      <c r="E246" s="61" t="s">
        <v>113</v>
      </c>
      <c r="F246" s="62" t="s">
        <v>711</v>
      </c>
      <c r="G246" s="31">
        <f>53950+150000+11600+583.2-11600</f>
        <v>204533.2</v>
      </c>
      <c r="H246" s="31">
        <v>43097.5</v>
      </c>
      <c r="I246" s="31">
        <f t="shared" si="8"/>
        <v>21.07115128497476</v>
      </c>
    </row>
    <row r="247" spans="1:9" ht="71.25">
      <c r="A247" s="32" t="s">
        <v>114</v>
      </c>
      <c r="B247" s="95"/>
      <c r="C247" s="45" t="s">
        <v>772</v>
      </c>
      <c r="D247" s="45" t="s">
        <v>713</v>
      </c>
      <c r="E247" s="61" t="s">
        <v>115</v>
      </c>
      <c r="F247" s="62"/>
      <c r="G247" s="31">
        <f>SUM(G248)</f>
        <v>2672.3</v>
      </c>
      <c r="H247" s="31">
        <f>SUM(H248)</f>
        <v>482.9</v>
      </c>
      <c r="I247" s="31">
        <f t="shared" si="8"/>
        <v>18.070575908393515</v>
      </c>
    </row>
    <row r="248" spans="1:9" ht="29.25" customHeight="1">
      <c r="A248" s="32" t="s">
        <v>710</v>
      </c>
      <c r="B248" s="95"/>
      <c r="C248" s="45" t="s">
        <v>772</v>
      </c>
      <c r="D248" s="45" t="s">
        <v>713</v>
      </c>
      <c r="E248" s="61" t="s">
        <v>115</v>
      </c>
      <c r="F248" s="62" t="s">
        <v>711</v>
      </c>
      <c r="G248" s="31">
        <v>2672.3</v>
      </c>
      <c r="H248" s="31">
        <v>482.9</v>
      </c>
      <c r="I248" s="31">
        <f t="shared" si="8"/>
        <v>18.070575908393515</v>
      </c>
    </row>
    <row r="249" spans="1:9" ht="16.5" customHeight="1">
      <c r="A249" s="90" t="s">
        <v>116</v>
      </c>
      <c r="B249" s="95"/>
      <c r="C249" s="45" t="s">
        <v>772</v>
      </c>
      <c r="D249" s="45" t="s">
        <v>713</v>
      </c>
      <c r="E249" s="61" t="s">
        <v>117</v>
      </c>
      <c r="F249" s="65"/>
      <c r="G249" s="31">
        <f>SUM(G251+G250)</f>
        <v>1012.0999999999999</v>
      </c>
      <c r="H249" s="31">
        <f>SUM(H251)</f>
        <v>489.8</v>
      </c>
      <c r="I249" s="31">
        <f t="shared" si="8"/>
        <v>48.394427428119755</v>
      </c>
    </row>
    <row r="250" spans="1:9" ht="16.5" customHeight="1">
      <c r="A250" s="27" t="s">
        <v>4</v>
      </c>
      <c r="B250" s="95"/>
      <c r="C250" s="45" t="s">
        <v>772</v>
      </c>
      <c r="D250" s="45" t="s">
        <v>713</v>
      </c>
      <c r="E250" s="61" t="s">
        <v>117</v>
      </c>
      <c r="F250" s="65" t="s">
        <v>5</v>
      </c>
      <c r="G250" s="31">
        <v>294.8</v>
      </c>
      <c r="H250" s="31"/>
      <c r="I250" s="31"/>
    </row>
    <row r="251" spans="1:9" s="204" customFormat="1" ht="27.75" customHeight="1">
      <c r="A251" s="32" t="s">
        <v>710</v>
      </c>
      <c r="B251" s="95"/>
      <c r="C251" s="45" t="s">
        <v>772</v>
      </c>
      <c r="D251" s="45" t="s">
        <v>713</v>
      </c>
      <c r="E251" s="61" t="s">
        <v>117</v>
      </c>
      <c r="F251" s="62" t="s">
        <v>711</v>
      </c>
      <c r="G251" s="31">
        <f>800-82.7</f>
        <v>717.3</v>
      </c>
      <c r="H251" s="31">
        <v>489.8</v>
      </c>
      <c r="I251" s="31">
        <f t="shared" si="8"/>
        <v>68.28384218597519</v>
      </c>
    </row>
    <row r="252" spans="1:9" s="204" customFormat="1" ht="28.5">
      <c r="A252" s="90" t="s">
        <v>118</v>
      </c>
      <c r="B252" s="95"/>
      <c r="C252" s="45" t="s">
        <v>772</v>
      </c>
      <c r="D252" s="45" t="s">
        <v>713</v>
      </c>
      <c r="E252" s="61" t="s">
        <v>119</v>
      </c>
      <c r="F252" s="62"/>
      <c r="G252" s="31">
        <f>SUM(G254+G253)</f>
        <v>19604.4</v>
      </c>
      <c r="H252" s="31">
        <f>SUM(H254)</f>
        <v>6200.3</v>
      </c>
      <c r="I252" s="31">
        <f t="shared" si="8"/>
        <v>31.62708371590051</v>
      </c>
    </row>
    <row r="253" spans="1:9" s="204" customFormat="1" ht="15">
      <c r="A253" s="27" t="s">
        <v>4</v>
      </c>
      <c r="B253" s="95"/>
      <c r="C253" s="45" t="s">
        <v>772</v>
      </c>
      <c r="D253" s="45" t="s">
        <v>713</v>
      </c>
      <c r="E253" s="61" t="s">
        <v>119</v>
      </c>
      <c r="F253" s="62" t="s">
        <v>5</v>
      </c>
      <c r="G253" s="31">
        <f>190.2+250</f>
        <v>440.2</v>
      </c>
      <c r="H253" s="31"/>
      <c r="I253" s="31"/>
    </row>
    <row r="254" spans="1:9" s="204" customFormat="1" ht="27" customHeight="1">
      <c r="A254" s="32" t="s">
        <v>710</v>
      </c>
      <c r="B254" s="95"/>
      <c r="C254" s="45" t="s">
        <v>772</v>
      </c>
      <c r="D254" s="45" t="s">
        <v>713</v>
      </c>
      <c r="E254" s="61" t="s">
        <v>119</v>
      </c>
      <c r="F254" s="62" t="s">
        <v>711</v>
      </c>
      <c r="G254" s="31">
        <f>9363.9+13+6000+1415.9-1721.3-402.3+6000-1505</f>
        <v>19164.2</v>
      </c>
      <c r="H254" s="31">
        <v>6200.3</v>
      </c>
      <c r="I254" s="31">
        <f t="shared" si="8"/>
        <v>32.35355506621722</v>
      </c>
    </row>
    <row r="255" spans="1:9" s="204" customFormat="1" ht="15">
      <c r="A255" s="90" t="s">
        <v>767</v>
      </c>
      <c r="B255" s="95"/>
      <c r="C255" s="45" t="s">
        <v>772</v>
      </c>
      <c r="D255" s="45" t="s">
        <v>713</v>
      </c>
      <c r="E255" s="61" t="s">
        <v>768</v>
      </c>
      <c r="F255" s="62"/>
      <c r="G255" s="31">
        <f>SUM(G256,G260)</f>
        <v>1900</v>
      </c>
      <c r="H255" s="31">
        <f>SUM(H256)</f>
        <v>395.4</v>
      </c>
      <c r="I255" s="31">
        <f t="shared" si="8"/>
        <v>20.810526315789474</v>
      </c>
    </row>
    <row r="256" spans="1:9" s="204" customFormat="1" ht="42.75">
      <c r="A256" s="32" t="s">
        <v>122</v>
      </c>
      <c r="B256" s="95"/>
      <c r="C256" s="45" t="s">
        <v>772</v>
      </c>
      <c r="D256" s="45" t="s">
        <v>713</v>
      </c>
      <c r="E256" s="61" t="s">
        <v>95</v>
      </c>
      <c r="F256" s="62"/>
      <c r="G256" s="31">
        <f>SUM(G258)+G257</f>
        <v>600</v>
      </c>
      <c r="H256" s="31">
        <f>SUM(H258)+H257</f>
        <v>395.4</v>
      </c>
      <c r="I256" s="31">
        <f t="shared" si="8"/>
        <v>65.89999999999999</v>
      </c>
    </row>
    <row r="257" spans="1:9" s="204" customFormat="1" ht="29.25" customHeight="1">
      <c r="A257" s="32" t="s">
        <v>710</v>
      </c>
      <c r="B257" s="95"/>
      <c r="C257" s="45" t="s">
        <v>772</v>
      </c>
      <c r="D257" s="45" t="s">
        <v>713</v>
      </c>
      <c r="E257" s="61" t="s">
        <v>95</v>
      </c>
      <c r="F257" s="30" t="s">
        <v>711</v>
      </c>
      <c r="G257" s="64">
        <v>600</v>
      </c>
      <c r="H257" s="64">
        <v>395.4</v>
      </c>
      <c r="I257" s="31">
        <f t="shared" si="8"/>
        <v>65.89999999999999</v>
      </c>
    </row>
    <row r="258" spans="1:9" s="204" customFormat="1" ht="39.75" customHeight="1" hidden="1">
      <c r="A258" s="80" t="s">
        <v>120</v>
      </c>
      <c r="B258" s="98"/>
      <c r="C258" s="45" t="s">
        <v>772</v>
      </c>
      <c r="D258" s="45" t="s">
        <v>713</v>
      </c>
      <c r="E258" s="61" t="s">
        <v>121</v>
      </c>
      <c r="F258" s="62" t="s">
        <v>711</v>
      </c>
      <c r="G258" s="64"/>
      <c r="H258" s="64"/>
      <c r="I258" s="31" t="e">
        <f t="shared" si="8"/>
        <v>#DIV/0!</v>
      </c>
    </row>
    <row r="259" spans="1:9" s="204" customFormat="1" ht="26.25" customHeight="1" hidden="1">
      <c r="A259" s="99" t="s">
        <v>123</v>
      </c>
      <c r="B259" s="98"/>
      <c r="C259" s="45" t="s">
        <v>772</v>
      </c>
      <c r="D259" s="45" t="s">
        <v>713</v>
      </c>
      <c r="E259" s="61" t="s">
        <v>124</v>
      </c>
      <c r="F259" s="62" t="s">
        <v>711</v>
      </c>
      <c r="G259" s="64"/>
      <c r="H259" s="64"/>
      <c r="I259" s="31" t="e">
        <f t="shared" si="8"/>
        <v>#DIV/0!</v>
      </c>
    </row>
    <row r="260" spans="1:9" ht="28.5">
      <c r="A260" s="43" t="s">
        <v>223</v>
      </c>
      <c r="B260" s="28"/>
      <c r="C260" s="40" t="s">
        <v>772</v>
      </c>
      <c r="D260" s="40" t="s">
        <v>713</v>
      </c>
      <c r="E260" s="40" t="s">
        <v>536</v>
      </c>
      <c r="F260" s="33"/>
      <c r="G260" s="64">
        <f>SUM(G261)</f>
        <v>1300</v>
      </c>
      <c r="H260" s="64"/>
      <c r="I260" s="31"/>
    </row>
    <row r="261" spans="1:9" ht="15">
      <c r="A261" s="43" t="s">
        <v>4</v>
      </c>
      <c r="B261" s="28"/>
      <c r="C261" s="40" t="s">
        <v>772</v>
      </c>
      <c r="D261" s="40" t="s">
        <v>713</v>
      </c>
      <c r="E261" s="40" t="s">
        <v>156</v>
      </c>
      <c r="F261" s="33" t="s">
        <v>5</v>
      </c>
      <c r="G261" s="64">
        <v>1300</v>
      </c>
      <c r="H261" s="64"/>
      <c r="I261" s="31"/>
    </row>
    <row r="262" spans="1:9" ht="28.5">
      <c r="A262" s="72" t="s">
        <v>125</v>
      </c>
      <c r="B262" s="28"/>
      <c r="C262" s="45" t="s">
        <v>772</v>
      </c>
      <c r="D262" s="45" t="s">
        <v>772</v>
      </c>
      <c r="E262" s="45"/>
      <c r="F262" s="34"/>
      <c r="G262" s="31">
        <f>SUM(G263+G266+G282+G270)+G278</f>
        <v>16625</v>
      </c>
      <c r="H262" s="31">
        <f>SUM(H263+H266+H282+H270)+H278</f>
        <v>7261.6</v>
      </c>
      <c r="I262" s="31">
        <f t="shared" si="8"/>
        <v>43.6787969924812</v>
      </c>
    </row>
    <row r="263" spans="1:9" s="47" customFormat="1" ht="41.25" customHeight="1">
      <c r="A263" s="43" t="s">
        <v>812</v>
      </c>
      <c r="B263" s="44"/>
      <c r="C263" s="45" t="s">
        <v>772</v>
      </c>
      <c r="D263" s="45" t="s">
        <v>772</v>
      </c>
      <c r="E263" s="45" t="s">
        <v>751</v>
      </c>
      <c r="F263" s="33"/>
      <c r="G263" s="31">
        <f>SUM(G264+G267)</f>
        <v>4000</v>
      </c>
      <c r="H263" s="31">
        <f>SUM(H264+H267)</f>
        <v>0</v>
      </c>
      <c r="I263" s="31">
        <f t="shared" si="8"/>
        <v>0</v>
      </c>
    </row>
    <row r="264" spans="1:9" s="47" customFormat="1" ht="27.75" customHeight="1" hidden="1">
      <c r="A264" s="43" t="s">
        <v>330</v>
      </c>
      <c r="B264" s="44"/>
      <c r="C264" s="45" t="s">
        <v>772</v>
      </c>
      <c r="D264" s="45" t="s">
        <v>772</v>
      </c>
      <c r="E264" s="45" t="s">
        <v>814</v>
      </c>
      <c r="F264" s="33"/>
      <c r="G264" s="31">
        <f>SUM(G265)</f>
        <v>0</v>
      </c>
      <c r="H264" s="31">
        <f>SUM(H265)</f>
        <v>0</v>
      </c>
      <c r="I264" s="31" t="e">
        <f t="shared" si="8"/>
        <v>#DIV/0!</v>
      </c>
    </row>
    <row r="265" spans="1:9" s="47" customFormat="1" ht="18.75" customHeight="1" hidden="1">
      <c r="A265" s="43" t="s">
        <v>129</v>
      </c>
      <c r="B265" s="44"/>
      <c r="C265" s="45" t="s">
        <v>772</v>
      </c>
      <c r="D265" s="45" t="s">
        <v>772</v>
      </c>
      <c r="E265" s="45" t="s">
        <v>814</v>
      </c>
      <c r="F265" s="33" t="s">
        <v>816</v>
      </c>
      <c r="G265" s="31"/>
      <c r="H265" s="31"/>
      <c r="I265" s="31" t="e">
        <f t="shared" si="8"/>
        <v>#DIV/0!</v>
      </c>
    </row>
    <row r="266" spans="1:9" ht="25.5" customHeight="1" hidden="1">
      <c r="A266" s="46" t="s">
        <v>130</v>
      </c>
      <c r="B266" s="28"/>
      <c r="C266" s="45" t="s">
        <v>772</v>
      </c>
      <c r="D266" s="45" t="s">
        <v>772</v>
      </c>
      <c r="E266" s="45" t="s">
        <v>131</v>
      </c>
      <c r="F266" s="34"/>
      <c r="G266" s="31"/>
      <c r="H266" s="31"/>
      <c r="I266" s="31" t="e">
        <f t="shared" si="8"/>
        <v>#DIV/0!</v>
      </c>
    </row>
    <row r="267" spans="1:9" ht="27.75" customHeight="1">
      <c r="A267" s="46" t="s">
        <v>752</v>
      </c>
      <c r="B267" s="28"/>
      <c r="C267" s="45" t="s">
        <v>772</v>
      </c>
      <c r="D267" s="45" t="s">
        <v>772</v>
      </c>
      <c r="E267" s="45" t="s">
        <v>126</v>
      </c>
      <c r="F267" s="34"/>
      <c r="G267" s="31">
        <f>SUM(G269)</f>
        <v>4000</v>
      </c>
      <c r="H267" s="31">
        <f>SUM(H269)</f>
        <v>0</v>
      </c>
      <c r="I267" s="31">
        <f t="shared" si="8"/>
        <v>0</v>
      </c>
    </row>
    <row r="268" spans="1:9" ht="42.75" customHeight="1">
      <c r="A268" s="46" t="s">
        <v>127</v>
      </c>
      <c r="B268" s="28"/>
      <c r="C268" s="45" t="s">
        <v>772</v>
      </c>
      <c r="D268" s="45" t="s">
        <v>772</v>
      </c>
      <c r="E268" s="45" t="s">
        <v>128</v>
      </c>
      <c r="F268" s="34"/>
      <c r="G268" s="31">
        <f>SUM(G269)</f>
        <v>4000</v>
      </c>
      <c r="H268" s="31">
        <f>SUM(H269)</f>
        <v>0</v>
      </c>
      <c r="I268" s="31">
        <f t="shared" si="8"/>
        <v>0</v>
      </c>
    </row>
    <row r="269" spans="1:9" ht="19.5" customHeight="1">
      <c r="A269" s="43" t="s">
        <v>129</v>
      </c>
      <c r="B269" s="28"/>
      <c r="C269" s="45" t="s">
        <v>772</v>
      </c>
      <c r="D269" s="45" t="s">
        <v>772</v>
      </c>
      <c r="E269" s="45" t="s">
        <v>128</v>
      </c>
      <c r="F269" s="33" t="s">
        <v>816</v>
      </c>
      <c r="G269" s="64">
        <v>4000</v>
      </c>
      <c r="H269" s="64"/>
      <c r="I269" s="31">
        <f t="shared" si="8"/>
        <v>0</v>
      </c>
    </row>
    <row r="270" spans="1:9" ht="21.75" customHeight="1">
      <c r="A270" s="46" t="s">
        <v>881</v>
      </c>
      <c r="B270" s="60"/>
      <c r="C270" s="45" t="s">
        <v>772</v>
      </c>
      <c r="D270" s="45" t="s">
        <v>772</v>
      </c>
      <c r="E270" s="61" t="s">
        <v>882</v>
      </c>
      <c r="F270" s="33"/>
      <c r="G270" s="64">
        <f>SUM(G271+G276)</f>
        <v>8738.400000000001</v>
      </c>
      <c r="H270" s="64">
        <f>SUM(H271+H276)</f>
        <v>4731.200000000001</v>
      </c>
      <c r="I270" s="31">
        <f t="shared" si="8"/>
        <v>54.14263480728737</v>
      </c>
    </row>
    <row r="271" spans="1:9" ht="47.25" customHeight="1">
      <c r="A271" s="27" t="s">
        <v>53</v>
      </c>
      <c r="B271" s="60"/>
      <c r="C271" s="45" t="s">
        <v>772</v>
      </c>
      <c r="D271" s="45" t="s">
        <v>772</v>
      </c>
      <c r="E271" s="61" t="s">
        <v>54</v>
      </c>
      <c r="F271" s="33"/>
      <c r="G271" s="64">
        <f>SUM(G272+G274)</f>
        <v>8738.400000000001</v>
      </c>
      <c r="H271" s="64">
        <f>SUM(H272+H274)</f>
        <v>4731.200000000001</v>
      </c>
      <c r="I271" s="31">
        <f t="shared" si="8"/>
        <v>54.14263480728737</v>
      </c>
    </row>
    <row r="272" spans="1:9" ht="28.5">
      <c r="A272" s="46" t="s">
        <v>92</v>
      </c>
      <c r="B272" s="28"/>
      <c r="C272" s="45" t="s">
        <v>772</v>
      </c>
      <c r="D272" s="45" t="s">
        <v>772</v>
      </c>
      <c r="E272" s="61" t="s">
        <v>93</v>
      </c>
      <c r="F272" s="33"/>
      <c r="G272" s="64">
        <f>SUM(G273,G281)</f>
        <v>8738.400000000001</v>
      </c>
      <c r="H272" s="64">
        <f>SUM(H273,H281)</f>
        <v>4731.200000000001</v>
      </c>
      <c r="I272" s="31">
        <f t="shared" si="8"/>
        <v>54.14263480728737</v>
      </c>
    </row>
    <row r="273" spans="1:9" ht="18.75" customHeight="1">
      <c r="A273" s="43" t="s">
        <v>129</v>
      </c>
      <c r="B273" s="28"/>
      <c r="C273" s="45" t="s">
        <v>772</v>
      </c>
      <c r="D273" s="45" t="s">
        <v>772</v>
      </c>
      <c r="E273" s="61" t="s">
        <v>93</v>
      </c>
      <c r="F273" s="33" t="s">
        <v>816</v>
      </c>
      <c r="G273" s="64">
        <f>5270-600.4-850.2</f>
        <v>3819.4000000000005</v>
      </c>
      <c r="H273" s="64">
        <v>2740.8</v>
      </c>
      <c r="I273" s="31">
        <f t="shared" si="8"/>
        <v>71.7599622977431</v>
      </c>
    </row>
    <row r="274" spans="1:9" ht="27" customHeight="1" hidden="1">
      <c r="A274" s="43" t="s">
        <v>133</v>
      </c>
      <c r="B274" s="28"/>
      <c r="C274" s="45" t="s">
        <v>772</v>
      </c>
      <c r="D274" s="45" t="s">
        <v>772</v>
      </c>
      <c r="E274" s="61" t="s">
        <v>134</v>
      </c>
      <c r="F274" s="33"/>
      <c r="G274" s="64">
        <f>SUM(G275)</f>
        <v>0</v>
      </c>
      <c r="H274" s="64">
        <f>SUM(H275)</f>
        <v>0</v>
      </c>
      <c r="I274" s="31" t="e">
        <f t="shared" si="8"/>
        <v>#DIV/0!</v>
      </c>
    </row>
    <row r="275" spans="1:9" ht="19.5" customHeight="1" hidden="1">
      <c r="A275" s="43" t="s">
        <v>129</v>
      </c>
      <c r="B275" s="28"/>
      <c r="C275" s="45" t="s">
        <v>772</v>
      </c>
      <c r="D275" s="45" t="s">
        <v>772</v>
      </c>
      <c r="E275" s="61" t="s">
        <v>134</v>
      </c>
      <c r="F275" s="33" t="s">
        <v>816</v>
      </c>
      <c r="G275" s="64"/>
      <c r="H275" s="64"/>
      <c r="I275" s="31" t="e">
        <f t="shared" si="8"/>
        <v>#DIV/0!</v>
      </c>
    </row>
    <row r="276" spans="1:9" ht="42.75" customHeight="1" hidden="1">
      <c r="A276" s="43" t="s">
        <v>135</v>
      </c>
      <c r="B276" s="28"/>
      <c r="C276" s="45" t="s">
        <v>772</v>
      </c>
      <c r="D276" s="45" t="s">
        <v>772</v>
      </c>
      <c r="E276" s="61" t="s">
        <v>136</v>
      </c>
      <c r="F276" s="33"/>
      <c r="G276" s="64">
        <f>SUM(G277)</f>
        <v>0</v>
      </c>
      <c r="H276" s="64">
        <f>SUM(H277)</f>
        <v>0</v>
      </c>
      <c r="I276" s="31" t="e">
        <f t="shared" si="8"/>
        <v>#DIV/0!</v>
      </c>
    </row>
    <row r="277" spans="1:9" ht="21.75" customHeight="1" hidden="1">
      <c r="A277" s="43" t="s">
        <v>129</v>
      </c>
      <c r="B277" s="28"/>
      <c r="C277" s="45" t="s">
        <v>772</v>
      </c>
      <c r="D277" s="45" t="s">
        <v>772</v>
      </c>
      <c r="E277" s="61" t="s">
        <v>136</v>
      </c>
      <c r="F277" s="33" t="s">
        <v>816</v>
      </c>
      <c r="G277" s="64"/>
      <c r="H277" s="64"/>
      <c r="I277" s="31" t="e">
        <f t="shared" si="8"/>
        <v>#DIV/0!</v>
      </c>
    </row>
    <row r="278" spans="1:9" ht="16.5" customHeight="1" hidden="1">
      <c r="A278" s="83" t="s">
        <v>137</v>
      </c>
      <c r="B278" s="28"/>
      <c r="C278" s="45" t="s">
        <v>772</v>
      </c>
      <c r="D278" s="45" t="s">
        <v>772</v>
      </c>
      <c r="E278" s="61" t="s">
        <v>138</v>
      </c>
      <c r="F278" s="33"/>
      <c r="G278" s="64">
        <f>SUM(G279)</f>
        <v>0</v>
      </c>
      <c r="H278" s="64">
        <f>SUM(H279)</f>
        <v>0</v>
      </c>
      <c r="I278" s="31" t="e">
        <f aca="true" t="shared" si="10" ref="I278:I347">SUM(H278/G278*100)</f>
        <v>#DIV/0!</v>
      </c>
    </row>
    <row r="279" spans="1:9" ht="16.5" customHeight="1" hidden="1">
      <c r="A279" s="83" t="s">
        <v>139</v>
      </c>
      <c r="B279" s="28"/>
      <c r="C279" s="45" t="s">
        <v>772</v>
      </c>
      <c r="D279" s="45" t="s">
        <v>772</v>
      </c>
      <c r="E279" s="61" t="s">
        <v>140</v>
      </c>
      <c r="F279" s="33"/>
      <c r="G279" s="64">
        <f>SUM(G280)</f>
        <v>0</v>
      </c>
      <c r="H279" s="64">
        <f>SUM(H280)</f>
        <v>0</v>
      </c>
      <c r="I279" s="31" t="e">
        <f t="shared" si="10"/>
        <v>#DIV/0!</v>
      </c>
    </row>
    <row r="280" spans="1:9" ht="15" customHeight="1" hidden="1">
      <c r="A280" s="43" t="s">
        <v>129</v>
      </c>
      <c r="B280" s="28"/>
      <c r="C280" s="45" t="s">
        <v>772</v>
      </c>
      <c r="D280" s="45" t="s">
        <v>772</v>
      </c>
      <c r="E280" s="61" t="s">
        <v>140</v>
      </c>
      <c r="F280" s="33" t="s">
        <v>816</v>
      </c>
      <c r="G280" s="64"/>
      <c r="H280" s="64"/>
      <c r="I280" s="31" t="e">
        <f t="shared" si="10"/>
        <v>#DIV/0!</v>
      </c>
    </row>
    <row r="281" spans="1:9" ht="30" customHeight="1">
      <c r="A281" s="32" t="s">
        <v>710</v>
      </c>
      <c r="B281" s="28"/>
      <c r="C281" s="45" t="s">
        <v>772</v>
      </c>
      <c r="D281" s="45" t="s">
        <v>772</v>
      </c>
      <c r="E281" s="61" t="s">
        <v>93</v>
      </c>
      <c r="F281" s="33" t="s">
        <v>711</v>
      </c>
      <c r="G281" s="64">
        <v>4919</v>
      </c>
      <c r="H281" s="64">
        <v>1990.4</v>
      </c>
      <c r="I281" s="31">
        <f t="shared" si="10"/>
        <v>40.463508843260826</v>
      </c>
    </row>
    <row r="282" spans="1:9" ht="15">
      <c r="A282" s="32" t="s">
        <v>767</v>
      </c>
      <c r="B282" s="28"/>
      <c r="C282" s="45" t="s">
        <v>772</v>
      </c>
      <c r="D282" s="45" t="s">
        <v>772</v>
      </c>
      <c r="E282" s="29" t="s">
        <v>768</v>
      </c>
      <c r="F282" s="34"/>
      <c r="G282" s="31">
        <f>SUM(G284+G286+G287+G293)</f>
        <v>3886.6</v>
      </c>
      <c r="H282" s="31">
        <f>SUM(H284+H286+H287+H293)</f>
        <v>2530.4</v>
      </c>
      <c r="I282" s="31">
        <f t="shared" si="10"/>
        <v>65.10574795451038</v>
      </c>
    </row>
    <row r="283" spans="1:9" ht="15">
      <c r="A283" s="43" t="s">
        <v>129</v>
      </c>
      <c r="B283" s="28"/>
      <c r="C283" s="45" t="s">
        <v>772</v>
      </c>
      <c r="D283" s="45" t="s">
        <v>772</v>
      </c>
      <c r="E283" s="29" t="s">
        <v>768</v>
      </c>
      <c r="F283" s="34" t="s">
        <v>816</v>
      </c>
      <c r="G283" s="31">
        <f>SUM(G284)</f>
        <v>779.9</v>
      </c>
      <c r="H283" s="31">
        <f>SUM(H284)</f>
        <v>492.1</v>
      </c>
      <c r="I283" s="31">
        <f t="shared" si="10"/>
        <v>63.09783305551995</v>
      </c>
    </row>
    <row r="284" spans="1:9" ht="14.25" customHeight="1">
      <c r="A284" s="92" t="s">
        <v>141</v>
      </c>
      <c r="B284" s="100"/>
      <c r="C284" s="101" t="s">
        <v>772</v>
      </c>
      <c r="D284" s="101" t="s">
        <v>772</v>
      </c>
      <c r="E284" s="57" t="s">
        <v>142</v>
      </c>
      <c r="F284" s="34" t="s">
        <v>816</v>
      </c>
      <c r="G284" s="91">
        <f>520-20+100+79.9+100</f>
        <v>779.9</v>
      </c>
      <c r="H284" s="91">
        <v>492.1</v>
      </c>
      <c r="I284" s="31">
        <f t="shared" si="10"/>
        <v>63.09783305551995</v>
      </c>
    </row>
    <row r="285" spans="1:9" ht="28.5" hidden="1">
      <c r="A285" s="32" t="s">
        <v>710</v>
      </c>
      <c r="B285" s="95"/>
      <c r="C285" s="101" t="s">
        <v>772</v>
      </c>
      <c r="D285" s="101" t="s">
        <v>772</v>
      </c>
      <c r="E285" s="61" t="s">
        <v>768</v>
      </c>
      <c r="F285" s="62" t="s">
        <v>711</v>
      </c>
      <c r="G285" s="31">
        <f>SUM(G286)</f>
        <v>0</v>
      </c>
      <c r="H285" s="31">
        <f>SUM(H286)</f>
        <v>0</v>
      </c>
      <c r="I285" s="31" t="e">
        <f t="shared" si="10"/>
        <v>#DIV/0!</v>
      </c>
    </row>
    <row r="286" spans="1:9" ht="28.5" hidden="1">
      <c r="A286" s="80" t="s">
        <v>96</v>
      </c>
      <c r="B286" s="95"/>
      <c r="C286" s="101" t="s">
        <v>772</v>
      </c>
      <c r="D286" s="101" t="s">
        <v>772</v>
      </c>
      <c r="E286" s="61" t="s">
        <v>97</v>
      </c>
      <c r="F286" s="30" t="s">
        <v>711</v>
      </c>
      <c r="G286" s="64"/>
      <c r="H286" s="64"/>
      <c r="I286" s="31" t="e">
        <f t="shared" si="10"/>
        <v>#DIV/0!</v>
      </c>
    </row>
    <row r="287" spans="1:9" ht="28.5" customHeight="1">
      <c r="A287" s="43" t="s">
        <v>69</v>
      </c>
      <c r="B287" s="28"/>
      <c r="C287" s="45" t="s">
        <v>772</v>
      </c>
      <c r="D287" s="45" t="s">
        <v>772</v>
      </c>
      <c r="E287" s="29" t="s">
        <v>101</v>
      </c>
      <c r="F287" s="34"/>
      <c r="G287" s="31">
        <f>SUM(G288+G291)</f>
        <v>3106.7</v>
      </c>
      <c r="H287" s="31">
        <f>SUM(H288+H291)</f>
        <v>2038.3</v>
      </c>
      <c r="I287" s="31">
        <f t="shared" si="10"/>
        <v>65.60981105352947</v>
      </c>
    </row>
    <row r="288" spans="1:9" ht="28.5" customHeight="1">
      <c r="A288" s="92" t="s">
        <v>92</v>
      </c>
      <c r="B288" s="100"/>
      <c r="C288" s="45" t="s">
        <v>772</v>
      </c>
      <c r="D288" s="45" t="s">
        <v>772</v>
      </c>
      <c r="E288" s="29" t="s">
        <v>102</v>
      </c>
      <c r="F288" s="34"/>
      <c r="G288" s="91">
        <f>SUM(G289:G290)</f>
        <v>2225.9</v>
      </c>
      <c r="H288" s="91">
        <f>SUM(H289:H290)</f>
        <v>1157.5</v>
      </c>
      <c r="I288" s="31">
        <f t="shared" si="10"/>
        <v>52.001437620737676</v>
      </c>
    </row>
    <row r="289" spans="1:9" ht="15.75" customHeight="1">
      <c r="A289" s="43" t="s">
        <v>129</v>
      </c>
      <c r="B289" s="28"/>
      <c r="C289" s="45" t="s">
        <v>772</v>
      </c>
      <c r="D289" s="45" t="s">
        <v>772</v>
      </c>
      <c r="E289" s="29" t="s">
        <v>102</v>
      </c>
      <c r="F289" s="33" t="s">
        <v>816</v>
      </c>
      <c r="G289" s="64">
        <f>2170-98.5-95.6+250-0.3+0.3</f>
        <v>2225.9</v>
      </c>
      <c r="H289" s="64">
        <v>1157.5</v>
      </c>
      <c r="I289" s="31">
        <f t="shared" si="10"/>
        <v>52.001437620737676</v>
      </c>
    </row>
    <row r="290" spans="1:9" ht="28.5" customHeight="1" hidden="1">
      <c r="A290" s="32" t="s">
        <v>710</v>
      </c>
      <c r="B290" s="95"/>
      <c r="C290" s="45" t="s">
        <v>772</v>
      </c>
      <c r="D290" s="45" t="s">
        <v>772</v>
      </c>
      <c r="E290" s="29" t="s">
        <v>102</v>
      </c>
      <c r="F290" s="62" t="s">
        <v>711</v>
      </c>
      <c r="G290" s="31"/>
      <c r="H290" s="31"/>
      <c r="I290" s="31" t="e">
        <f t="shared" si="10"/>
        <v>#DIV/0!</v>
      </c>
    </row>
    <row r="291" spans="1:9" ht="36.75" customHeight="1">
      <c r="A291" s="80" t="s">
        <v>143</v>
      </c>
      <c r="B291" s="28"/>
      <c r="C291" s="45" t="s">
        <v>772</v>
      </c>
      <c r="D291" s="45" t="s">
        <v>772</v>
      </c>
      <c r="E291" s="29" t="s">
        <v>20</v>
      </c>
      <c r="F291" s="34"/>
      <c r="G291" s="31">
        <f>SUM(G292)</f>
        <v>880.8</v>
      </c>
      <c r="H291" s="31">
        <f>SUM(H292)</f>
        <v>880.8</v>
      </c>
      <c r="I291" s="31">
        <f t="shared" si="10"/>
        <v>100</v>
      </c>
    </row>
    <row r="292" spans="1:9" ht="16.5" customHeight="1">
      <c r="A292" s="43" t="s">
        <v>129</v>
      </c>
      <c r="B292" s="28"/>
      <c r="C292" s="45" t="s">
        <v>772</v>
      </c>
      <c r="D292" s="45" t="s">
        <v>772</v>
      </c>
      <c r="E292" s="29" t="s">
        <v>20</v>
      </c>
      <c r="F292" s="33" t="s">
        <v>816</v>
      </c>
      <c r="G292" s="64">
        <v>880.8</v>
      </c>
      <c r="H292" s="64">
        <v>880.8</v>
      </c>
      <c r="I292" s="31">
        <f t="shared" si="10"/>
        <v>100</v>
      </c>
    </row>
    <row r="293" spans="1:9" ht="42.75" customHeight="1" hidden="1">
      <c r="A293" s="43" t="s">
        <v>144</v>
      </c>
      <c r="B293" s="28"/>
      <c r="C293" s="45" t="s">
        <v>772</v>
      </c>
      <c r="D293" s="45" t="s">
        <v>772</v>
      </c>
      <c r="E293" s="61" t="s">
        <v>75</v>
      </c>
      <c r="F293" s="33"/>
      <c r="G293" s="64">
        <f>SUM(G294)</f>
        <v>0</v>
      </c>
      <c r="H293" s="64">
        <f>SUM(H294)</f>
        <v>0</v>
      </c>
      <c r="I293" s="31" t="e">
        <f t="shared" si="10"/>
        <v>#DIV/0!</v>
      </c>
    </row>
    <row r="294" spans="1:9" ht="18" customHeight="1" hidden="1">
      <c r="A294" s="43" t="s">
        <v>129</v>
      </c>
      <c r="B294" s="28"/>
      <c r="C294" s="45" t="s">
        <v>772</v>
      </c>
      <c r="D294" s="45" t="s">
        <v>772</v>
      </c>
      <c r="E294" s="61" t="s">
        <v>75</v>
      </c>
      <c r="F294" s="33" t="s">
        <v>816</v>
      </c>
      <c r="G294" s="64"/>
      <c r="H294" s="64"/>
      <c r="I294" s="31" t="e">
        <f t="shared" si="10"/>
        <v>#DIV/0!</v>
      </c>
    </row>
    <row r="295" spans="1:9" ht="26.25" customHeight="1">
      <c r="A295" s="27" t="s">
        <v>145</v>
      </c>
      <c r="B295" s="28"/>
      <c r="C295" s="29" t="s">
        <v>776</v>
      </c>
      <c r="D295" s="29"/>
      <c r="E295" s="29"/>
      <c r="F295" s="30"/>
      <c r="G295" s="31">
        <f>SUM(G296)+G300</f>
        <v>4392.3</v>
      </c>
      <c r="H295" s="31">
        <f>SUM(H296)+H300</f>
        <v>2547</v>
      </c>
      <c r="I295" s="31">
        <f t="shared" si="10"/>
        <v>57.987842360494504</v>
      </c>
    </row>
    <row r="296" spans="1:9" ht="31.5" customHeight="1">
      <c r="A296" s="27" t="s">
        <v>146</v>
      </c>
      <c r="B296" s="28"/>
      <c r="C296" s="29" t="s">
        <v>776</v>
      </c>
      <c r="D296" s="29" t="s">
        <v>713</v>
      </c>
      <c r="E296" s="29"/>
      <c r="F296" s="30"/>
      <c r="G296" s="31">
        <f>SUM(G299)</f>
        <v>3177.4</v>
      </c>
      <c r="H296" s="31">
        <f>SUM(H299)</f>
        <v>2199.7</v>
      </c>
      <c r="I296" s="31">
        <f t="shared" si="10"/>
        <v>69.22955875873355</v>
      </c>
    </row>
    <row r="297" spans="1:9" ht="15.75" customHeight="1">
      <c r="A297" s="27" t="s">
        <v>147</v>
      </c>
      <c r="B297" s="28"/>
      <c r="C297" s="29" t="s">
        <v>776</v>
      </c>
      <c r="D297" s="29" t="s">
        <v>713</v>
      </c>
      <c r="E297" s="29" t="s">
        <v>148</v>
      </c>
      <c r="F297" s="30"/>
      <c r="G297" s="31">
        <f>SUM(G298)</f>
        <v>3177.4</v>
      </c>
      <c r="H297" s="31">
        <f>SUM(H298)</f>
        <v>2199.7</v>
      </c>
      <c r="I297" s="31">
        <f t="shared" si="10"/>
        <v>69.22955875873355</v>
      </c>
    </row>
    <row r="298" spans="1:9" ht="28.5">
      <c r="A298" s="103" t="s">
        <v>805</v>
      </c>
      <c r="B298" s="104"/>
      <c r="C298" s="67" t="s">
        <v>776</v>
      </c>
      <c r="D298" s="67" t="s">
        <v>713</v>
      </c>
      <c r="E298" s="67" t="s">
        <v>149</v>
      </c>
      <c r="F298" s="34"/>
      <c r="G298" s="31">
        <f>SUM(G299)</f>
        <v>3177.4</v>
      </c>
      <c r="H298" s="31">
        <f>SUM(H299)</f>
        <v>2199.7</v>
      </c>
      <c r="I298" s="31">
        <f t="shared" si="10"/>
        <v>69.22955875873355</v>
      </c>
    </row>
    <row r="299" spans="1:9" ht="21.75" customHeight="1">
      <c r="A299" s="49" t="s">
        <v>807</v>
      </c>
      <c r="B299" s="28"/>
      <c r="C299" s="29" t="s">
        <v>776</v>
      </c>
      <c r="D299" s="29" t="s">
        <v>713</v>
      </c>
      <c r="E299" s="67" t="s">
        <v>149</v>
      </c>
      <c r="F299" s="34" t="s">
        <v>808</v>
      </c>
      <c r="G299" s="31">
        <f>3089.9+14.5+73</f>
        <v>3177.4</v>
      </c>
      <c r="H299" s="31">
        <v>2199.7</v>
      </c>
      <c r="I299" s="31">
        <f t="shared" si="10"/>
        <v>69.22955875873355</v>
      </c>
    </row>
    <row r="300" spans="1:9" ht="15" customHeight="1">
      <c r="A300" s="38" t="s">
        <v>150</v>
      </c>
      <c r="B300" s="28"/>
      <c r="C300" s="105" t="s">
        <v>776</v>
      </c>
      <c r="D300" s="105" t="s">
        <v>772</v>
      </c>
      <c r="E300" s="105"/>
      <c r="F300" s="59"/>
      <c r="G300" s="64">
        <f>SUM(G301+G304)</f>
        <v>1214.9</v>
      </c>
      <c r="H300" s="64">
        <f>SUM(H301+H304)</f>
        <v>347.3</v>
      </c>
      <c r="I300" s="31">
        <f t="shared" si="10"/>
        <v>28.586714955963455</v>
      </c>
    </row>
    <row r="301" spans="1:9" ht="19.5" customHeight="1" hidden="1">
      <c r="A301" s="46" t="s">
        <v>881</v>
      </c>
      <c r="B301" s="28"/>
      <c r="C301" s="105" t="s">
        <v>776</v>
      </c>
      <c r="D301" s="105" t="s">
        <v>772</v>
      </c>
      <c r="E301" s="29" t="s">
        <v>882</v>
      </c>
      <c r="F301" s="59"/>
      <c r="G301" s="64">
        <f>SUM(G302)</f>
        <v>0</v>
      </c>
      <c r="H301" s="64">
        <f>SUM(H302)</f>
        <v>0</v>
      </c>
      <c r="I301" s="31" t="e">
        <f t="shared" si="10"/>
        <v>#DIV/0!</v>
      </c>
    </row>
    <row r="302" spans="1:9" ht="42.75" customHeight="1" hidden="1">
      <c r="A302" s="46" t="s">
        <v>151</v>
      </c>
      <c r="B302" s="28"/>
      <c r="C302" s="105" t="s">
        <v>776</v>
      </c>
      <c r="D302" s="105" t="s">
        <v>772</v>
      </c>
      <c r="E302" s="29" t="s">
        <v>152</v>
      </c>
      <c r="F302" s="34"/>
      <c r="G302" s="64">
        <f>SUM(G303)</f>
        <v>0</v>
      </c>
      <c r="H302" s="64">
        <f>SUM(H303)</f>
        <v>0</v>
      </c>
      <c r="I302" s="31" t="e">
        <f t="shared" si="10"/>
        <v>#DIV/0!</v>
      </c>
    </row>
    <row r="303" spans="1:9" ht="21" customHeight="1" hidden="1">
      <c r="A303" s="43" t="s">
        <v>129</v>
      </c>
      <c r="B303" s="28"/>
      <c r="C303" s="105" t="s">
        <v>776</v>
      </c>
      <c r="D303" s="105" t="s">
        <v>772</v>
      </c>
      <c r="E303" s="29" t="s">
        <v>152</v>
      </c>
      <c r="F303" s="34" t="s">
        <v>816</v>
      </c>
      <c r="G303" s="64"/>
      <c r="H303" s="64"/>
      <c r="I303" s="31" t="e">
        <f t="shared" si="10"/>
        <v>#DIV/0!</v>
      </c>
    </row>
    <row r="304" spans="1:9" ht="20.25" customHeight="1">
      <c r="A304" s="32" t="s">
        <v>767</v>
      </c>
      <c r="B304" s="28"/>
      <c r="C304" s="105" t="s">
        <v>776</v>
      </c>
      <c r="D304" s="105" t="s">
        <v>772</v>
      </c>
      <c r="E304" s="29" t="s">
        <v>768</v>
      </c>
      <c r="F304" s="59"/>
      <c r="G304" s="64">
        <f>SUM(G308+G312)</f>
        <v>1214.9</v>
      </c>
      <c r="H304" s="64">
        <f>SUM(H308+H312)</f>
        <v>347.3</v>
      </c>
      <c r="I304" s="31">
        <f t="shared" si="10"/>
        <v>28.586714955963455</v>
      </c>
    </row>
    <row r="305" spans="1:9" ht="24" customHeight="1" hidden="1">
      <c r="A305" s="46" t="s">
        <v>153</v>
      </c>
      <c r="B305" s="28"/>
      <c r="C305" s="105" t="s">
        <v>776</v>
      </c>
      <c r="D305" s="105" t="s">
        <v>772</v>
      </c>
      <c r="E305" s="29" t="s">
        <v>768</v>
      </c>
      <c r="F305" s="59" t="s">
        <v>154</v>
      </c>
      <c r="G305" s="64"/>
      <c r="H305" s="64"/>
      <c r="I305" s="31" t="e">
        <f t="shared" si="10"/>
        <v>#DIV/0!</v>
      </c>
    </row>
    <row r="306" spans="1:9" ht="22.5" customHeight="1" hidden="1">
      <c r="A306" s="107" t="s">
        <v>155</v>
      </c>
      <c r="B306" s="28"/>
      <c r="C306" s="105" t="s">
        <v>776</v>
      </c>
      <c r="D306" s="105" t="s">
        <v>772</v>
      </c>
      <c r="E306" s="108" t="s">
        <v>768</v>
      </c>
      <c r="F306" s="109" t="s">
        <v>154</v>
      </c>
      <c r="G306" s="110"/>
      <c r="H306" s="110"/>
      <c r="I306" s="31" t="e">
        <f t="shared" si="10"/>
        <v>#DIV/0!</v>
      </c>
    </row>
    <row r="307" spans="1:9" ht="0.75" customHeight="1" hidden="1">
      <c r="A307" s="49" t="s">
        <v>807</v>
      </c>
      <c r="B307" s="28"/>
      <c r="C307" s="105" t="s">
        <v>776</v>
      </c>
      <c r="D307" s="105" t="s">
        <v>772</v>
      </c>
      <c r="E307" s="105" t="s">
        <v>768</v>
      </c>
      <c r="F307" s="59" t="s">
        <v>808</v>
      </c>
      <c r="G307" s="64"/>
      <c r="H307" s="64"/>
      <c r="I307" s="31" t="e">
        <f t="shared" si="10"/>
        <v>#DIV/0!</v>
      </c>
    </row>
    <row r="308" spans="1:9" ht="27.75" customHeight="1">
      <c r="A308" s="38" t="s">
        <v>155</v>
      </c>
      <c r="B308" s="28"/>
      <c r="C308" s="105" t="s">
        <v>776</v>
      </c>
      <c r="D308" s="105" t="s">
        <v>772</v>
      </c>
      <c r="E308" s="105" t="s">
        <v>156</v>
      </c>
      <c r="F308" s="59"/>
      <c r="G308" s="64">
        <f>SUM(G309:G311)</f>
        <v>1214.9</v>
      </c>
      <c r="H308" s="64">
        <f>SUM(H309:H311)</f>
        <v>347.3</v>
      </c>
      <c r="I308" s="31">
        <f t="shared" si="10"/>
        <v>28.586714955963455</v>
      </c>
    </row>
    <row r="309" spans="1:9" ht="15.75" customHeight="1" hidden="1">
      <c r="A309" s="43" t="s">
        <v>129</v>
      </c>
      <c r="B309" s="28"/>
      <c r="C309" s="105" t="s">
        <v>776</v>
      </c>
      <c r="D309" s="105" t="s">
        <v>772</v>
      </c>
      <c r="E309" s="105" t="s">
        <v>156</v>
      </c>
      <c r="F309" s="34" t="s">
        <v>816</v>
      </c>
      <c r="G309" s="64"/>
      <c r="H309" s="64"/>
      <c r="I309" s="31" t="e">
        <f t="shared" si="10"/>
        <v>#DIV/0!</v>
      </c>
    </row>
    <row r="310" spans="1:9" ht="15" hidden="1">
      <c r="A310" s="43" t="s">
        <v>4</v>
      </c>
      <c r="B310" s="28"/>
      <c r="C310" s="40" t="s">
        <v>776</v>
      </c>
      <c r="D310" s="40" t="s">
        <v>772</v>
      </c>
      <c r="E310" s="40" t="s">
        <v>536</v>
      </c>
      <c r="F310" s="33" t="s">
        <v>5</v>
      </c>
      <c r="G310" s="64">
        <f>1300-1300</f>
        <v>0</v>
      </c>
      <c r="H310" s="64"/>
      <c r="I310" s="31"/>
    </row>
    <row r="311" spans="1:9" ht="15">
      <c r="A311" s="49" t="s">
        <v>157</v>
      </c>
      <c r="B311" s="28"/>
      <c r="C311" s="105" t="s">
        <v>776</v>
      </c>
      <c r="D311" s="105" t="s">
        <v>772</v>
      </c>
      <c r="E311" s="105" t="s">
        <v>156</v>
      </c>
      <c r="F311" s="59" t="s">
        <v>158</v>
      </c>
      <c r="G311" s="64">
        <f>1704.5+810.4-1300</f>
        <v>1214.9</v>
      </c>
      <c r="H311" s="64">
        <v>347.3</v>
      </c>
      <c r="I311" s="31">
        <f t="shared" si="10"/>
        <v>28.586714955963455</v>
      </c>
    </row>
    <row r="312" spans="1:9" ht="26.25" customHeight="1" hidden="1">
      <c r="A312" s="111" t="s">
        <v>159</v>
      </c>
      <c r="B312" s="28"/>
      <c r="C312" s="105" t="s">
        <v>776</v>
      </c>
      <c r="D312" s="105" t="s">
        <v>772</v>
      </c>
      <c r="E312" s="105" t="s">
        <v>160</v>
      </c>
      <c r="F312" s="59"/>
      <c r="G312" s="64">
        <f>SUM(G313:G314)</f>
        <v>0</v>
      </c>
      <c r="H312" s="64">
        <f>SUM(H313:H314)</f>
        <v>0</v>
      </c>
      <c r="I312" s="31" t="e">
        <f t="shared" si="10"/>
        <v>#DIV/0!</v>
      </c>
    </row>
    <row r="313" spans="1:9" ht="15.75" customHeight="1" hidden="1">
      <c r="A313" s="43" t="s">
        <v>129</v>
      </c>
      <c r="B313" s="28"/>
      <c r="C313" s="105" t="s">
        <v>776</v>
      </c>
      <c r="D313" s="105" t="s">
        <v>772</v>
      </c>
      <c r="E313" s="105" t="s">
        <v>160</v>
      </c>
      <c r="F313" s="34" t="s">
        <v>816</v>
      </c>
      <c r="G313" s="64"/>
      <c r="H313" s="64"/>
      <c r="I313" s="31" t="e">
        <f t="shared" si="10"/>
        <v>#DIV/0!</v>
      </c>
    </row>
    <row r="314" spans="1:9" ht="18" customHeight="1" hidden="1">
      <c r="A314" s="49" t="s">
        <v>157</v>
      </c>
      <c r="B314" s="28"/>
      <c r="C314" s="105" t="s">
        <v>776</v>
      </c>
      <c r="D314" s="105" t="s">
        <v>772</v>
      </c>
      <c r="E314" s="105" t="s">
        <v>160</v>
      </c>
      <c r="F314" s="59" t="s">
        <v>161</v>
      </c>
      <c r="G314" s="64"/>
      <c r="H314" s="64"/>
      <c r="I314" s="31" t="e">
        <f t="shared" si="10"/>
        <v>#DIV/0!</v>
      </c>
    </row>
    <row r="315" spans="1:9" ht="14.25" customHeight="1" hidden="1">
      <c r="A315" s="35" t="s">
        <v>725</v>
      </c>
      <c r="B315" s="36"/>
      <c r="C315" s="105" t="s">
        <v>726</v>
      </c>
      <c r="D315" s="105"/>
      <c r="E315" s="105"/>
      <c r="F315" s="59"/>
      <c r="G315" s="64">
        <f>SUM(G316+G320+G334+G327)</f>
        <v>0</v>
      </c>
      <c r="H315" s="64">
        <f>SUM(H316+H320+H334+H327)</f>
        <v>0</v>
      </c>
      <c r="I315" s="31" t="e">
        <f t="shared" si="10"/>
        <v>#DIV/0!</v>
      </c>
    </row>
    <row r="316" spans="1:9" ht="15.75" hidden="1">
      <c r="A316" s="32" t="s">
        <v>168</v>
      </c>
      <c r="B316" s="118"/>
      <c r="C316" s="40" t="s">
        <v>726</v>
      </c>
      <c r="D316" s="40" t="s">
        <v>703</v>
      </c>
      <c r="E316" s="40"/>
      <c r="F316" s="125"/>
      <c r="G316" s="31">
        <f aca="true" t="shared" si="11" ref="G316:H318">SUM(G317)</f>
        <v>0</v>
      </c>
      <c r="H316" s="31">
        <f t="shared" si="11"/>
        <v>0</v>
      </c>
      <c r="I316" s="31" t="e">
        <f t="shared" si="10"/>
        <v>#DIV/0!</v>
      </c>
    </row>
    <row r="317" spans="1:9" ht="15.75" hidden="1">
      <c r="A317" s="32" t="s">
        <v>169</v>
      </c>
      <c r="B317" s="118"/>
      <c r="C317" s="40" t="s">
        <v>726</v>
      </c>
      <c r="D317" s="40" t="s">
        <v>703</v>
      </c>
      <c r="E317" s="40" t="s">
        <v>170</v>
      </c>
      <c r="F317" s="125"/>
      <c r="G317" s="31">
        <f t="shared" si="11"/>
        <v>0</v>
      </c>
      <c r="H317" s="31">
        <f t="shared" si="11"/>
        <v>0</v>
      </c>
      <c r="I317" s="31" t="e">
        <f t="shared" si="10"/>
        <v>#DIV/0!</v>
      </c>
    </row>
    <row r="318" spans="1:9" ht="29.25" hidden="1">
      <c r="A318" s="32" t="s">
        <v>805</v>
      </c>
      <c r="B318" s="118"/>
      <c r="C318" s="40" t="s">
        <v>726</v>
      </c>
      <c r="D318" s="40" t="s">
        <v>703</v>
      </c>
      <c r="E318" s="40" t="s">
        <v>171</v>
      </c>
      <c r="F318" s="125"/>
      <c r="G318" s="31">
        <f t="shared" si="11"/>
        <v>0</v>
      </c>
      <c r="H318" s="31">
        <f t="shared" si="11"/>
        <v>0</v>
      </c>
      <c r="I318" s="31" t="e">
        <f t="shared" si="10"/>
        <v>#DIV/0!</v>
      </c>
    </row>
    <row r="319" spans="1:9" ht="15.75" hidden="1">
      <c r="A319" s="49" t="s">
        <v>807</v>
      </c>
      <c r="B319" s="66"/>
      <c r="C319" s="205" t="s">
        <v>726</v>
      </c>
      <c r="D319" s="205" t="s">
        <v>703</v>
      </c>
      <c r="E319" s="205" t="s">
        <v>171</v>
      </c>
      <c r="F319" s="206" t="s">
        <v>808</v>
      </c>
      <c r="G319" s="31"/>
      <c r="H319" s="31"/>
      <c r="I319" s="31" t="e">
        <f t="shared" si="10"/>
        <v>#DIV/0!</v>
      </c>
    </row>
    <row r="320" spans="1:9" ht="15.75" hidden="1">
      <c r="A320" s="32" t="s">
        <v>186</v>
      </c>
      <c r="B320" s="118"/>
      <c r="C320" s="45" t="s">
        <v>726</v>
      </c>
      <c r="D320" s="45" t="s">
        <v>705</v>
      </c>
      <c r="E320" s="45"/>
      <c r="F320" s="33"/>
      <c r="G320" s="31">
        <f>SUM(G321+G324)</f>
        <v>0</v>
      </c>
      <c r="H320" s="31">
        <f>SUM(H321+H324)</f>
        <v>0</v>
      </c>
      <c r="I320" s="31" t="e">
        <f t="shared" si="10"/>
        <v>#DIV/0!</v>
      </c>
    </row>
    <row r="321" spans="1:9" ht="14.25" customHeight="1" hidden="1">
      <c r="A321" s="27" t="s">
        <v>269</v>
      </c>
      <c r="B321" s="118"/>
      <c r="C321" s="45" t="s">
        <v>726</v>
      </c>
      <c r="D321" s="45" t="s">
        <v>705</v>
      </c>
      <c r="E321" s="45" t="s">
        <v>641</v>
      </c>
      <c r="F321" s="33"/>
      <c r="G321" s="31">
        <f>SUM(G322)</f>
        <v>0</v>
      </c>
      <c r="H321" s="31">
        <f>SUM(H322)</f>
        <v>0</v>
      </c>
      <c r="I321" s="31" t="e">
        <f t="shared" si="10"/>
        <v>#DIV/0!</v>
      </c>
    </row>
    <row r="322" spans="1:9" ht="29.25" hidden="1">
      <c r="A322" s="32" t="s">
        <v>805</v>
      </c>
      <c r="B322" s="118"/>
      <c r="C322" s="45" t="s">
        <v>726</v>
      </c>
      <c r="D322" s="45" t="s">
        <v>705</v>
      </c>
      <c r="E322" s="45" t="s">
        <v>271</v>
      </c>
      <c r="F322" s="33"/>
      <c r="G322" s="31">
        <f>SUM(G323)</f>
        <v>0</v>
      </c>
      <c r="H322" s="31">
        <f>SUM(H323)</f>
        <v>0</v>
      </c>
      <c r="I322" s="31" t="e">
        <f t="shared" si="10"/>
        <v>#DIV/0!</v>
      </c>
    </row>
    <row r="323" spans="1:9" ht="15" customHeight="1" hidden="1">
      <c r="A323" s="49" t="s">
        <v>807</v>
      </c>
      <c r="B323" s="66"/>
      <c r="C323" s="67" t="s">
        <v>726</v>
      </c>
      <c r="D323" s="67" t="s">
        <v>705</v>
      </c>
      <c r="E323" s="45" t="s">
        <v>271</v>
      </c>
      <c r="F323" s="34" t="s">
        <v>808</v>
      </c>
      <c r="G323" s="31"/>
      <c r="H323" s="31"/>
      <c r="I323" s="31" t="e">
        <f t="shared" si="10"/>
        <v>#DIV/0!</v>
      </c>
    </row>
    <row r="324" spans="1:9" ht="15.75" hidden="1">
      <c r="A324" s="49" t="s">
        <v>289</v>
      </c>
      <c r="B324" s="66"/>
      <c r="C324" s="45" t="s">
        <v>726</v>
      </c>
      <c r="D324" s="45" t="s">
        <v>705</v>
      </c>
      <c r="E324" s="67" t="s">
        <v>290</v>
      </c>
      <c r="F324" s="34"/>
      <c r="G324" s="120">
        <f>SUM(G325)</f>
        <v>0</v>
      </c>
      <c r="H324" s="120">
        <f>SUM(H325)</f>
        <v>0</v>
      </c>
      <c r="I324" s="31" t="e">
        <f t="shared" si="10"/>
        <v>#DIV/0!</v>
      </c>
    </row>
    <row r="325" spans="1:9" ht="57.75" hidden="1">
      <c r="A325" s="49" t="s">
        <v>291</v>
      </c>
      <c r="B325" s="66"/>
      <c r="C325" s="45" t="s">
        <v>726</v>
      </c>
      <c r="D325" s="45" t="s">
        <v>705</v>
      </c>
      <c r="E325" s="67" t="s">
        <v>292</v>
      </c>
      <c r="F325" s="34"/>
      <c r="G325" s="120">
        <f>SUM(G326)</f>
        <v>0</v>
      </c>
      <c r="H325" s="120">
        <f>SUM(H326)</f>
        <v>0</v>
      </c>
      <c r="I325" s="31" t="e">
        <f t="shared" si="10"/>
        <v>#DIV/0!</v>
      </c>
    </row>
    <row r="326" spans="1:9" s="106" customFormat="1" ht="20.25" customHeight="1" hidden="1">
      <c r="A326" s="49" t="s">
        <v>807</v>
      </c>
      <c r="B326" s="66"/>
      <c r="C326" s="45" t="s">
        <v>726</v>
      </c>
      <c r="D326" s="45" t="s">
        <v>705</v>
      </c>
      <c r="E326" s="67" t="s">
        <v>292</v>
      </c>
      <c r="F326" s="34" t="s">
        <v>808</v>
      </c>
      <c r="G326" s="120"/>
      <c r="H326" s="120"/>
      <c r="I326" s="31" t="e">
        <f t="shared" si="10"/>
        <v>#DIV/0!</v>
      </c>
    </row>
    <row r="327" spans="1:9" s="47" customFormat="1" ht="17.25" customHeight="1" hidden="1">
      <c r="A327" s="32" t="s">
        <v>727</v>
      </c>
      <c r="B327" s="36"/>
      <c r="C327" s="29" t="s">
        <v>726</v>
      </c>
      <c r="D327" s="29" t="s">
        <v>726</v>
      </c>
      <c r="E327" s="29"/>
      <c r="F327" s="30"/>
      <c r="G327" s="31">
        <f>SUM(G331)+G328</f>
        <v>0</v>
      </c>
      <c r="H327" s="31">
        <f>SUM(H331)+H328</f>
        <v>0</v>
      </c>
      <c r="I327" s="31" t="e">
        <f t="shared" si="10"/>
        <v>#DIV/0!</v>
      </c>
    </row>
    <row r="328" spans="1:9" s="47" customFormat="1" ht="18.75" customHeight="1" hidden="1">
      <c r="A328" s="43" t="s">
        <v>307</v>
      </c>
      <c r="B328" s="44"/>
      <c r="C328" s="45" t="s">
        <v>726</v>
      </c>
      <c r="D328" s="45" t="s">
        <v>726</v>
      </c>
      <c r="E328" s="45" t="s">
        <v>308</v>
      </c>
      <c r="F328" s="33"/>
      <c r="G328" s="31">
        <f>SUM(G329)</f>
        <v>0</v>
      </c>
      <c r="H328" s="31">
        <f>SUM(H329)</f>
        <v>0</v>
      </c>
      <c r="I328" s="31" t="e">
        <f t="shared" si="10"/>
        <v>#DIV/0!</v>
      </c>
    </row>
    <row r="329" spans="1:9" s="85" customFormat="1" ht="24.75" customHeight="1" hidden="1">
      <c r="A329" s="43" t="s">
        <v>309</v>
      </c>
      <c r="B329" s="45"/>
      <c r="C329" s="45" t="s">
        <v>726</v>
      </c>
      <c r="D329" s="45" t="s">
        <v>726</v>
      </c>
      <c r="E329" s="45" t="s">
        <v>310</v>
      </c>
      <c r="F329" s="33"/>
      <c r="G329" s="31">
        <f>SUM(G330)</f>
        <v>0</v>
      </c>
      <c r="H329" s="31">
        <f>SUM(H330)</f>
        <v>0</v>
      </c>
      <c r="I329" s="31" t="e">
        <f t="shared" si="10"/>
        <v>#DIV/0!</v>
      </c>
    </row>
    <row r="330" spans="1:9" s="85" customFormat="1" ht="27" customHeight="1" hidden="1">
      <c r="A330" s="32" t="s">
        <v>710</v>
      </c>
      <c r="B330" s="36"/>
      <c r="C330" s="45" t="s">
        <v>726</v>
      </c>
      <c r="D330" s="45" t="s">
        <v>726</v>
      </c>
      <c r="E330" s="45" t="s">
        <v>310</v>
      </c>
      <c r="F330" s="30" t="s">
        <v>711</v>
      </c>
      <c r="G330" s="31"/>
      <c r="H330" s="31"/>
      <c r="I330" s="31" t="e">
        <f t="shared" si="10"/>
        <v>#DIV/0!</v>
      </c>
    </row>
    <row r="331" spans="1:9" s="37" customFormat="1" ht="28.5" hidden="1">
      <c r="A331" s="46" t="s">
        <v>315</v>
      </c>
      <c r="B331" s="36"/>
      <c r="C331" s="29" t="s">
        <v>726</v>
      </c>
      <c r="D331" s="29" t="s">
        <v>726</v>
      </c>
      <c r="E331" s="29" t="s">
        <v>729</v>
      </c>
      <c r="F331" s="30"/>
      <c r="G331" s="31">
        <f>SUM(G332)</f>
        <v>0</v>
      </c>
      <c r="H331" s="31">
        <f>SUM(H332)</f>
        <v>0</v>
      </c>
      <c r="I331" s="31" t="e">
        <f t="shared" si="10"/>
        <v>#DIV/0!</v>
      </c>
    </row>
    <row r="332" spans="1:9" s="37" customFormat="1" ht="15" hidden="1">
      <c r="A332" s="46" t="s">
        <v>316</v>
      </c>
      <c r="B332" s="36"/>
      <c r="C332" s="29" t="s">
        <v>726</v>
      </c>
      <c r="D332" s="29" t="s">
        <v>726</v>
      </c>
      <c r="E332" s="29" t="s">
        <v>317</v>
      </c>
      <c r="F332" s="30"/>
      <c r="G332" s="31">
        <f>SUM(G333)</f>
        <v>0</v>
      </c>
      <c r="H332" s="31">
        <f>SUM(H333)</f>
        <v>0</v>
      </c>
      <c r="I332" s="31" t="e">
        <f t="shared" si="10"/>
        <v>#DIV/0!</v>
      </c>
    </row>
    <row r="333" spans="1:9" s="37" customFormat="1" ht="15" hidden="1">
      <c r="A333" s="49" t="s">
        <v>807</v>
      </c>
      <c r="B333" s="36"/>
      <c r="C333" s="29" t="s">
        <v>726</v>
      </c>
      <c r="D333" s="29" t="s">
        <v>726</v>
      </c>
      <c r="E333" s="29" t="s">
        <v>317</v>
      </c>
      <c r="F333" s="30" t="s">
        <v>808</v>
      </c>
      <c r="G333" s="31"/>
      <c r="H333" s="31"/>
      <c r="I333" s="31" t="e">
        <f t="shared" si="10"/>
        <v>#DIV/0!</v>
      </c>
    </row>
    <row r="334" spans="1:9" s="37" customFormat="1" ht="21.75" customHeight="1" hidden="1">
      <c r="A334" s="27" t="s">
        <v>329</v>
      </c>
      <c r="B334" s="28"/>
      <c r="C334" s="45" t="s">
        <v>726</v>
      </c>
      <c r="D334" s="45" t="s">
        <v>861</v>
      </c>
      <c r="E334" s="45"/>
      <c r="F334" s="33"/>
      <c r="G334" s="31">
        <f>SUM(G335+G338)</f>
        <v>0</v>
      </c>
      <c r="H334" s="31">
        <f>SUM(H335+H338)</f>
        <v>0</v>
      </c>
      <c r="I334" s="31" t="e">
        <f t="shared" si="10"/>
        <v>#DIV/0!</v>
      </c>
    </row>
    <row r="335" spans="1:9" s="37" customFormat="1" ht="15" customHeight="1" hidden="1">
      <c r="A335" s="43" t="s">
        <v>812</v>
      </c>
      <c r="B335" s="44"/>
      <c r="C335" s="45" t="s">
        <v>726</v>
      </c>
      <c r="D335" s="45" t="s">
        <v>861</v>
      </c>
      <c r="E335" s="45" t="s">
        <v>751</v>
      </c>
      <c r="F335" s="33"/>
      <c r="G335" s="31">
        <f>SUM(G336)</f>
        <v>0</v>
      </c>
      <c r="H335" s="31">
        <f>SUM(H336)</f>
        <v>0</v>
      </c>
      <c r="I335" s="31" t="e">
        <f t="shared" si="10"/>
        <v>#DIV/0!</v>
      </c>
    </row>
    <row r="336" spans="1:9" s="37" customFormat="1" ht="14.25" customHeight="1" hidden="1">
      <c r="A336" s="43" t="s">
        <v>330</v>
      </c>
      <c r="B336" s="44"/>
      <c r="C336" s="45" t="s">
        <v>726</v>
      </c>
      <c r="D336" s="45" t="s">
        <v>861</v>
      </c>
      <c r="E336" s="45" t="s">
        <v>814</v>
      </c>
      <c r="F336" s="33"/>
      <c r="G336" s="31">
        <f>SUM(G337)</f>
        <v>0</v>
      </c>
      <c r="H336" s="31">
        <f>SUM(H337)</f>
        <v>0</v>
      </c>
      <c r="I336" s="31" t="e">
        <f t="shared" si="10"/>
        <v>#DIV/0!</v>
      </c>
    </row>
    <row r="337" spans="1:9" ht="14.25" customHeight="1" hidden="1">
      <c r="A337" s="43" t="s">
        <v>129</v>
      </c>
      <c r="B337" s="44"/>
      <c r="C337" s="45" t="s">
        <v>726</v>
      </c>
      <c r="D337" s="45" t="s">
        <v>861</v>
      </c>
      <c r="E337" s="45" t="s">
        <v>814</v>
      </c>
      <c r="F337" s="33" t="s">
        <v>816</v>
      </c>
      <c r="G337" s="31"/>
      <c r="H337" s="31"/>
      <c r="I337" s="31" t="e">
        <f t="shared" si="10"/>
        <v>#DIV/0!</v>
      </c>
    </row>
    <row r="338" spans="1:9" s="47" customFormat="1" ht="15" hidden="1">
      <c r="A338" s="46" t="s">
        <v>881</v>
      </c>
      <c r="B338" s="44"/>
      <c r="C338" s="45" t="s">
        <v>726</v>
      </c>
      <c r="D338" s="45" t="s">
        <v>861</v>
      </c>
      <c r="E338" s="45" t="s">
        <v>882</v>
      </c>
      <c r="F338" s="33"/>
      <c r="G338" s="31">
        <f>SUM(G339)</f>
        <v>0</v>
      </c>
      <c r="H338" s="31">
        <f>SUM(H339)</f>
        <v>0</v>
      </c>
      <c r="I338" s="31" t="e">
        <f t="shared" si="10"/>
        <v>#DIV/0!</v>
      </c>
    </row>
    <row r="339" spans="1:9" s="47" customFormat="1" ht="42.75" hidden="1">
      <c r="A339" s="43" t="s">
        <v>642</v>
      </c>
      <c r="B339" s="44"/>
      <c r="C339" s="45" t="s">
        <v>726</v>
      </c>
      <c r="D339" s="45" t="s">
        <v>861</v>
      </c>
      <c r="E339" s="45" t="s">
        <v>185</v>
      </c>
      <c r="F339" s="33"/>
      <c r="G339" s="31">
        <f>SUM(G340)</f>
        <v>0</v>
      </c>
      <c r="H339" s="31">
        <f>SUM(H340)</f>
        <v>0</v>
      </c>
      <c r="I339" s="31" t="e">
        <f t="shared" si="10"/>
        <v>#DIV/0!</v>
      </c>
    </row>
    <row r="340" spans="1:9" s="47" customFormat="1" ht="15.75" hidden="1">
      <c r="A340" s="49" t="s">
        <v>807</v>
      </c>
      <c r="B340" s="66"/>
      <c r="C340" s="45" t="s">
        <v>726</v>
      </c>
      <c r="D340" s="45" t="s">
        <v>861</v>
      </c>
      <c r="E340" s="45" t="s">
        <v>185</v>
      </c>
      <c r="F340" s="34" t="s">
        <v>808</v>
      </c>
      <c r="G340" s="31"/>
      <c r="H340" s="31"/>
      <c r="I340" s="31" t="e">
        <f t="shared" si="10"/>
        <v>#DIV/0!</v>
      </c>
    </row>
    <row r="341" spans="1:9" s="47" customFormat="1" ht="15.75">
      <c r="A341" s="49" t="s">
        <v>725</v>
      </c>
      <c r="B341" s="66"/>
      <c r="C341" s="45" t="s">
        <v>726</v>
      </c>
      <c r="D341" s="45"/>
      <c r="E341" s="45"/>
      <c r="F341" s="34"/>
      <c r="G341" s="31">
        <f>SUM(G342)</f>
        <v>2030</v>
      </c>
      <c r="H341" s="31"/>
      <c r="I341" s="31"/>
    </row>
    <row r="342" spans="1:9" s="47" customFormat="1" ht="15.75">
      <c r="A342" s="49" t="s">
        <v>329</v>
      </c>
      <c r="B342" s="66"/>
      <c r="C342" s="45" t="s">
        <v>726</v>
      </c>
      <c r="D342" s="45" t="s">
        <v>861</v>
      </c>
      <c r="E342" s="45"/>
      <c r="F342" s="34"/>
      <c r="G342" s="31">
        <f>SUM(G343)</f>
        <v>2030</v>
      </c>
      <c r="H342" s="31"/>
      <c r="I342" s="31"/>
    </row>
    <row r="343" spans="1:10" s="124" customFormat="1" ht="15">
      <c r="A343" s="103" t="s">
        <v>767</v>
      </c>
      <c r="B343" s="123"/>
      <c r="C343" s="45" t="s">
        <v>726</v>
      </c>
      <c r="D343" s="45" t="s">
        <v>861</v>
      </c>
      <c r="E343" s="45" t="s">
        <v>768</v>
      </c>
      <c r="F343" s="34"/>
      <c r="G343" s="31">
        <f>SUM(G344)</f>
        <v>2030</v>
      </c>
      <c r="H343" s="31">
        <f>SUM(H344)</f>
        <v>0</v>
      </c>
      <c r="I343" s="31">
        <f>SUM(H343/G343*100)</f>
        <v>0</v>
      </c>
      <c r="J343" s="239"/>
    </row>
    <row r="344" spans="1:10" s="124" customFormat="1" ht="42.75" customHeight="1">
      <c r="A344" s="103" t="s">
        <v>854</v>
      </c>
      <c r="B344" s="123"/>
      <c r="C344" s="45" t="s">
        <v>726</v>
      </c>
      <c r="D344" s="45" t="s">
        <v>861</v>
      </c>
      <c r="E344" s="45" t="s">
        <v>855</v>
      </c>
      <c r="F344" s="34"/>
      <c r="G344" s="31">
        <f>SUM(G345)</f>
        <v>2030</v>
      </c>
      <c r="H344" s="31">
        <f>SUM(H346:H350)</f>
        <v>0</v>
      </c>
      <c r="I344" s="31">
        <f>SUM(H344/G344*100)</f>
        <v>0</v>
      </c>
      <c r="J344" s="239"/>
    </row>
    <row r="345" spans="1:9" ht="26.25" customHeight="1">
      <c r="A345" s="27" t="s">
        <v>4</v>
      </c>
      <c r="B345" s="123"/>
      <c r="C345" s="45" t="s">
        <v>857</v>
      </c>
      <c r="D345" s="45" t="s">
        <v>861</v>
      </c>
      <c r="E345" s="45" t="s">
        <v>855</v>
      </c>
      <c r="F345" s="34" t="s">
        <v>5</v>
      </c>
      <c r="G345" s="31">
        <v>2030</v>
      </c>
      <c r="H345" s="31"/>
      <c r="I345" s="31"/>
    </row>
    <row r="346" spans="1:9" s="37" customFormat="1" ht="28.5">
      <c r="A346" s="27" t="s">
        <v>366</v>
      </c>
      <c r="B346" s="28"/>
      <c r="C346" s="45" t="s">
        <v>739</v>
      </c>
      <c r="D346" s="45"/>
      <c r="E346" s="45"/>
      <c r="F346" s="33"/>
      <c r="G346" s="31">
        <f>SUM(G347+G354+G358)</f>
        <v>455</v>
      </c>
      <c r="H346" s="31">
        <f>SUM(H347+H354)</f>
        <v>0</v>
      </c>
      <c r="I346" s="31">
        <f t="shared" si="10"/>
        <v>0</v>
      </c>
    </row>
    <row r="347" spans="1:9" s="37" customFormat="1" ht="15">
      <c r="A347" s="27" t="s">
        <v>367</v>
      </c>
      <c r="B347" s="28"/>
      <c r="C347" s="45" t="s">
        <v>739</v>
      </c>
      <c r="D347" s="45" t="s">
        <v>703</v>
      </c>
      <c r="E347" s="45"/>
      <c r="F347" s="33"/>
      <c r="G347" s="31">
        <f>SUM(G348+G351)</f>
        <v>150</v>
      </c>
      <c r="H347" s="31">
        <f>SUM(H348+H351)</f>
        <v>0</v>
      </c>
      <c r="I347" s="31">
        <f t="shared" si="10"/>
        <v>0</v>
      </c>
    </row>
    <row r="348" spans="1:9" s="37" customFormat="1" ht="28.5">
      <c r="A348" s="27" t="s">
        <v>817</v>
      </c>
      <c r="B348" s="28"/>
      <c r="C348" s="45" t="s">
        <v>739</v>
      </c>
      <c r="D348" s="45" t="s">
        <v>703</v>
      </c>
      <c r="E348" s="45" t="s">
        <v>818</v>
      </c>
      <c r="F348" s="33"/>
      <c r="G348" s="31">
        <f>SUM(G349)</f>
        <v>150</v>
      </c>
      <c r="H348" s="31">
        <f>SUM(H349)</f>
        <v>0</v>
      </c>
      <c r="I348" s="31">
        <f aca="true" t="shared" si="12" ref="I348:I417">SUM(H348/G348*100)</f>
        <v>0</v>
      </c>
    </row>
    <row r="349" spans="1:9" s="37" customFormat="1" ht="27.75" customHeight="1">
      <c r="A349" s="32" t="s">
        <v>805</v>
      </c>
      <c r="B349" s="28"/>
      <c r="C349" s="45" t="s">
        <v>739</v>
      </c>
      <c r="D349" s="45" t="s">
        <v>703</v>
      </c>
      <c r="E349" s="45" t="s">
        <v>819</v>
      </c>
      <c r="F349" s="33"/>
      <c r="G349" s="31">
        <f>SUM(G350)</f>
        <v>150</v>
      </c>
      <c r="H349" s="31">
        <f>SUM(H350)</f>
        <v>0</v>
      </c>
      <c r="I349" s="31">
        <f t="shared" si="12"/>
        <v>0</v>
      </c>
    </row>
    <row r="350" spans="1:9" s="106" customFormat="1" ht="24" customHeight="1">
      <c r="A350" s="49" t="s">
        <v>807</v>
      </c>
      <c r="B350" s="104"/>
      <c r="C350" s="67" t="s">
        <v>739</v>
      </c>
      <c r="D350" s="67" t="s">
        <v>703</v>
      </c>
      <c r="E350" s="67" t="s">
        <v>819</v>
      </c>
      <c r="F350" s="34" t="s">
        <v>808</v>
      </c>
      <c r="G350" s="31">
        <v>150</v>
      </c>
      <c r="H350" s="31"/>
      <c r="I350" s="31">
        <f t="shared" si="12"/>
        <v>0</v>
      </c>
    </row>
    <row r="351" spans="1:9" s="106" customFormat="1" ht="27.75" customHeight="1" hidden="1">
      <c r="A351" s="103" t="s">
        <v>375</v>
      </c>
      <c r="B351" s="104"/>
      <c r="C351" s="67" t="s">
        <v>739</v>
      </c>
      <c r="D351" s="67" t="s">
        <v>703</v>
      </c>
      <c r="E351" s="67" t="s">
        <v>376</v>
      </c>
      <c r="F351" s="34"/>
      <c r="G351" s="31">
        <f>SUM(G352)</f>
        <v>0</v>
      </c>
      <c r="H351" s="31">
        <f>SUM(H352)</f>
        <v>0</v>
      </c>
      <c r="I351" s="31" t="e">
        <f t="shared" si="12"/>
        <v>#DIV/0!</v>
      </c>
    </row>
    <row r="352" spans="1:9" ht="27" customHeight="1" hidden="1">
      <c r="A352" s="49" t="s">
        <v>805</v>
      </c>
      <c r="B352" s="104"/>
      <c r="C352" s="67" t="s">
        <v>739</v>
      </c>
      <c r="D352" s="67" t="s">
        <v>703</v>
      </c>
      <c r="E352" s="67" t="s">
        <v>377</v>
      </c>
      <c r="F352" s="34"/>
      <c r="G352" s="31">
        <f>SUM(G353)</f>
        <v>0</v>
      </c>
      <c r="H352" s="31">
        <f>SUM(H353)</f>
        <v>0</v>
      </c>
      <c r="I352" s="31" t="e">
        <f t="shared" si="12"/>
        <v>#DIV/0!</v>
      </c>
    </row>
    <row r="353" spans="1:9" s="47" customFormat="1" ht="27.75" customHeight="1" hidden="1">
      <c r="A353" s="49" t="s">
        <v>807</v>
      </c>
      <c r="B353" s="104"/>
      <c r="C353" s="67" t="s">
        <v>739</v>
      </c>
      <c r="D353" s="67" t="s">
        <v>703</v>
      </c>
      <c r="E353" s="67" t="s">
        <v>377</v>
      </c>
      <c r="F353" s="34" t="s">
        <v>808</v>
      </c>
      <c r="G353" s="31"/>
      <c r="H353" s="31"/>
      <c r="I353" s="31" t="e">
        <f t="shared" si="12"/>
        <v>#DIV/0!</v>
      </c>
    </row>
    <row r="354" spans="1:9" ht="29.25" hidden="1">
      <c r="A354" s="46" t="s">
        <v>385</v>
      </c>
      <c r="B354" s="51"/>
      <c r="C354" s="40" t="s">
        <v>739</v>
      </c>
      <c r="D354" s="40" t="s">
        <v>776</v>
      </c>
      <c r="E354" s="40"/>
      <c r="F354" s="125"/>
      <c r="G354" s="31">
        <f aca="true" t="shared" si="13" ref="G354:H356">SUM(G355)</f>
        <v>0</v>
      </c>
      <c r="H354" s="31">
        <f t="shared" si="13"/>
        <v>0</v>
      </c>
      <c r="I354" s="31" t="e">
        <f t="shared" si="12"/>
        <v>#DIV/0!</v>
      </c>
    </row>
    <row r="355" spans="1:9" s="47" customFormat="1" ht="42.75" hidden="1">
      <c r="A355" s="43" t="s">
        <v>812</v>
      </c>
      <c r="B355" s="44"/>
      <c r="C355" s="40" t="s">
        <v>739</v>
      </c>
      <c r="D355" s="40" t="s">
        <v>776</v>
      </c>
      <c r="E355" s="45" t="s">
        <v>751</v>
      </c>
      <c r="F355" s="33"/>
      <c r="G355" s="31">
        <f t="shared" si="13"/>
        <v>0</v>
      </c>
      <c r="H355" s="31">
        <f t="shared" si="13"/>
        <v>0</v>
      </c>
      <c r="I355" s="31" t="e">
        <f t="shared" si="12"/>
        <v>#DIV/0!</v>
      </c>
    </row>
    <row r="356" spans="1:9" ht="42.75" hidden="1">
      <c r="A356" s="43" t="s">
        <v>330</v>
      </c>
      <c r="B356" s="44"/>
      <c r="C356" s="40" t="s">
        <v>739</v>
      </c>
      <c r="D356" s="40" t="s">
        <v>776</v>
      </c>
      <c r="E356" s="45" t="s">
        <v>814</v>
      </c>
      <c r="F356" s="33"/>
      <c r="G356" s="31">
        <f t="shared" si="13"/>
        <v>0</v>
      </c>
      <c r="H356" s="31">
        <f t="shared" si="13"/>
        <v>0</v>
      </c>
      <c r="I356" s="31" t="e">
        <f t="shared" si="12"/>
        <v>#DIV/0!</v>
      </c>
    </row>
    <row r="357" spans="1:9" s="47" customFormat="1" ht="18" customHeight="1" hidden="1">
      <c r="A357" s="43" t="s">
        <v>129</v>
      </c>
      <c r="B357" s="44"/>
      <c r="C357" s="40" t="s">
        <v>739</v>
      </c>
      <c r="D357" s="40" t="s">
        <v>776</v>
      </c>
      <c r="E357" s="45" t="s">
        <v>814</v>
      </c>
      <c r="F357" s="33" t="s">
        <v>816</v>
      </c>
      <c r="G357" s="31"/>
      <c r="H357" s="31"/>
      <c r="I357" s="31" t="e">
        <f t="shared" si="12"/>
        <v>#DIV/0!</v>
      </c>
    </row>
    <row r="358" spans="1:9" s="47" customFormat="1" ht="28.5" customHeight="1">
      <c r="A358" s="43" t="s">
        <v>224</v>
      </c>
      <c r="B358" s="44"/>
      <c r="C358" s="40" t="s">
        <v>739</v>
      </c>
      <c r="D358" s="40" t="s">
        <v>776</v>
      </c>
      <c r="E358" s="45"/>
      <c r="F358" s="33"/>
      <c r="G358" s="31">
        <f>SUM(G359)</f>
        <v>305</v>
      </c>
      <c r="H358" s="31"/>
      <c r="I358" s="31"/>
    </row>
    <row r="359" spans="1:9" s="47" customFormat="1" ht="18" customHeight="1">
      <c r="A359" s="103" t="s">
        <v>767</v>
      </c>
      <c r="B359" s="44"/>
      <c r="C359" s="40" t="s">
        <v>739</v>
      </c>
      <c r="D359" s="40" t="s">
        <v>776</v>
      </c>
      <c r="E359" s="45" t="s">
        <v>768</v>
      </c>
      <c r="F359" s="33"/>
      <c r="G359" s="31">
        <f>SUM(G360)</f>
        <v>305</v>
      </c>
      <c r="H359" s="31"/>
      <c r="I359" s="31"/>
    </row>
    <row r="360" spans="1:9" ht="45.75" customHeight="1">
      <c r="A360" s="38" t="s">
        <v>854</v>
      </c>
      <c r="B360" s="51"/>
      <c r="C360" s="40" t="s">
        <v>739</v>
      </c>
      <c r="D360" s="40" t="s">
        <v>776</v>
      </c>
      <c r="E360" s="40" t="s">
        <v>855</v>
      </c>
      <c r="F360" s="125"/>
      <c r="G360" s="64">
        <f>SUM(G361)</f>
        <v>305</v>
      </c>
      <c r="H360" s="64"/>
      <c r="I360" s="31"/>
    </row>
    <row r="361" spans="1:9" ht="24.75" customHeight="1">
      <c r="A361" s="27" t="s">
        <v>4</v>
      </c>
      <c r="B361" s="51"/>
      <c r="C361" s="40" t="s">
        <v>739</v>
      </c>
      <c r="D361" s="40" t="s">
        <v>776</v>
      </c>
      <c r="E361" s="40" t="s">
        <v>855</v>
      </c>
      <c r="F361" s="125" t="s">
        <v>5</v>
      </c>
      <c r="G361" s="64">
        <v>305</v>
      </c>
      <c r="H361" s="64"/>
      <c r="I361" s="31"/>
    </row>
    <row r="362" spans="1:9" s="47" customFormat="1" ht="14.25" customHeight="1">
      <c r="A362" s="27" t="s">
        <v>643</v>
      </c>
      <c r="B362" s="28"/>
      <c r="C362" s="29" t="s">
        <v>861</v>
      </c>
      <c r="D362" s="29"/>
      <c r="E362" s="29"/>
      <c r="F362" s="30"/>
      <c r="G362" s="31">
        <f>SUM(G363+G386+G377+G373+G369)</f>
        <v>10267.699999999999</v>
      </c>
      <c r="H362" s="31">
        <f>SUM(H363+H386+H377+H373+H369)</f>
        <v>5636.900000000001</v>
      </c>
      <c r="I362" s="31">
        <f t="shared" si="12"/>
        <v>54.89934454649046</v>
      </c>
    </row>
    <row r="363" spans="1:9" s="47" customFormat="1" ht="14.25" customHeight="1">
      <c r="A363" s="27" t="s">
        <v>397</v>
      </c>
      <c r="B363" s="28"/>
      <c r="C363" s="45" t="s">
        <v>861</v>
      </c>
      <c r="D363" s="45" t="s">
        <v>703</v>
      </c>
      <c r="E363" s="45"/>
      <c r="F363" s="33"/>
      <c r="G363" s="31">
        <f>SUM(G366)+G364</f>
        <v>3227.4</v>
      </c>
      <c r="H363" s="31">
        <f>SUM(H366)+H364</f>
        <v>3221.3</v>
      </c>
      <c r="I363" s="31">
        <f t="shared" si="12"/>
        <v>99.81099336927558</v>
      </c>
    </row>
    <row r="364" spans="1:9" s="2" customFormat="1" ht="16.5" customHeight="1" hidden="1">
      <c r="A364" s="27" t="s">
        <v>765</v>
      </c>
      <c r="B364" s="28"/>
      <c r="C364" s="45" t="s">
        <v>861</v>
      </c>
      <c r="D364" s="45" t="s">
        <v>703</v>
      </c>
      <c r="E364" s="45" t="s">
        <v>766</v>
      </c>
      <c r="F364" s="33"/>
      <c r="G364" s="31">
        <f>SUM(G365)</f>
        <v>0</v>
      </c>
      <c r="H364" s="31">
        <f>SUM(H365)</f>
        <v>0</v>
      </c>
      <c r="I364" s="31" t="e">
        <f t="shared" si="12"/>
        <v>#DIV/0!</v>
      </c>
    </row>
    <row r="365" spans="1:9" s="2" customFormat="1" ht="16.5" customHeight="1" hidden="1">
      <c r="A365" s="49" t="s">
        <v>807</v>
      </c>
      <c r="B365" s="28"/>
      <c r="C365" s="45" t="s">
        <v>861</v>
      </c>
      <c r="D365" s="45" t="s">
        <v>703</v>
      </c>
      <c r="E365" s="45" t="s">
        <v>766</v>
      </c>
      <c r="F365" s="33" t="s">
        <v>808</v>
      </c>
      <c r="G365" s="31"/>
      <c r="H365" s="31"/>
      <c r="I365" s="31" t="e">
        <f t="shared" si="12"/>
        <v>#DIV/0!</v>
      </c>
    </row>
    <row r="366" spans="1:9" s="2" customFormat="1" ht="15">
      <c r="A366" s="27" t="s">
        <v>644</v>
      </c>
      <c r="B366" s="28"/>
      <c r="C366" s="45" t="s">
        <v>861</v>
      </c>
      <c r="D366" s="45" t="s">
        <v>703</v>
      </c>
      <c r="E366" s="45" t="s">
        <v>402</v>
      </c>
      <c r="F366" s="33"/>
      <c r="G366" s="31">
        <f>SUM(G367)</f>
        <v>3227.4</v>
      </c>
      <c r="H366" s="31">
        <f>SUM(H367)</f>
        <v>3221.3</v>
      </c>
      <c r="I366" s="31">
        <f t="shared" si="12"/>
        <v>99.81099336927558</v>
      </c>
    </row>
    <row r="367" spans="1:9" s="2" customFormat="1" ht="26.25" customHeight="1">
      <c r="A367" s="32" t="s">
        <v>805</v>
      </c>
      <c r="B367" s="28"/>
      <c r="C367" s="45" t="s">
        <v>861</v>
      </c>
      <c r="D367" s="45" t="s">
        <v>703</v>
      </c>
      <c r="E367" s="45" t="s">
        <v>403</v>
      </c>
      <c r="F367" s="33"/>
      <c r="G367" s="31">
        <f>SUM(G368)</f>
        <v>3227.4</v>
      </c>
      <c r="H367" s="31">
        <f>SUM(H368)</f>
        <v>3221.3</v>
      </c>
      <c r="I367" s="31">
        <f t="shared" si="12"/>
        <v>99.81099336927558</v>
      </c>
    </row>
    <row r="368" spans="1:9" s="2" customFormat="1" ht="15">
      <c r="A368" s="49" t="s">
        <v>807</v>
      </c>
      <c r="B368" s="104"/>
      <c r="C368" s="67" t="s">
        <v>861</v>
      </c>
      <c r="D368" s="67" t="s">
        <v>703</v>
      </c>
      <c r="E368" s="67" t="s">
        <v>403</v>
      </c>
      <c r="F368" s="34" t="s">
        <v>808</v>
      </c>
      <c r="G368" s="31">
        <f>5143-1471.5+25.9-470</f>
        <v>3227.4</v>
      </c>
      <c r="H368" s="31">
        <v>3221.3</v>
      </c>
      <c r="I368" s="31">
        <f t="shared" si="12"/>
        <v>99.81099336927558</v>
      </c>
    </row>
    <row r="369" spans="1:9" s="2" customFormat="1" ht="15">
      <c r="A369" s="27" t="s">
        <v>408</v>
      </c>
      <c r="B369" s="28"/>
      <c r="C369" s="45" t="s">
        <v>861</v>
      </c>
      <c r="D369" s="45" t="s">
        <v>705</v>
      </c>
      <c r="E369" s="45"/>
      <c r="F369" s="33"/>
      <c r="G369" s="31">
        <f>SUM(G370)</f>
        <v>23.80000000000001</v>
      </c>
      <c r="H369" s="31">
        <f>SUM(H370)</f>
        <v>23.80000000000001</v>
      </c>
      <c r="I369" s="31">
        <f t="shared" si="12"/>
        <v>100</v>
      </c>
    </row>
    <row r="370" spans="1:9" s="2" customFormat="1" ht="15">
      <c r="A370" s="27" t="s">
        <v>401</v>
      </c>
      <c r="B370" s="28"/>
      <c r="C370" s="45" t="s">
        <v>861</v>
      </c>
      <c r="D370" s="45" t="s">
        <v>705</v>
      </c>
      <c r="E370" s="45" t="s">
        <v>402</v>
      </c>
      <c r="F370" s="33"/>
      <c r="G370" s="31">
        <f>SUM(G371)</f>
        <v>23.80000000000001</v>
      </c>
      <c r="H370" s="31">
        <f>SUM(H371)</f>
        <v>23.80000000000001</v>
      </c>
      <c r="I370" s="31">
        <f t="shared" si="12"/>
        <v>100</v>
      </c>
    </row>
    <row r="371" spans="1:9" s="2" customFormat="1" ht="28.5">
      <c r="A371" s="32" t="s">
        <v>805</v>
      </c>
      <c r="B371" s="28"/>
      <c r="C371" s="45" t="s">
        <v>861</v>
      </c>
      <c r="D371" s="45" t="s">
        <v>705</v>
      </c>
      <c r="E371" s="45" t="s">
        <v>403</v>
      </c>
      <c r="F371" s="33"/>
      <c r="G371" s="31">
        <f>SUM(G372:G375)</f>
        <v>23.80000000000001</v>
      </c>
      <c r="H371" s="31">
        <f>SUM(H372:H375)</f>
        <v>23.80000000000001</v>
      </c>
      <c r="I371" s="31">
        <f t="shared" si="12"/>
        <v>100</v>
      </c>
    </row>
    <row r="372" spans="1:9" s="2" customFormat="1" ht="15">
      <c r="A372" s="49" t="s">
        <v>807</v>
      </c>
      <c r="B372" s="28"/>
      <c r="C372" s="45" t="s">
        <v>861</v>
      </c>
      <c r="D372" s="45" t="s">
        <v>705</v>
      </c>
      <c r="E372" s="45" t="s">
        <v>403</v>
      </c>
      <c r="F372" s="33" t="s">
        <v>808</v>
      </c>
      <c r="G372" s="31">
        <f>500-476.2</f>
        <v>23.80000000000001</v>
      </c>
      <c r="H372" s="31">
        <f>500-476.2</f>
        <v>23.80000000000001</v>
      </c>
      <c r="I372" s="31">
        <f t="shared" si="12"/>
        <v>100</v>
      </c>
    </row>
    <row r="373" spans="1:9" s="2" customFormat="1" ht="21" customHeight="1" hidden="1">
      <c r="A373" s="49" t="s">
        <v>420</v>
      </c>
      <c r="B373" s="28"/>
      <c r="C373" s="45" t="s">
        <v>861</v>
      </c>
      <c r="D373" s="45" t="s">
        <v>737</v>
      </c>
      <c r="E373" s="45"/>
      <c r="F373" s="33"/>
      <c r="G373" s="31">
        <f aca="true" t="shared" si="14" ref="G373:H375">SUM(G374)</f>
        <v>0</v>
      </c>
      <c r="H373" s="31">
        <f t="shared" si="14"/>
        <v>0</v>
      </c>
      <c r="I373" s="31" t="e">
        <f t="shared" si="12"/>
        <v>#DIV/0!</v>
      </c>
    </row>
    <row r="374" spans="1:9" s="2" customFormat="1" ht="15" hidden="1">
      <c r="A374" s="103" t="s">
        <v>421</v>
      </c>
      <c r="B374" s="104"/>
      <c r="C374" s="45" t="s">
        <v>861</v>
      </c>
      <c r="D374" s="45" t="s">
        <v>737</v>
      </c>
      <c r="E374" s="67" t="s">
        <v>422</v>
      </c>
      <c r="F374" s="34"/>
      <c r="G374" s="31">
        <f t="shared" si="14"/>
        <v>0</v>
      </c>
      <c r="H374" s="31">
        <f t="shared" si="14"/>
        <v>0</v>
      </c>
      <c r="I374" s="31" t="e">
        <f t="shared" si="12"/>
        <v>#DIV/0!</v>
      </c>
    </row>
    <row r="375" spans="1:9" s="47" customFormat="1" ht="15.75" customHeight="1" hidden="1">
      <c r="A375" s="49" t="s">
        <v>805</v>
      </c>
      <c r="B375" s="104"/>
      <c r="C375" s="45" t="s">
        <v>861</v>
      </c>
      <c r="D375" s="45" t="s">
        <v>737</v>
      </c>
      <c r="E375" s="67" t="s">
        <v>423</v>
      </c>
      <c r="F375" s="34"/>
      <c r="G375" s="31">
        <f t="shared" si="14"/>
        <v>0</v>
      </c>
      <c r="H375" s="31">
        <f t="shared" si="14"/>
        <v>0</v>
      </c>
      <c r="I375" s="31" t="e">
        <f t="shared" si="12"/>
        <v>#DIV/0!</v>
      </c>
    </row>
    <row r="376" spans="1:9" s="47" customFormat="1" ht="18.75" customHeight="1" hidden="1">
      <c r="A376" s="49" t="s">
        <v>807</v>
      </c>
      <c r="B376" s="104"/>
      <c r="C376" s="45" t="s">
        <v>861</v>
      </c>
      <c r="D376" s="45" t="s">
        <v>737</v>
      </c>
      <c r="E376" s="67" t="s">
        <v>423</v>
      </c>
      <c r="F376" s="34" t="s">
        <v>808</v>
      </c>
      <c r="G376" s="31"/>
      <c r="H376" s="31"/>
      <c r="I376" s="31" t="e">
        <f t="shared" si="12"/>
        <v>#DIV/0!</v>
      </c>
    </row>
    <row r="377" spans="1:9" s="47" customFormat="1" ht="15">
      <c r="A377" s="27" t="s">
        <v>424</v>
      </c>
      <c r="B377" s="28"/>
      <c r="C377" s="29" t="s">
        <v>861</v>
      </c>
      <c r="D377" s="29" t="s">
        <v>739</v>
      </c>
      <c r="E377" s="29"/>
      <c r="F377" s="30"/>
      <c r="G377" s="31">
        <f>SUM(G380+G383+G378)</f>
        <v>1550.1</v>
      </c>
      <c r="H377" s="31">
        <f>SUM(H380+H383+H378)</f>
        <v>1344.5</v>
      </c>
      <c r="I377" s="31">
        <f t="shared" si="12"/>
        <v>86.73633959099413</v>
      </c>
    </row>
    <row r="378" spans="1:9" ht="15">
      <c r="A378" s="49" t="s">
        <v>765</v>
      </c>
      <c r="B378" s="28"/>
      <c r="C378" s="29" t="s">
        <v>861</v>
      </c>
      <c r="D378" s="29" t="s">
        <v>739</v>
      </c>
      <c r="E378" s="45" t="s">
        <v>766</v>
      </c>
      <c r="F378" s="33"/>
      <c r="G378" s="31">
        <f>SUM(G379)</f>
        <v>199.5</v>
      </c>
      <c r="H378" s="31">
        <f>SUM(H379)</f>
        <v>79.5</v>
      </c>
      <c r="I378" s="31"/>
    </row>
    <row r="379" spans="1:9" ht="28.5">
      <c r="A379" s="32" t="s">
        <v>710</v>
      </c>
      <c r="B379" s="28"/>
      <c r="C379" s="29" t="s">
        <v>861</v>
      </c>
      <c r="D379" s="29" t="s">
        <v>739</v>
      </c>
      <c r="E379" s="45" t="s">
        <v>766</v>
      </c>
      <c r="F379" s="33" t="s">
        <v>711</v>
      </c>
      <c r="G379" s="31">
        <f>250-50.3-0.2</f>
        <v>199.5</v>
      </c>
      <c r="H379" s="31">
        <v>79.5</v>
      </c>
      <c r="I379" s="31"/>
    </row>
    <row r="380" spans="1:9" s="47" customFormat="1" ht="28.5">
      <c r="A380" s="27" t="s">
        <v>425</v>
      </c>
      <c r="B380" s="28"/>
      <c r="C380" s="29" t="s">
        <v>861</v>
      </c>
      <c r="D380" s="29" t="s">
        <v>739</v>
      </c>
      <c r="E380" s="55" t="s">
        <v>294</v>
      </c>
      <c r="F380" s="30"/>
      <c r="G380" s="31">
        <f>SUM(G381)</f>
        <v>1350.6</v>
      </c>
      <c r="H380" s="31">
        <f>SUM(H381)</f>
        <v>1265</v>
      </c>
      <c r="I380" s="31">
        <f t="shared" si="12"/>
        <v>93.66207611431958</v>
      </c>
    </row>
    <row r="381" spans="1:9" s="47" customFormat="1" ht="28.5">
      <c r="A381" s="27" t="s">
        <v>195</v>
      </c>
      <c r="B381" s="28"/>
      <c r="C381" s="29" t="s">
        <v>861</v>
      </c>
      <c r="D381" s="29" t="s">
        <v>739</v>
      </c>
      <c r="E381" s="55" t="s">
        <v>295</v>
      </c>
      <c r="F381" s="30"/>
      <c r="G381" s="31">
        <f>SUM(G382)</f>
        <v>1350.6</v>
      </c>
      <c r="H381" s="31">
        <f>SUM(H382)</f>
        <v>1265</v>
      </c>
      <c r="I381" s="31">
        <f t="shared" si="12"/>
        <v>93.66207611431958</v>
      </c>
    </row>
    <row r="382" spans="1:9" s="47" customFormat="1" ht="27.75" customHeight="1">
      <c r="A382" s="32" t="s">
        <v>710</v>
      </c>
      <c r="B382" s="28"/>
      <c r="C382" s="29" t="s">
        <v>861</v>
      </c>
      <c r="D382" s="29" t="s">
        <v>739</v>
      </c>
      <c r="E382" s="55" t="s">
        <v>295</v>
      </c>
      <c r="F382" s="30" t="s">
        <v>711</v>
      </c>
      <c r="G382" s="31">
        <f>100+1738.6-499.6+2.8+8.8</f>
        <v>1350.6</v>
      </c>
      <c r="H382" s="31">
        <v>1265</v>
      </c>
      <c r="I382" s="31">
        <f t="shared" si="12"/>
        <v>93.66207611431958</v>
      </c>
    </row>
    <row r="383" spans="1:9" s="47" customFormat="1" ht="17.25" customHeight="1" hidden="1">
      <c r="A383" s="103" t="s">
        <v>767</v>
      </c>
      <c r="B383" s="44"/>
      <c r="C383" s="29" t="s">
        <v>861</v>
      </c>
      <c r="D383" s="29" t="s">
        <v>739</v>
      </c>
      <c r="E383" s="45" t="s">
        <v>768</v>
      </c>
      <c r="F383" s="33"/>
      <c r="G383" s="31">
        <f>SUM(G384)</f>
        <v>0</v>
      </c>
      <c r="H383" s="31">
        <f>SUM(H384)</f>
        <v>0</v>
      </c>
      <c r="I383" s="31" t="e">
        <f t="shared" si="12"/>
        <v>#DIV/0!</v>
      </c>
    </row>
    <row r="384" spans="1:9" s="47" customFormat="1" ht="28.5" hidden="1">
      <c r="A384" s="27" t="s">
        <v>195</v>
      </c>
      <c r="B384" s="104"/>
      <c r="C384" s="29" t="s">
        <v>861</v>
      </c>
      <c r="D384" s="29" t="s">
        <v>739</v>
      </c>
      <c r="E384" s="67" t="s">
        <v>768</v>
      </c>
      <c r="F384" s="34" t="s">
        <v>348</v>
      </c>
      <c r="G384" s="31">
        <f>SUM(G385)</f>
        <v>0</v>
      </c>
      <c r="H384" s="31">
        <f>SUM(H385)</f>
        <v>0</v>
      </c>
      <c r="I384" s="31" t="e">
        <f t="shared" si="12"/>
        <v>#DIV/0!</v>
      </c>
    </row>
    <row r="385" spans="1:9" s="47" customFormat="1" ht="29.25" customHeight="1" hidden="1">
      <c r="A385" s="32" t="s">
        <v>426</v>
      </c>
      <c r="B385" s="28"/>
      <c r="C385" s="29" t="s">
        <v>861</v>
      </c>
      <c r="D385" s="29" t="s">
        <v>739</v>
      </c>
      <c r="E385" s="67" t="s">
        <v>427</v>
      </c>
      <c r="F385" s="34" t="s">
        <v>348</v>
      </c>
      <c r="G385" s="31">
        <f>1738.6-1738.6</f>
        <v>0</v>
      </c>
      <c r="H385" s="31">
        <f>1738.6-1738.6</f>
        <v>0</v>
      </c>
      <c r="I385" s="31" t="e">
        <f t="shared" si="12"/>
        <v>#DIV/0!</v>
      </c>
    </row>
    <row r="386" spans="1:9" s="47" customFormat="1" ht="28.5">
      <c r="A386" s="27" t="s">
        <v>428</v>
      </c>
      <c r="B386" s="28"/>
      <c r="C386" s="45" t="s">
        <v>861</v>
      </c>
      <c r="D386" s="45" t="s">
        <v>1</v>
      </c>
      <c r="E386" s="45"/>
      <c r="F386" s="33"/>
      <c r="G386" s="31">
        <f>SUM(G390+G387)</f>
        <v>5466.4</v>
      </c>
      <c r="H386" s="31">
        <f>SUM(H390+H387)</f>
        <v>1047.3</v>
      </c>
      <c r="I386" s="31">
        <f t="shared" si="12"/>
        <v>19.158861407873555</v>
      </c>
    </row>
    <row r="387" spans="1:9" s="119" customFormat="1" ht="42.75" hidden="1">
      <c r="A387" s="43" t="s">
        <v>812</v>
      </c>
      <c r="B387" s="44"/>
      <c r="C387" s="45" t="s">
        <v>861</v>
      </c>
      <c r="D387" s="45" t="s">
        <v>1</v>
      </c>
      <c r="E387" s="45" t="s">
        <v>751</v>
      </c>
      <c r="F387" s="33"/>
      <c r="G387" s="31">
        <f>SUM(G388)</f>
        <v>0</v>
      </c>
      <c r="H387" s="31">
        <f>SUM(H388)</f>
        <v>0</v>
      </c>
      <c r="I387" s="31" t="e">
        <f t="shared" si="12"/>
        <v>#DIV/0!</v>
      </c>
    </row>
    <row r="388" spans="1:9" ht="42.75" hidden="1">
      <c r="A388" s="43" t="s">
        <v>330</v>
      </c>
      <c r="B388" s="44"/>
      <c r="C388" s="45" t="s">
        <v>861</v>
      </c>
      <c r="D388" s="45" t="s">
        <v>1</v>
      </c>
      <c r="E388" s="45" t="s">
        <v>814</v>
      </c>
      <c r="F388" s="33"/>
      <c r="G388" s="31">
        <f>SUM(G389)</f>
        <v>0</v>
      </c>
      <c r="H388" s="31">
        <f>SUM(H389)</f>
        <v>0</v>
      </c>
      <c r="I388" s="31" t="e">
        <f t="shared" si="12"/>
        <v>#DIV/0!</v>
      </c>
    </row>
    <row r="389" spans="1:9" ht="15" hidden="1">
      <c r="A389" s="43" t="s">
        <v>129</v>
      </c>
      <c r="B389" s="44"/>
      <c r="C389" s="45" t="s">
        <v>861</v>
      </c>
      <c r="D389" s="45" t="s">
        <v>1</v>
      </c>
      <c r="E389" s="45" t="s">
        <v>814</v>
      </c>
      <c r="F389" s="33" t="s">
        <v>816</v>
      </c>
      <c r="G389" s="31"/>
      <c r="H389" s="31"/>
      <c r="I389" s="31" t="e">
        <f t="shared" si="12"/>
        <v>#DIV/0!</v>
      </c>
    </row>
    <row r="390" spans="1:9" ht="15">
      <c r="A390" s="103" t="s">
        <v>767</v>
      </c>
      <c r="B390" s="44"/>
      <c r="C390" s="45" t="s">
        <v>861</v>
      </c>
      <c r="D390" s="45" t="s">
        <v>1</v>
      </c>
      <c r="E390" s="45" t="s">
        <v>768</v>
      </c>
      <c r="F390" s="33"/>
      <c r="G390" s="31">
        <f>SUM(G393)+G397+G399+G391</f>
        <v>5466.4</v>
      </c>
      <c r="H390" s="31">
        <f>SUM(H393)+H397+H399</f>
        <v>1047.3</v>
      </c>
      <c r="I390" s="31">
        <f t="shared" si="12"/>
        <v>19.158861407873555</v>
      </c>
    </row>
    <row r="391" spans="1:9" ht="57">
      <c r="A391" s="38" t="s">
        <v>854</v>
      </c>
      <c r="B391" s="44"/>
      <c r="C391" s="45" t="s">
        <v>861</v>
      </c>
      <c r="D391" s="45" t="s">
        <v>1</v>
      </c>
      <c r="E391" s="45" t="s">
        <v>855</v>
      </c>
      <c r="F391" s="33"/>
      <c r="G391" s="31">
        <f>SUM(G392)</f>
        <v>3490.2</v>
      </c>
      <c r="H391" s="31"/>
      <c r="I391" s="31"/>
    </row>
    <row r="392" spans="1:9" ht="15">
      <c r="A392" s="27" t="s">
        <v>4</v>
      </c>
      <c r="B392" s="44"/>
      <c r="C392" s="45" t="s">
        <v>861</v>
      </c>
      <c r="D392" s="45" t="s">
        <v>1</v>
      </c>
      <c r="E392" s="45" t="s">
        <v>855</v>
      </c>
      <c r="F392" s="33" t="s">
        <v>5</v>
      </c>
      <c r="G392" s="31">
        <v>3490.2</v>
      </c>
      <c r="H392" s="31"/>
      <c r="I392" s="31"/>
    </row>
    <row r="393" spans="1:9" ht="28.5">
      <c r="A393" s="27" t="s">
        <v>431</v>
      </c>
      <c r="B393" s="44"/>
      <c r="C393" s="45" t="s">
        <v>861</v>
      </c>
      <c r="D393" s="45" t="s">
        <v>1</v>
      </c>
      <c r="E393" s="45" t="s">
        <v>432</v>
      </c>
      <c r="F393" s="33"/>
      <c r="G393" s="31">
        <f>SUM(G394:G396)</f>
        <v>76.19999999999982</v>
      </c>
      <c r="H393" s="31">
        <f>SUM(H394:H396)</f>
        <v>5</v>
      </c>
      <c r="I393" s="31">
        <f t="shared" si="12"/>
        <v>6.561679790026262</v>
      </c>
    </row>
    <row r="394" spans="1:9" ht="0.75" customHeight="1" hidden="1">
      <c r="A394" s="43" t="s">
        <v>129</v>
      </c>
      <c r="B394" s="28"/>
      <c r="C394" s="45" t="s">
        <v>861</v>
      </c>
      <c r="D394" s="45" t="s">
        <v>1</v>
      </c>
      <c r="E394" s="45" t="s">
        <v>432</v>
      </c>
      <c r="F394" s="33" t="s">
        <v>816</v>
      </c>
      <c r="G394" s="31"/>
      <c r="H394" s="31"/>
      <c r="I394" s="31" t="e">
        <f t="shared" si="12"/>
        <v>#DIV/0!</v>
      </c>
    </row>
    <row r="395" spans="1:9" ht="28.5" hidden="1">
      <c r="A395" s="32" t="s">
        <v>710</v>
      </c>
      <c r="B395" s="104"/>
      <c r="C395" s="67" t="s">
        <v>861</v>
      </c>
      <c r="D395" s="45" t="s">
        <v>1</v>
      </c>
      <c r="E395" s="45" t="s">
        <v>432</v>
      </c>
      <c r="F395" s="34" t="s">
        <v>711</v>
      </c>
      <c r="G395" s="31"/>
      <c r="H395" s="31"/>
      <c r="I395" s="31" t="e">
        <f t="shared" si="12"/>
        <v>#DIV/0!</v>
      </c>
    </row>
    <row r="396" spans="1:9" s="37" customFormat="1" ht="33" customHeight="1">
      <c r="A396" s="27" t="s">
        <v>195</v>
      </c>
      <c r="B396" s="28"/>
      <c r="C396" s="45" t="s">
        <v>861</v>
      </c>
      <c r="D396" s="45" t="s">
        <v>1</v>
      </c>
      <c r="E396" s="45" t="s">
        <v>432</v>
      </c>
      <c r="F396" s="125" t="s">
        <v>348</v>
      </c>
      <c r="G396" s="64">
        <f>2076.2-2000</f>
        <v>76.19999999999982</v>
      </c>
      <c r="H396" s="64">
        <v>5</v>
      </c>
      <c r="I396" s="31">
        <f t="shared" si="12"/>
        <v>6.561679790026262</v>
      </c>
    </row>
    <row r="397" spans="1:9" ht="42.75" hidden="1">
      <c r="A397" s="80" t="s">
        <v>356</v>
      </c>
      <c r="B397" s="28"/>
      <c r="C397" s="45" t="s">
        <v>861</v>
      </c>
      <c r="D397" s="45" t="s">
        <v>1</v>
      </c>
      <c r="E397" s="45" t="s">
        <v>357</v>
      </c>
      <c r="F397" s="125"/>
      <c r="G397" s="64">
        <f>SUM(G398)</f>
        <v>0</v>
      </c>
      <c r="H397" s="64">
        <f>SUM(H398)</f>
        <v>0</v>
      </c>
      <c r="I397" s="31" t="e">
        <f t="shared" si="12"/>
        <v>#DIV/0!</v>
      </c>
    </row>
    <row r="398" spans="1:9" ht="28.5" hidden="1">
      <c r="A398" s="27" t="s">
        <v>195</v>
      </c>
      <c r="B398" s="28"/>
      <c r="C398" s="45" t="s">
        <v>861</v>
      </c>
      <c r="D398" s="45" t="s">
        <v>1</v>
      </c>
      <c r="E398" s="45" t="s">
        <v>357</v>
      </c>
      <c r="F398" s="125" t="s">
        <v>348</v>
      </c>
      <c r="G398" s="64"/>
      <c r="H398" s="64"/>
      <c r="I398" s="31" t="e">
        <f t="shared" si="12"/>
        <v>#DIV/0!</v>
      </c>
    </row>
    <row r="399" spans="1:9" ht="29.25" customHeight="1">
      <c r="A399" s="27" t="s">
        <v>444</v>
      </c>
      <c r="B399" s="28"/>
      <c r="C399" s="45" t="s">
        <v>404</v>
      </c>
      <c r="D399" s="45" t="s">
        <v>1</v>
      </c>
      <c r="E399" s="45" t="s">
        <v>75</v>
      </c>
      <c r="F399" s="125"/>
      <c r="G399" s="64">
        <f>SUM(G400)</f>
        <v>1900</v>
      </c>
      <c r="H399" s="64">
        <f>SUM(H400)</f>
        <v>1042.3</v>
      </c>
      <c r="I399" s="31">
        <f t="shared" si="12"/>
        <v>54.857894736842105</v>
      </c>
    </row>
    <row r="400" spans="1:9" ht="16.5" customHeight="1">
      <c r="A400" s="43" t="s">
        <v>129</v>
      </c>
      <c r="B400" s="28"/>
      <c r="C400" s="45" t="s">
        <v>861</v>
      </c>
      <c r="D400" s="45" t="s">
        <v>1</v>
      </c>
      <c r="E400" s="45" t="s">
        <v>75</v>
      </c>
      <c r="F400" s="125" t="s">
        <v>816</v>
      </c>
      <c r="G400" s="64">
        <v>1900</v>
      </c>
      <c r="H400" s="64">
        <v>1042.3</v>
      </c>
      <c r="I400" s="31">
        <f t="shared" si="12"/>
        <v>54.857894736842105</v>
      </c>
    </row>
    <row r="401" spans="1:9" ht="18" customHeight="1">
      <c r="A401" s="27" t="s">
        <v>445</v>
      </c>
      <c r="B401" s="28"/>
      <c r="C401" s="29" t="s">
        <v>1</v>
      </c>
      <c r="D401" s="29"/>
      <c r="E401" s="29"/>
      <c r="F401" s="30"/>
      <c r="G401" s="31">
        <f>SUM(G405)</f>
        <v>15798.900000000001</v>
      </c>
      <c r="H401" s="31">
        <f>SUM(H405)</f>
        <v>8564.300000000001</v>
      </c>
      <c r="I401" s="31">
        <f t="shared" si="12"/>
        <v>54.20820436865858</v>
      </c>
    </row>
    <row r="402" spans="1:9" ht="15" hidden="1">
      <c r="A402" s="27" t="s">
        <v>452</v>
      </c>
      <c r="B402" s="28"/>
      <c r="C402" s="29" t="s">
        <v>1</v>
      </c>
      <c r="D402" s="29" t="s">
        <v>705</v>
      </c>
      <c r="E402" s="29"/>
      <c r="F402" s="30"/>
      <c r="G402" s="31">
        <f>SUM(G403)</f>
        <v>0</v>
      </c>
      <c r="H402" s="31">
        <f>SUM(H403)</f>
        <v>0</v>
      </c>
      <c r="I402" s="31" t="e">
        <f t="shared" si="12"/>
        <v>#DIV/0!</v>
      </c>
    </row>
    <row r="403" spans="1:9" ht="19.5" customHeight="1" hidden="1">
      <c r="A403" s="27" t="s">
        <v>453</v>
      </c>
      <c r="B403" s="28"/>
      <c r="C403" s="29" t="s">
        <v>1</v>
      </c>
      <c r="D403" s="29" t="s">
        <v>705</v>
      </c>
      <c r="E403" s="29" t="s">
        <v>645</v>
      </c>
      <c r="F403" s="30"/>
      <c r="G403" s="31">
        <f>SUM(G404)</f>
        <v>0</v>
      </c>
      <c r="H403" s="31">
        <f>SUM(H404)</f>
        <v>0</v>
      </c>
      <c r="I403" s="31" t="e">
        <f t="shared" si="12"/>
        <v>#DIV/0!</v>
      </c>
    </row>
    <row r="404" spans="1:9" ht="28.5" hidden="1">
      <c r="A404" s="27" t="s">
        <v>805</v>
      </c>
      <c r="B404" s="28"/>
      <c r="C404" s="29" t="s">
        <v>1</v>
      </c>
      <c r="D404" s="29" t="s">
        <v>705</v>
      </c>
      <c r="E404" s="29" t="s">
        <v>645</v>
      </c>
      <c r="F404" s="30" t="s">
        <v>646</v>
      </c>
      <c r="G404" s="31"/>
      <c r="H404" s="31"/>
      <c r="I404" s="31" t="e">
        <f t="shared" si="12"/>
        <v>#DIV/0!</v>
      </c>
    </row>
    <row r="405" spans="1:9" ht="15">
      <c r="A405" s="46" t="s">
        <v>463</v>
      </c>
      <c r="B405" s="28"/>
      <c r="C405" s="29" t="s">
        <v>1</v>
      </c>
      <c r="D405" s="45" t="s">
        <v>713</v>
      </c>
      <c r="E405" s="29"/>
      <c r="F405" s="30"/>
      <c r="G405" s="31">
        <f>SUM(G406+G409+G418+G427)</f>
        <v>15798.900000000001</v>
      </c>
      <c r="H405" s="31">
        <f>SUM(H406+H409+H418+H427+H425)</f>
        <v>8564.300000000001</v>
      </c>
      <c r="I405" s="31">
        <f t="shared" si="12"/>
        <v>54.20820436865858</v>
      </c>
    </row>
    <row r="406" spans="1:9" ht="31.5" customHeight="1">
      <c r="A406" s="46" t="s">
        <v>647</v>
      </c>
      <c r="B406" s="28"/>
      <c r="C406" s="29" t="s">
        <v>1</v>
      </c>
      <c r="D406" s="45" t="s">
        <v>713</v>
      </c>
      <c r="E406" s="29" t="s">
        <v>131</v>
      </c>
      <c r="F406" s="30"/>
      <c r="G406" s="31">
        <f>SUM(G407)</f>
        <v>2387.8</v>
      </c>
      <c r="H406" s="31">
        <f>SUM(H407)</f>
        <v>0</v>
      </c>
      <c r="I406" s="31">
        <f t="shared" si="12"/>
        <v>0</v>
      </c>
    </row>
    <row r="407" spans="1:9" ht="28.5" customHeight="1">
      <c r="A407" s="46" t="s">
        <v>648</v>
      </c>
      <c r="B407" s="28"/>
      <c r="C407" s="29" t="s">
        <v>1</v>
      </c>
      <c r="D407" s="45" t="s">
        <v>713</v>
      </c>
      <c r="E407" s="29" t="s">
        <v>649</v>
      </c>
      <c r="F407" s="30"/>
      <c r="G407" s="31">
        <f>SUM(G408)</f>
        <v>2387.8</v>
      </c>
      <c r="H407" s="31">
        <f>SUM(H408)</f>
        <v>0</v>
      </c>
      <c r="I407" s="31">
        <f t="shared" si="12"/>
        <v>0</v>
      </c>
    </row>
    <row r="408" spans="1:9" ht="23.25" customHeight="1">
      <c r="A408" s="46" t="s">
        <v>554</v>
      </c>
      <c r="B408" s="28"/>
      <c r="C408" s="29" t="s">
        <v>1</v>
      </c>
      <c r="D408" s="45" t="s">
        <v>713</v>
      </c>
      <c r="E408" s="29" t="s">
        <v>649</v>
      </c>
      <c r="F408" s="30" t="s">
        <v>556</v>
      </c>
      <c r="G408" s="31">
        <f>2387.8</f>
        <v>2387.8</v>
      </c>
      <c r="H408" s="31"/>
      <c r="I408" s="31">
        <f t="shared" si="12"/>
        <v>0</v>
      </c>
    </row>
    <row r="409" spans="1:9" s="47" customFormat="1" ht="21.75" customHeight="1">
      <c r="A409" s="27" t="s">
        <v>464</v>
      </c>
      <c r="B409" s="28"/>
      <c r="C409" s="29" t="s">
        <v>1</v>
      </c>
      <c r="D409" s="45" t="s">
        <v>713</v>
      </c>
      <c r="E409" s="29" t="s">
        <v>465</v>
      </c>
      <c r="F409" s="30"/>
      <c r="G409" s="31">
        <f>SUM(G413+G416+G410)</f>
        <v>5628.5</v>
      </c>
      <c r="H409" s="31">
        <f>SUM(H413+H416+H410)</f>
        <v>5628.5</v>
      </c>
      <c r="I409" s="31">
        <f t="shared" si="12"/>
        <v>100</v>
      </c>
    </row>
    <row r="410" spans="1:9" s="47" customFormat="1" ht="18.75" customHeight="1" hidden="1">
      <c r="A410" s="46" t="s">
        <v>549</v>
      </c>
      <c r="B410" s="28"/>
      <c r="C410" s="29" t="s">
        <v>1</v>
      </c>
      <c r="D410" s="29" t="s">
        <v>713</v>
      </c>
      <c r="E410" s="29" t="s">
        <v>650</v>
      </c>
      <c r="F410" s="30"/>
      <c r="G410" s="31">
        <f>SUM(G411)</f>
        <v>0</v>
      </c>
      <c r="H410" s="31">
        <f>SUM(H411)</f>
        <v>0</v>
      </c>
      <c r="I410" s="31" t="e">
        <f t="shared" si="12"/>
        <v>#DIV/0!</v>
      </c>
    </row>
    <row r="411" spans="1:9" s="47" customFormat="1" ht="20.25" customHeight="1" hidden="1">
      <c r="A411" s="134" t="s">
        <v>503</v>
      </c>
      <c r="B411" s="104"/>
      <c r="C411" s="67" t="s">
        <v>1</v>
      </c>
      <c r="D411" s="67" t="s">
        <v>713</v>
      </c>
      <c r="E411" s="67" t="s">
        <v>504</v>
      </c>
      <c r="F411" s="34"/>
      <c r="G411" s="31">
        <f>SUM(G412)</f>
        <v>0</v>
      </c>
      <c r="H411" s="31">
        <f>SUM(H412)</f>
        <v>0</v>
      </c>
      <c r="I411" s="31" t="e">
        <f t="shared" si="12"/>
        <v>#DIV/0!</v>
      </c>
    </row>
    <row r="412" spans="1:9" s="47" customFormat="1" ht="22.5" customHeight="1" hidden="1">
      <c r="A412" s="27" t="s">
        <v>849</v>
      </c>
      <c r="B412" s="104"/>
      <c r="C412" s="67" t="s">
        <v>1</v>
      </c>
      <c r="D412" s="67" t="s">
        <v>713</v>
      </c>
      <c r="E412" s="67" t="s">
        <v>504</v>
      </c>
      <c r="F412" s="34" t="s">
        <v>850</v>
      </c>
      <c r="G412" s="31"/>
      <c r="H412" s="31"/>
      <c r="I412" s="31" t="e">
        <f t="shared" si="12"/>
        <v>#DIV/0!</v>
      </c>
    </row>
    <row r="413" spans="1:9" ht="68.25" customHeight="1">
      <c r="A413" s="27" t="s">
        <v>651</v>
      </c>
      <c r="B413" s="28"/>
      <c r="C413" s="45" t="s">
        <v>1</v>
      </c>
      <c r="D413" s="45" t="s">
        <v>713</v>
      </c>
      <c r="E413" s="29" t="s">
        <v>508</v>
      </c>
      <c r="F413" s="30"/>
      <c r="G413" s="31">
        <f>SUM(G414)</f>
        <v>5628.5</v>
      </c>
      <c r="H413" s="31">
        <f>SUM(H414)</f>
        <v>5628.5</v>
      </c>
      <c r="I413" s="31">
        <f t="shared" si="12"/>
        <v>100</v>
      </c>
    </row>
    <row r="414" spans="1:9" ht="75" customHeight="1">
      <c r="A414" s="46" t="s">
        <v>509</v>
      </c>
      <c r="B414" s="28"/>
      <c r="C414" s="45" t="s">
        <v>1</v>
      </c>
      <c r="D414" s="45" t="s">
        <v>713</v>
      </c>
      <c r="E414" s="29" t="s">
        <v>510</v>
      </c>
      <c r="F414" s="33"/>
      <c r="G414" s="31">
        <f>SUM(G415)</f>
        <v>5628.5</v>
      </c>
      <c r="H414" s="31">
        <f>SUM(H415)</f>
        <v>5628.5</v>
      </c>
      <c r="I414" s="31">
        <f t="shared" si="12"/>
        <v>100</v>
      </c>
    </row>
    <row r="415" spans="1:9" ht="15" customHeight="1">
      <c r="A415" s="27" t="s">
        <v>849</v>
      </c>
      <c r="B415" s="113"/>
      <c r="C415" s="45" t="s">
        <v>1</v>
      </c>
      <c r="D415" s="45" t="s">
        <v>713</v>
      </c>
      <c r="E415" s="29" t="s">
        <v>510</v>
      </c>
      <c r="F415" s="125" t="s">
        <v>850</v>
      </c>
      <c r="G415" s="64">
        <v>5628.5</v>
      </c>
      <c r="H415" s="64">
        <v>5628.5</v>
      </c>
      <c r="I415" s="31">
        <f t="shared" si="12"/>
        <v>100</v>
      </c>
    </row>
    <row r="416" spans="1:9" s="47" customFormat="1" ht="15" hidden="1">
      <c r="A416" s="46" t="s">
        <v>545</v>
      </c>
      <c r="B416" s="28"/>
      <c r="C416" s="45" t="s">
        <v>1</v>
      </c>
      <c r="D416" s="45" t="s">
        <v>713</v>
      </c>
      <c r="E416" s="29" t="s">
        <v>652</v>
      </c>
      <c r="F416" s="33"/>
      <c r="G416" s="31">
        <f>SUM(G417)</f>
        <v>0</v>
      </c>
      <c r="H416" s="31">
        <f>SUM(H417)</f>
        <v>0</v>
      </c>
      <c r="I416" s="31" t="e">
        <f t="shared" si="12"/>
        <v>#DIV/0!</v>
      </c>
    </row>
    <row r="417" spans="1:9" ht="18" customHeight="1" hidden="1">
      <c r="A417" s="27" t="s">
        <v>849</v>
      </c>
      <c r="B417" s="113"/>
      <c r="C417" s="45" t="s">
        <v>1</v>
      </c>
      <c r="D417" s="45" t="s">
        <v>713</v>
      </c>
      <c r="E417" s="29" t="s">
        <v>652</v>
      </c>
      <c r="F417" s="125" t="s">
        <v>850</v>
      </c>
      <c r="G417" s="64"/>
      <c r="H417" s="64"/>
      <c r="I417" s="31" t="e">
        <f t="shared" si="12"/>
        <v>#DIV/0!</v>
      </c>
    </row>
    <row r="418" spans="1:9" ht="15.75">
      <c r="A418" s="32" t="s">
        <v>881</v>
      </c>
      <c r="B418" s="66"/>
      <c r="C418" s="45" t="s">
        <v>1</v>
      </c>
      <c r="D418" s="45" t="s">
        <v>713</v>
      </c>
      <c r="E418" s="45" t="s">
        <v>882</v>
      </c>
      <c r="F418" s="125"/>
      <c r="G418" s="64">
        <f>SUM(G419)</f>
        <v>4943.3</v>
      </c>
      <c r="H418" s="64">
        <f>SUM(H419)</f>
        <v>0</v>
      </c>
      <c r="I418" s="31">
        <f aca="true" t="shared" si="15" ref="I418:I481">SUM(H418/G418*100)</f>
        <v>0</v>
      </c>
    </row>
    <row r="419" spans="1:9" ht="71.25">
      <c r="A419" s="27" t="s">
        <v>653</v>
      </c>
      <c r="B419" s="113"/>
      <c r="C419" s="45" t="s">
        <v>1</v>
      </c>
      <c r="D419" s="45" t="s">
        <v>713</v>
      </c>
      <c r="E419" s="45" t="s">
        <v>54</v>
      </c>
      <c r="F419" s="125"/>
      <c r="G419" s="64">
        <f>SUM(G420)+G423</f>
        <v>4943.3</v>
      </c>
      <c r="H419" s="64">
        <f>SUM(H420)+H423</f>
        <v>0</v>
      </c>
      <c r="I419" s="31">
        <f t="shared" si="15"/>
        <v>0</v>
      </c>
    </row>
    <row r="420" spans="1:9" s="47" customFormat="1" ht="28.5">
      <c r="A420" s="27" t="s">
        <v>552</v>
      </c>
      <c r="B420" s="113"/>
      <c r="C420" s="45" t="s">
        <v>1</v>
      </c>
      <c r="D420" s="45" t="s">
        <v>713</v>
      </c>
      <c r="E420" s="45" t="s">
        <v>553</v>
      </c>
      <c r="F420" s="125"/>
      <c r="G420" s="64">
        <f>SUM(G421+G422)</f>
        <v>2986.1</v>
      </c>
      <c r="H420" s="64">
        <f>SUM(H421+H422)</f>
        <v>0</v>
      </c>
      <c r="I420" s="31">
        <f t="shared" si="15"/>
        <v>0</v>
      </c>
    </row>
    <row r="421" spans="1:9" ht="28.5">
      <c r="A421" s="38" t="s">
        <v>710</v>
      </c>
      <c r="B421" s="113"/>
      <c r="C421" s="45" t="s">
        <v>1</v>
      </c>
      <c r="D421" s="45" t="s">
        <v>713</v>
      </c>
      <c r="E421" s="45" t="s">
        <v>553</v>
      </c>
      <c r="F421" s="125" t="s">
        <v>711</v>
      </c>
      <c r="G421" s="64"/>
      <c r="H421" s="64"/>
      <c r="I421" s="31" t="e">
        <f t="shared" si="15"/>
        <v>#DIV/0!</v>
      </c>
    </row>
    <row r="422" spans="1:9" ht="21" customHeight="1">
      <c r="A422" s="27" t="s">
        <v>554</v>
      </c>
      <c r="B422" s="113"/>
      <c r="C422" s="45" t="s">
        <v>1</v>
      </c>
      <c r="D422" s="45" t="s">
        <v>713</v>
      </c>
      <c r="E422" s="45" t="s">
        <v>553</v>
      </c>
      <c r="F422" s="125" t="s">
        <v>556</v>
      </c>
      <c r="G422" s="64">
        <v>2986.1</v>
      </c>
      <c r="H422" s="64"/>
      <c r="I422" s="31">
        <f t="shared" si="15"/>
        <v>0</v>
      </c>
    </row>
    <row r="423" spans="1:9" ht="47.25" customHeight="1">
      <c r="A423" s="27" t="s">
        <v>557</v>
      </c>
      <c r="B423" s="113"/>
      <c r="C423" s="45" t="s">
        <v>1</v>
      </c>
      <c r="D423" s="45" t="s">
        <v>713</v>
      </c>
      <c r="E423" s="45" t="s">
        <v>555</v>
      </c>
      <c r="F423" s="125"/>
      <c r="G423" s="64">
        <f>SUM(G424)</f>
        <v>1957.2</v>
      </c>
      <c r="H423" s="64">
        <f>SUM(H424)</f>
        <v>0</v>
      </c>
      <c r="I423" s="31">
        <f t="shared" si="15"/>
        <v>0</v>
      </c>
    </row>
    <row r="424" spans="1:9" ht="18" customHeight="1">
      <c r="A424" s="27" t="s">
        <v>554</v>
      </c>
      <c r="B424" s="113"/>
      <c r="C424" s="45" t="s">
        <v>1</v>
      </c>
      <c r="D424" s="45" t="s">
        <v>713</v>
      </c>
      <c r="E424" s="45" t="s">
        <v>555</v>
      </c>
      <c r="F424" s="125" t="s">
        <v>556</v>
      </c>
      <c r="G424" s="64">
        <v>1957.2</v>
      </c>
      <c r="H424" s="64"/>
      <c r="I424" s="31">
        <f t="shared" si="15"/>
        <v>0</v>
      </c>
    </row>
    <row r="425" spans="1:9" ht="26.25" customHeight="1">
      <c r="A425" s="27" t="s">
        <v>654</v>
      </c>
      <c r="B425" s="113"/>
      <c r="C425" s="45" t="s">
        <v>1</v>
      </c>
      <c r="D425" s="45" t="s">
        <v>713</v>
      </c>
      <c r="E425" s="45" t="s">
        <v>555</v>
      </c>
      <c r="F425" s="125"/>
      <c r="G425" s="64">
        <f>SUM(G426)</f>
        <v>0</v>
      </c>
      <c r="H425" s="64">
        <f>SUM(H426)</f>
        <v>1957.2</v>
      </c>
      <c r="I425" s="31" t="e">
        <f t="shared" si="15"/>
        <v>#DIV/0!</v>
      </c>
    </row>
    <row r="426" spans="1:9" ht="25.5" customHeight="1">
      <c r="A426" s="27" t="s">
        <v>554</v>
      </c>
      <c r="B426" s="113"/>
      <c r="C426" s="45" t="s">
        <v>1</v>
      </c>
      <c r="D426" s="45" t="s">
        <v>713</v>
      </c>
      <c r="E426" s="45" t="s">
        <v>555</v>
      </c>
      <c r="F426" s="125" t="s">
        <v>556</v>
      </c>
      <c r="G426" s="64"/>
      <c r="H426" s="64">
        <v>1957.2</v>
      </c>
      <c r="I426" s="31" t="e">
        <f t="shared" si="15"/>
        <v>#DIV/0!</v>
      </c>
    </row>
    <row r="427" spans="1:9" ht="22.5" customHeight="1">
      <c r="A427" s="103" t="s">
        <v>767</v>
      </c>
      <c r="B427" s="44"/>
      <c r="C427" s="45" t="s">
        <v>1</v>
      </c>
      <c r="D427" s="45" t="s">
        <v>713</v>
      </c>
      <c r="E427" s="45" t="s">
        <v>768</v>
      </c>
      <c r="F427" s="33"/>
      <c r="G427" s="31">
        <f>SUM(G428)</f>
        <v>2839.3</v>
      </c>
      <c r="H427" s="31">
        <f>SUM(H428)</f>
        <v>978.6</v>
      </c>
      <c r="I427" s="31">
        <f t="shared" si="15"/>
        <v>34.466241679287144</v>
      </c>
    </row>
    <row r="428" spans="1:9" ht="28.5">
      <c r="A428" s="38" t="s">
        <v>710</v>
      </c>
      <c r="B428" s="28"/>
      <c r="C428" s="45" t="s">
        <v>1</v>
      </c>
      <c r="D428" s="45" t="s">
        <v>713</v>
      </c>
      <c r="E428" s="45" t="s">
        <v>768</v>
      </c>
      <c r="F428" s="33" t="s">
        <v>711</v>
      </c>
      <c r="G428" s="31">
        <f>SUM(G429)</f>
        <v>2839.3</v>
      </c>
      <c r="H428" s="31">
        <f>SUM(H429)</f>
        <v>978.6</v>
      </c>
      <c r="I428" s="31">
        <f t="shared" si="15"/>
        <v>34.466241679287144</v>
      </c>
    </row>
    <row r="429" spans="1:9" ht="42.75">
      <c r="A429" s="38" t="s">
        <v>100</v>
      </c>
      <c r="B429" s="28"/>
      <c r="C429" s="45" t="s">
        <v>1</v>
      </c>
      <c r="D429" s="45" t="s">
        <v>713</v>
      </c>
      <c r="E429" s="40" t="s">
        <v>101</v>
      </c>
      <c r="F429" s="30" t="s">
        <v>711</v>
      </c>
      <c r="G429" s="31">
        <f>SUM(G430:G431)</f>
        <v>2839.3</v>
      </c>
      <c r="H429" s="31">
        <f>SUM(H430:H431)</f>
        <v>978.6</v>
      </c>
      <c r="I429" s="31">
        <f t="shared" si="15"/>
        <v>34.466241679287144</v>
      </c>
    </row>
    <row r="430" spans="1:9" ht="28.5">
      <c r="A430" s="27" t="s">
        <v>552</v>
      </c>
      <c r="B430" s="44"/>
      <c r="C430" s="45" t="s">
        <v>1</v>
      </c>
      <c r="D430" s="45" t="s">
        <v>713</v>
      </c>
      <c r="E430" s="40" t="s">
        <v>561</v>
      </c>
      <c r="F430" s="30" t="s">
        <v>711</v>
      </c>
      <c r="G430" s="64">
        <f>2000-59.3+22+3.3-491.1+491.1-105.3</f>
        <v>1860.7</v>
      </c>
      <c r="H430" s="64"/>
      <c r="I430" s="31">
        <f t="shared" si="15"/>
        <v>0</v>
      </c>
    </row>
    <row r="431" spans="1:9" ht="42.75">
      <c r="A431" s="27" t="s">
        <v>562</v>
      </c>
      <c r="B431" s="44"/>
      <c r="C431" s="45" t="s">
        <v>1</v>
      </c>
      <c r="D431" s="45" t="s">
        <v>713</v>
      </c>
      <c r="E431" s="40" t="s">
        <v>563</v>
      </c>
      <c r="F431" s="30" t="s">
        <v>711</v>
      </c>
      <c r="G431" s="64">
        <f>1000+59.3-80.7</f>
        <v>978.5999999999999</v>
      </c>
      <c r="H431" s="64">
        <v>978.6</v>
      </c>
      <c r="I431" s="31">
        <f t="shared" si="15"/>
        <v>100.00000000000003</v>
      </c>
    </row>
    <row r="432" spans="1:9" ht="30">
      <c r="A432" s="200" t="s">
        <v>655</v>
      </c>
      <c r="B432" s="118" t="s">
        <v>656</v>
      </c>
      <c r="C432" s="55"/>
      <c r="D432" s="116"/>
      <c r="E432" s="116"/>
      <c r="F432" s="117"/>
      <c r="G432" s="199">
        <f>SUM(G433)+G452+G457</f>
        <v>22157.7</v>
      </c>
      <c r="H432" s="199">
        <f>SUM(H433)+H452+H457</f>
        <v>14766.8</v>
      </c>
      <c r="I432" s="54">
        <f t="shared" si="15"/>
        <v>66.64410114768229</v>
      </c>
    </row>
    <row r="433" spans="1:9" ht="15">
      <c r="A433" s="27" t="s">
        <v>702</v>
      </c>
      <c r="B433" s="28"/>
      <c r="C433" s="29" t="s">
        <v>703</v>
      </c>
      <c r="D433" s="29"/>
      <c r="E433" s="29"/>
      <c r="F433" s="30"/>
      <c r="G433" s="31">
        <f>SUM(G434+G444+G448+G440)</f>
        <v>22157.7</v>
      </c>
      <c r="H433" s="31">
        <f>SUM(H434+H444+H448+H440)</f>
        <v>14766.8</v>
      </c>
      <c r="I433" s="31">
        <f t="shared" si="15"/>
        <v>66.64410114768229</v>
      </c>
    </row>
    <row r="434" spans="1:9" ht="42.75">
      <c r="A434" s="27" t="s">
        <v>775</v>
      </c>
      <c r="B434" s="28"/>
      <c r="C434" s="29" t="s">
        <v>703</v>
      </c>
      <c r="D434" s="29" t="s">
        <v>776</v>
      </c>
      <c r="E434" s="29"/>
      <c r="F434" s="30"/>
      <c r="G434" s="31">
        <f>SUM(G435)</f>
        <v>13866.4</v>
      </c>
      <c r="H434" s="31">
        <f>SUM(H435)</f>
        <v>9708.8</v>
      </c>
      <c r="I434" s="31">
        <f t="shared" si="15"/>
        <v>70.01673109098252</v>
      </c>
    </row>
    <row r="435" spans="1:9" ht="45.75" customHeight="1">
      <c r="A435" s="27" t="s">
        <v>706</v>
      </c>
      <c r="B435" s="28"/>
      <c r="C435" s="29" t="s">
        <v>703</v>
      </c>
      <c r="D435" s="29" t="s">
        <v>776</v>
      </c>
      <c r="E435" s="29" t="s">
        <v>707</v>
      </c>
      <c r="F435" s="30"/>
      <c r="G435" s="31">
        <f>SUM(G436)</f>
        <v>13866.4</v>
      </c>
      <c r="H435" s="31">
        <f>SUM(H436)</f>
        <v>9708.8</v>
      </c>
      <c r="I435" s="31">
        <f t="shared" si="15"/>
        <v>70.01673109098252</v>
      </c>
    </row>
    <row r="436" spans="1:9" ht="15">
      <c r="A436" s="27" t="s">
        <v>714</v>
      </c>
      <c r="B436" s="28"/>
      <c r="C436" s="29" t="s">
        <v>703</v>
      </c>
      <c r="D436" s="29" t="s">
        <v>776</v>
      </c>
      <c r="E436" s="29" t="s">
        <v>716</v>
      </c>
      <c r="F436" s="30"/>
      <c r="G436" s="31">
        <f>SUM(G437+G438)</f>
        <v>13866.4</v>
      </c>
      <c r="H436" s="31">
        <f>SUM(H437+H438)</f>
        <v>9708.8</v>
      </c>
      <c r="I436" s="31">
        <f t="shared" si="15"/>
        <v>70.01673109098252</v>
      </c>
    </row>
    <row r="437" spans="1:9" s="144" customFormat="1" ht="27" customHeight="1">
      <c r="A437" s="32" t="s">
        <v>710</v>
      </c>
      <c r="B437" s="28"/>
      <c r="C437" s="29" t="s">
        <v>715</v>
      </c>
      <c r="D437" s="29" t="s">
        <v>776</v>
      </c>
      <c r="E437" s="29" t="s">
        <v>716</v>
      </c>
      <c r="F437" s="34" t="s">
        <v>711</v>
      </c>
      <c r="G437" s="31">
        <f>879.8-300</f>
        <v>579.8</v>
      </c>
      <c r="H437" s="31">
        <v>122.5</v>
      </c>
      <c r="I437" s="31">
        <f t="shared" si="15"/>
        <v>21.127975163849605</v>
      </c>
    </row>
    <row r="438" spans="1:9" s="144" customFormat="1" ht="15" customHeight="1">
      <c r="A438" s="32" t="s">
        <v>777</v>
      </c>
      <c r="B438" s="28"/>
      <c r="C438" s="29" t="s">
        <v>715</v>
      </c>
      <c r="D438" s="29" t="s">
        <v>776</v>
      </c>
      <c r="E438" s="29" t="s">
        <v>778</v>
      </c>
      <c r="F438" s="30"/>
      <c r="G438" s="31">
        <f>SUM(G439)</f>
        <v>13286.6</v>
      </c>
      <c r="H438" s="31">
        <f>SUM(H439)</f>
        <v>9586.3</v>
      </c>
      <c r="I438" s="31">
        <f t="shared" si="15"/>
        <v>72.1501362274773</v>
      </c>
    </row>
    <row r="439" spans="1:9" ht="27" customHeight="1">
      <c r="A439" s="32" t="s">
        <v>710</v>
      </c>
      <c r="B439" s="28"/>
      <c r="C439" s="29" t="s">
        <v>715</v>
      </c>
      <c r="D439" s="29" t="s">
        <v>776</v>
      </c>
      <c r="E439" s="29" t="s">
        <v>778</v>
      </c>
      <c r="F439" s="34" t="s">
        <v>711</v>
      </c>
      <c r="G439" s="31">
        <f>12938.6+348</f>
        <v>13286.6</v>
      </c>
      <c r="H439" s="31">
        <v>9586.3</v>
      </c>
      <c r="I439" s="31">
        <f t="shared" si="15"/>
        <v>72.1501362274773</v>
      </c>
    </row>
    <row r="440" spans="1:9" ht="26.25" customHeight="1">
      <c r="A440" s="32" t="s">
        <v>787</v>
      </c>
      <c r="B440" s="28"/>
      <c r="C440" s="29" t="s">
        <v>703</v>
      </c>
      <c r="D440" s="29" t="s">
        <v>745</v>
      </c>
      <c r="E440" s="29"/>
      <c r="F440" s="34"/>
      <c r="G440" s="31">
        <f>SUM(G441)</f>
        <v>6635.5</v>
      </c>
      <c r="H440" s="31">
        <f>SUM(H441)</f>
        <v>5048</v>
      </c>
      <c r="I440" s="31">
        <f t="shared" si="15"/>
        <v>76.07565368095848</v>
      </c>
    </row>
    <row r="441" spans="1:9" ht="17.25" customHeight="1">
      <c r="A441" s="32" t="s">
        <v>788</v>
      </c>
      <c r="B441" s="28"/>
      <c r="C441" s="29" t="s">
        <v>703</v>
      </c>
      <c r="D441" s="29" t="s">
        <v>745</v>
      </c>
      <c r="E441" s="29" t="s">
        <v>789</v>
      </c>
      <c r="F441" s="34"/>
      <c r="G441" s="31">
        <f>SUM(G443)</f>
        <v>6635.5</v>
      </c>
      <c r="H441" s="31">
        <f>SUM(H443)</f>
        <v>5048</v>
      </c>
      <c r="I441" s="31">
        <f t="shared" si="15"/>
        <v>76.07565368095848</v>
      </c>
    </row>
    <row r="442" spans="1:9" ht="15.75" customHeight="1">
      <c r="A442" s="32" t="s">
        <v>790</v>
      </c>
      <c r="B442" s="28"/>
      <c r="C442" s="29" t="s">
        <v>703</v>
      </c>
      <c r="D442" s="29" t="s">
        <v>745</v>
      </c>
      <c r="E442" s="29" t="s">
        <v>791</v>
      </c>
      <c r="F442" s="34"/>
      <c r="G442" s="31">
        <f>SUM(G443)</f>
        <v>6635.5</v>
      </c>
      <c r="H442" s="31">
        <f>SUM(H443)</f>
        <v>5048</v>
      </c>
      <c r="I442" s="31">
        <f t="shared" si="15"/>
        <v>76.07565368095848</v>
      </c>
    </row>
    <row r="443" spans="1:9" ht="15" customHeight="1">
      <c r="A443" s="32" t="s">
        <v>792</v>
      </c>
      <c r="B443" s="28"/>
      <c r="C443" s="29" t="s">
        <v>703</v>
      </c>
      <c r="D443" s="29" t="s">
        <v>745</v>
      </c>
      <c r="E443" s="29" t="s">
        <v>791</v>
      </c>
      <c r="F443" s="34" t="s">
        <v>793</v>
      </c>
      <c r="G443" s="31">
        <f>12000-2500-10-570-619.5-239-27-1399</f>
        <v>6635.5</v>
      </c>
      <c r="H443" s="31">
        <v>5048</v>
      </c>
      <c r="I443" s="31">
        <f t="shared" si="15"/>
        <v>76.07565368095848</v>
      </c>
    </row>
    <row r="444" spans="1:9" ht="15">
      <c r="A444" s="27" t="s">
        <v>794</v>
      </c>
      <c r="B444" s="28"/>
      <c r="C444" s="29" t="s">
        <v>703</v>
      </c>
      <c r="D444" s="29" t="s">
        <v>795</v>
      </c>
      <c r="E444" s="29"/>
      <c r="F444" s="30"/>
      <c r="G444" s="31">
        <f>SUM(G445)</f>
        <v>1075.8000000000006</v>
      </c>
      <c r="H444" s="31">
        <f>SUM(H445)</f>
        <v>0</v>
      </c>
      <c r="I444" s="31">
        <f t="shared" si="15"/>
        <v>0</v>
      </c>
    </row>
    <row r="445" spans="1:9" ht="15">
      <c r="A445" s="27" t="s">
        <v>794</v>
      </c>
      <c r="B445" s="28"/>
      <c r="C445" s="29" t="s">
        <v>703</v>
      </c>
      <c r="D445" s="29" t="s">
        <v>795</v>
      </c>
      <c r="E445" s="29" t="s">
        <v>796</v>
      </c>
      <c r="F445" s="30"/>
      <c r="G445" s="31">
        <f>SUM(G447)</f>
        <v>1075.8000000000006</v>
      </c>
      <c r="H445" s="31">
        <f>SUM(H447)</f>
        <v>0</v>
      </c>
      <c r="I445" s="31">
        <f t="shared" si="15"/>
        <v>0</v>
      </c>
    </row>
    <row r="446" spans="1:9" ht="15">
      <c r="A446" s="27" t="s">
        <v>765</v>
      </c>
      <c r="B446" s="28"/>
      <c r="C446" s="29" t="s">
        <v>703</v>
      </c>
      <c r="D446" s="29" t="s">
        <v>795</v>
      </c>
      <c r="E446" s="29" t="s">
        <v>766</v>
      </c>
      <c r="F446" s="30"/>
      <c r="G446" s="31">
        <f>SUM(G447)</f>
        <v>1075.8000000000006</v>
      </c>
      <c r="H446" s="31">
        <f>SUM(H447)</f>
        <v>0</v>
      </c>
      <c r="I446" s="31">
        <f t="shared" si="15"/>
        <v>0</v>
      </c>
    </row>
    <row r="447" spans="1:9" ht="13.5" customHeight="1">
      <c r="A447" s="43" t="s">
        <v>797</v>
      </c>
      <c r="B447" s="44"/>
      <c r="C447" s="29" t="s">
        <v>703</v>
      </c>
      <c r="D447" s="29" t="s">
        <v>795</v>
      </c>
      <c r="E447" s="29" t="s">
        <v>766</v>
      </c>
      <c r="F447" s="33" t="s">
        <v>793</v>
      </c>
      <c r="G447" s="31">
        <f>8845.2-500-1000-800-3000-2470.4+1800+80.6+5-200-1038.5-250-202.3-193.8</f>
        <v>1075.8000000000006</v>
      </c>
      <c r="H447" s="31"/>
      <c r="I447" s="31">
        <f t="shared" si="15"/>
        <v>0</v>
      </c>
    </row>
    <row r="448" spans="1:9" ht="15">
      <c r="A448" s="32" t="s">
        <v>719</v>
      </c>
      <c r="B448" s="28"/>
      <c r="C448" s="29" t="s">
        <v>703</v>
      </c>
      <c r="D448" s="29" t="s">
        <v>798</v>
      </c>
      <c r="E448" s="29"/>
      <c r="F448" s="33"/>
      <c r="G448" s="31">
        <f aca="true" t="shared" si="16" ref="G448:H450">SUM(G449)</f>
        <v>580</v>
      </c>
      <c r="H448" s="31">
        <f t="shared" si="16"/>
        <v>10</v>
      </c>
      <c r="I448" s="31">
        <f t="shared" si="15"/>
        <v>1.7241379310344827</v>
      </c>
    </row>
    <row r="449" spans="1:9" ht="28.5">
      <c r="A449" s="32" t="s">
        <v>721</v>
      </c>
      <c r="B449" s="28"/>
      <c r="C449" s="29" t="s">
        <v>703</v>
      </c>
      <c r="D449" s="29" t="s">
        <v>798</v>
      </c>
      <c r="E449" s="29" t="s">
        <v>722</v>
      </c>
      <c r="F449" s="34"/>
      <c r="G449" s="31">
        <f t="shared" si="16"/>
        <v>580</v>
      </c>
      <c r="H449" s="31">
        <f t="shared" si="16"/>
        <v>10</v>
      </c>
      <c r="I449" s="31">
        <f t="shared" si="15"/>
        <v>1.7241379310344827</v>
      </c>
    </row>
    <row r="450" spans="1:9" ht="15">
      <c r="A450" s="32" t="s">
        <v>723</v>
      </c>
      <c r="B450" s="28"/>
      <c r="C450" s="29" t="s">
        <v>703</v>
      </c>
      <c r="D450" s="29" t="s">
        <v>798</v>
      </c>
      <c r="E450" s="29" t="s">
        <v>811</v>
      </c>
      <c r="F450" s="34"/>
      <c r="G450" s="31">
        <f t="shared" si="16"/>
        <v>580</v>
      </c>
      <c r="H450" s="31">
        <f t="shared" si="16"/>
        <v>10</v>
      </c>
      <c r="I450" s="31">
        <f t="shared" si="15"/>
        <v>1.7241379310344827</v>
      </c>
    </row>
    <row r="451" spans="1:9" ht="27.75" customHeight="1">
      <c r="A451" s="32" t="s">
        <v>710</v>
      </c>
      <c r="B451" s="28"/>
      <c r="C451" s="29" t="s">
        <v>703</v>
      </c>
      <c r="D451" s="29" t="s">
        <v>798</v>
      </c>
      <c r="E451" s="29" t="s">
        <v>811</v>
      </c>
      <c r="F451" s="34" t="s">
        <v>711</v>
      </c>
      <c r="G451" s="31">
        <f>10+570</f>
        <v>580</v>
      </c>
      <c r="H451" s="31">
        <v>10</v>
      </c>
      <c r="I451" s="31">
        <f t="shared" si="15"/>
        <v>1.7241379310344827</v>
      </c>
    </row>
    <row r="452" spans="1:9" ht="15.75" customHeight="1" hidden="1">
      <c r="A452" s="27" t="s">
        <v>725</v>
      </c>
      <c r="B452" s="28"/>
      <c r="C452" s="45" t="s">
        <v>726</v>
      </c>
      <c r="D452" s="108"/>
      <c r="E452" s="108"/>
      <c r="F452" s="114"/>
      <c r="G452" s="64">
        <f aca="true" t="shared" si="17" ref="G452:H455">SUM(G453)</f>
        <v>0</v>
      </c>
      <c r="H452" s="64">
        <f t="shared" si="17"/>
        <v>0</v>
      </c>
      <c r="I452" s="31" t="e">
        <f t="shared" si="15"/>
        <v>#DIV/0!</v>
      </c>
    </row>
    <row r="453" spans="1:9" ht="15" hidden="1">
      <c r="A453" s="32" t="s">
        <v>727</v>
      </c>
      <c r="B453" s="36"/>
      <c r="C453" s="29" t="s">
        <v>726</v>
      </c>
      <c r="D453" s="29" t="s">
        <v>726</v>
      </c>
      <c r="E453" s="108"/>
      <c r="F453" s="114"/>
      <c r="G453" s="64">
        <f t="shared" si="17"/>
        <v>0</v>
      </c>
      <c r="H453" s="64">
        <f t="shared" si="17"/>
        <v>0</v>
      </c>
      <c r="I453" s="31" t="e">
        <f t="shared" si="15"/>
        <v>#DIV/0!</v>
      </c>
    </row>
    <row r="454" spans="1:9" ht="28.5" hidden="1">
      <c r="A454" s="46" t="s">
        <v>315</v>
      </c>
      <c r="B454" s="36"/>
      <c r="C454" s="29" t="s">
        <v>726</v>
      </c>
      <c r="D454" s="29" t="s">
        <v>726</v>
      </c>
      <c r="E454" s="29" t="s">
        <v>729</v>
      </c>
      <c r="F454" s="30"/>
      <c r="G454" s="64">
        <f t="shared" si="17"/>
        <v>0</v>
      </c>
      <c r="H454" s="64">
        <f t="shared" si="17"/>
        <v>0</v>
      </c>
      <c r="I454" s="31" t="e">
        <f t="shared" si="15"/>
        <v>#DIV/0!</v>
      </c>
    </row>
    <row r="455" spans="1:9" ht="15" hidden="1">
      <c r="A455" s="46" t="s">
        <v>316</v>
      </c>
      <c r="B455" s="36"/>
      <c r="C455" s="29" t="s">
        <v>726</v>
      </c>
      <c r="D455" s="29" t="s">
        <v>726</v>
      </c>
      <c r="E455" s="29" t="s">
        <v>317</v>
      </c>
      <c r="F455" s="30"/>
      <c r="G455" s="64">
        <f t="shared" si="17"/>
        <v>0</v>
      </c>
      <c r="H455" s="64">
        <f t="shared" si="17"/>
        <v>0</v>
      </c>
      <c r="I455" s="31" t="e">
        <f t="shared" si="15"/>
        <v>#DIV/0!</v>
      </c>
    </row>
    <row r="456" spans="1:9" ht="18" customHeight="1" hidden="1">
      <c r="A456" s="49" t="s">
        <v>807</v>
      </c>
      <c r="B456" s="36"/>
      <c r="C456" s="29" t="s">
        <v>726</v>
      </c>
      <c r="D456" s="29" t="s">
        <v>726</v>
      </c>
      <c r="E456" s="29" t="s">
        <v>317</v>
      </c>
      <c r="F456" s="30" t="s">
        <v>808</v>
      </c>
      <c r="G456" s="64"/>
      <c r="H456" s="64"/>
      <c r="I456" s="31" t="e">
        <f t="shared" si="15"/>
        <v>#DIV/0!</v>
      </c>
    </row>
    <row r="457" spans="1:9" ht="15" hidden="1">
      <c r="A457" s="38" t="s">
        <v>445</v>
      </c>
      <c r="B457" s="28"/>
      <c r="C457" s="105" t="s">
        <v>1</v>
      </c>
      <c r="D457" s="105" t="s">
        <v>446</v>
      </c>
      <c r="E457" s="105"/>
      <c r="F457" s="59"/>
      <c r="G457" s="64">
        <f aca="true" t="shared" si="18" ref="G457:H461">SUM(G458)</f>
        <v>0</v>
      </c>
      <c r="H457" s="64">
        <f t="shared" si="18"/>
        <v>0</v>
      </c>
      <c r="I457" s="31" t="e">
        <f t="shared" si="15"/>
        <v>#DIV/0!</v>
      </c>
    </row>
    <row r="458" spans="1:9" ht="15" hidden="1">
      <c r="A458" s="38" t="s">
        <v>585</v>
      </c>
      <c r="B458" s="28"/>
      <c r="C458" s="105" t="s">
        <v>1</v>
      </c>
      <c r="D458" s="105" t="s">
        <v>776</v>
      </c>
      <c r="E458" s="29"/>
      <c r="F458" s="30"/>
      <c r="G458" s="64">
        <f t="shared" si="18"/>
        <v>0</v>
      </c>
      <c r="H458" s="64">
        <f t="shared" si="18"/>
        <v>0</v>
      </c>
      <c r="I458" s="31" t="e">
        <f t="shared" si="15"/>
        <v>#DIV/0!</v>
      </c>
    </row>
    <row r="459" spans="1:9" ht="28.5" hidden="1">
      <c r="A459" s="49" t="s">
        <v>593</v>
      </c>
      <c r="B459" s="36"/>
      <c r="C459" s="105" t="s">
        <v>1</v>
      </c>
      <c r="D459" s="105" t="s">
        <v>776</v>
      </c>
      <c r="E459" s="29" t="s">
        <v>594</v>
      </c>
      <c r="F459" s="30"/>
      <c r="G459" s="64">
        <f t="shared" si="18"/>
        <v>0</v>
      </c>
      <c r="H459" s="64">
        <f t="shared" si="18"/>
        <v>0</v>
      </c>
      <c r="I459" s="31" t="e">
        <f t="shared" si="15"/>
        <v>#DIV/0!</v>
      </c>
    </row>
    <row r="460" spans="1:9" ht="15" hidden="1">
      <c r="A460" s="49" t="s">
        <v>595</v>
      </c>
      <c r="B460" s="36"/>
      <c r="C460" s="105" t="s">
        <v>1</v>
      </c>
      <c r="D460" s="105" t="s">
        <v>776</v>
      </c>
      <c r="E460" s="29" t="s">
        <v>596</v>
      </c>
      <c r="F460" s="30"/>
      <c r="G460" s="64">
        <f t="shared" si="18"/>
        <v>0</v>
      </c>
      <c r="H460" s="64">
        <f t="shared" si="18"/>
        <v>0</v>
      </c>
      <c r="I460" s="31" t="e">
        <f t="shared" si="15"/>
        <v>#DIV/0!</v>
      </c>
    </row>
    <row r="461" spans="1:9" ht="87.75" customHeight="1" hidden="1">
      <c r="A461" s="49" t="s">
        <v>597</v>
      </c>
      <c r="B461" s="207"/>
      <c r="C461" s="205" t="s">
        <v>1</v>
      </c>
      <c r="D461" s="205" t="s">
        <v>776</v>
      </c>
      <c r="E461" s="67" t="s">
        <v>598</v>
      </c>
      <c r="F461" s="34"/>
      <c r="G461" s="64">
        <f t="shared" si="18"/>
        <v>0</v>
      </c>
      <c r="H461" s="64">
        <f t="shared" si="18"/>
        <v>0</v>
      </c>
      <c r="I461" s="31" t="e">
        <f t="shared" si="15"/>
        <v>#DIV/0!</v>
      </c>
    </row>
    <row r="462" spans="1:9" ht="15" hidden="1">
      <c r="A462" s="49" t="s">
        <v>807</v>
      </c>
      <c r="B462" s="207"/>
      <c r="C462" s="205" t="s">
        <v>1</v>
      </c>
      <c r="D462" s="205" t="s">
        <v>776</v>
      </c>
      <c r="E462" s="67" t="s">
        <v>598</v>
      </c>
      <c r="F462" s="34" t="s">
        <v>808</v>
      </c>
      <c r="G462" s="64"/>
      <c r="H462" s="64"/>
      <c r="I462" s="31" t="e">
        <f t="shared" si="15"/>
        <v>#DIV/0!</v>
      </c>
    </row>
    <row r="463" spans="1:9" ht="30.75" customHeight="1">
      <c r="A463" s="200" t="s">
        <v>657</v>
      </c>
      <c r="B463" s="118" t="s">
        <v>658</v>
      </c>
      <c r="C463" s="55"/>
      <c r="D463" s="116"/>
      <c r="E463" s="116"/>
      <c r="F463" s="117"/>
      <c r="G463" s="199">
        <f>SUM(G475+G494)+G464+G469</f>
        <v>734073.7</v>
      </c>
      <c r="H463" s="199">
        <f>SUM(H475+H494)+H464+H469</f>
        <v>521596.69999999995</v>
      </c>
      <c r="I463" s="54">
        <f t="shared" si="15"/>
        <v>71.0550861582427</v>
      </c>
    </row>
    <row r="464" spans="1:9" ht="15" hidden="1">
      <c r="A464" s="27" t="s">
        <v>702</v>
      </c>
      <c r="B464" s="28"/>
      <c r="C464" s="29" t="s">
        <v>703</v>
      </c>
      <c r="D464" s="29"/>
      <c r="E464" s="29"/>
      <c r="F464" s="30"/>
      <c r="G464" s="31">
        <f aca="true" t="shared" si="19" ref="G464:H467">SUM(G465)</f>
        <v>0</v>
      </c>
      <c r="H464" s="31">
        <f t="shared" si="19"/>
        <v>0</v>
      </c>
      <c r="I464" s="31" t="e">
        <f t="shared" si="15"/>
        <v>#DIV/0!</v>
      </c>
    </row>
    <row r="465" spans="1:9" ht="15" hidden="1">
      <c r="A465" s="32" t="s">
        <v>719</v>
      </c>
      <c r="B465" s="28"/>
      <c r="C465" s="29" t="s">
        <v>703</v>
      </c>
      <c r="D465" s="29" t="s">
        <v>798</v>
      </c>
      <c r="E465" s="29"/>
      <c r="F465" s="30"/>
      <c r="G465" s="31">
        <f t="shared" si="19"/>
        <v>0</v>
      </c>
      <c r="H465" s="31">
        <f t="shared" si="19"/>
        <v>0</v>
      </c>
      <c r="I465" s="31" t="e">
        <f t="shared" si="15"/>
        <v>#DIV/0!</v>
      </c>
    </row>
    <row r="466" spans="1:9" ht="30.75" customHeight="1" hidden="1">
      <c r="A466" s="32" t="s">
        <v>799</v>
      </c>
      <c r="B466" s="28"/>
      <c r="C466" s="29" t="s">
        <v>703</v>
      </c>
      <c r="D466" s="29" t="s">
        <v>798</v>
      </c>
      <c r="E466" s="29" t="s">
        <v>707</v>
      </c>
      <c r="F466" s="33"/>
      <c r="G466" s="31">
        <f t="shared" si="19"/>
        <v>0</v>
      </c>
      <c r="H466" s="31">
        <f t="shared" si="19"/>
        <v>0</v>
      </c>
      <c r="I466" s="31" t="e">
        <f t="shared" si="15"/>
        <v>#DIV/0!</v>
      </c>
    </row>
    <row r="467" spans="1:9" ht="14.25" customHeight="1" hidden="1">
      <c r="A467" s="32" t="s">
        <v>714</v>
      </c>
      <c r="B467" s="28"/>
      <c r="C467" s="29" t="s">
        <v>703</v>
      </c>
      <c r="D467" s="29" t="s">
        <v>798</v>
      </c>
      <c r="E467" s="29" t="s">
        <v>716</v>
      </c>
      <c r="F467" s="33"/>
      <c r="G467" s="31">
        <f t="shared" si="19"/>
        <v>0</v>
      </c>
      <c r="H467" s="31">
        <f t="shared" si="19"/>
        <v>0</v>
      </c>
      <c r="I467" s="31" t="e">
        <f t="shared" si="15"/>
        <v>#DIV/0!</v>
      </c>
    </row>
    <row r="468" spans="1:9" ht="29.25" customHeight="1" hidden="1">
      <c r="A468" s="32" t="s">
        <v>710</v>
      </c>
      <c r="B468" s="28"/>
      <c r="C468" s="29" t="s">
        <v>703</v>
      </c>
      <c r="D468" s="29" t="s">
        <v>798</v>
      </c>
      <c r="E468" s="29" t="s">
        <v>716</v>
      </c>
      <c r="F468" s="30" t="s">
        <v>711</v>
      </c>
      <c r="G468" s="31"/>
      <c r="H468" s="31"/>
      <c r="I468" s="31" t="e">
        <f t="shared" si="15"/>
        <v>#DIV/0!</v>
      </c>
    </row>
    <row r="469" spans="1:9" ht="18.75" customHeight="1">
      <c r="A469" s="38" t="s">
        <v>736</v>
      </c>
      <c r="B469" s="39"/>
      <c r="C469" s="105" t="s">
        <v>737</v>
      </c>
      <c r="D469" s="105"/>
      <c r="E469" s="105"/>
      <c r="F469" s="59"/>
      <c r="G469" s="64">
        <f>SUM(G470)</f>
        <v>3120.4</v>
      </c>
      <c r="H469" s="64">
        <f>SUM(H470)</f>
        <v>2581.7</v>
      </c>
      <c r="I469" s="31">
        <f t="shared" si="15"/>
        <v>82.73618766824765</v>
      </c>
    </row>
    <row r="470" spans="1:9" ht="18" customHeight="1">
      <c r="A470" s="27" t="s">
        <v>738</v>
      </c>
      <c r="B470" s="28"/>
      <c r="C470" s="29" t="s">
        <v>737</v>
      </c>
      <c r="D470" s="29" t="s">
        <v>739</v>
      </c>
      <c r="E470" s="29"/>
      <c r="F470" s="30"/>
      <c r="G470" s="31">
        <f>SUM(G471)</f>
        <v>3120.4</v>
      </c>
      <c r="H470" s="31">
        <f>SUM(H471)</f>
        <v>2581.7</v>
      </c>
      <c r="I470" s="31">
        <f t="shared" si="15"/>
        <v>82.73618766824765</v>
      </c>
    </row>
    <row r="471" spans="1:9" ht="28.5" customHeight="1">
      <c r="A471" s="27" t="s">
        <v>2</v>
      </c>
      <c r="B471" s="28"/>
      <c r="C471" s="29" t="s">
        <v>737</v>
      </c>
      <c r="D471" s="29" t="s">
        <v>739</v>
      </c>
      <c r="E471" s="45" t="s">
        <v>3</v>
      </c>
      <c r="F471" s="33"/>
      <c r="G471" s="31">
        <f>SUM(G472+G473)</f>
        <v>3120.4</v>
      </c>
      <c r="H471" s="31">
        <f>SUM(H472+H473)</f>
        <v>2581.7</v>
      </c>
      <c r="I471" s="31">
        <f t="shared" si="15"/>
        <v>82.73618766824765</v>
      </c>
    </row>
    <row r="472" spans="1:9" ht="18" customHeight="1">
      <c r="A472" s="27" t="s">
        <v>4</v>
      </c>
      <c r="B472" s="28"/>
      <c r="C472" s="29" t="s">
        <v>737</v>
      </c>
      <c r="D472" s="29" t="s">
        <v>739</v>
      </c>
      <c r="E472" s="45" t="s">
        <v>3</v>
      </c>
      <c r="F472" s="30" t="s">
        <v>5</v>
      </c>
      <c r="G472" s="31">
        <v>2250</v>
      </c>
      <c r="H472" s="31">
        <v>1711.3</v>
      </c>
      <c r="I472" s="31">
        <f t="shared" si="15"/>
        <v>76.05777777777777</v>
      </c>
    </row>
    <row r="473" spans="1:9" ht="87.75" customHeight="1">
      <c r="A473" s="71" t="s">
        <v>8</v>
      </c>
      <c r="B473" s="28"/>
      <c r="C473" s="29" t="s">
        <v>737</v>
      </c>
      <c r="D473" s="29" t="s">
        <v>739</v>
      </c>
      <c r="E473" s="45" t="s">
        <v>9</v>
      </c>
      <c r="F473" s="33"/>
      <c r="G473" s="31">
        <f>SUM(G474)</f>
        <v>870.4</v>
      </c>
      <c r="H473" s="31">
        <f>SUM(H474)</f>
        <v>870.4</v>
      </c>
      <c r="I473" s="31">
        <f t="shared" si="15"/>
        <v>100</v>
      </c>
    </row>
    <row r="474" spans="1:9" ht="16.5" customHeight="1">
      <c r="A474" s="27" t="s">
        <v>4</v>
      </c>
      <c r="B474" s="28"/>
      <c r="C474" s="29" t="s">
        <v>737</v>
      </c>
      <c r="D474" s="29" t="s">
        <v>739</v>
      </c>
      <c r="E474" s="45" t="s">
        <v>9</v>
      </c>
      <c r="F474" s="33" t="s">
        <v>5</v>
      </c>
      <c r="G474" s="31">
        <v>870.4</v>
      </c>
      <c r="H474" s="31">
        <v>870.4</v>
      </c>
      <c r="I474" s="31">
        <f t="shared" si="15"/>
        <v>100</v>
      </c>
    </row>
    <row r="475" spans="1:9" ht="15">
      <c r="A475" s="208" t="s">
        <v>725</v>
      </c>
      <c r="B475" s="28"/>
      <c r="C475" s="105" t="s">
        <v>726</v>
      </c>
      <c r="D475" s="105"/>
      <c r="E475" s="105"/>
      <c r="F475" s="59"/>
      <c r="G475" s="64">
        <f>SUM(G476)+G484+G491</f>
        <v>40541.700000000004</v>
      </c>
      <c r="H475" s="64">
        <f>SUM(H476)+H484+H491</f>
        <v>25782.3</v>
      </c>
      <c r="I475" s="31">
        <f t="shared" si="15"/>
        <v>63.59452119669376</v>
      </c>
    </row>
    <row r="476" spans="1:9" ht="15">
      <c r="A476" s="32" t="s">
        <v>186</v>
      </c>
      <c r="B476" s="28"/>
      <c r="C476" s="45" t="s">
        <v>726</v>
      </c>
      <c r="D476" s="45" t="s">
        <v>705</v>
      </c>
      <c r="E476" s="105"/>
      <c r="F476" s="59"/>
      <c r="G476" s="31">
        <f>SUM(G477)</f>
        <v>40421.700000000004</v>
      </c>
      <c r="H476" s="31">
        <f>SUM(H477)</f>
        <v>25662.5</v>
      </c>
      <c r="I476" s="31">
        <f t="shared" si="15"/>
        <v>63.4869389461601</v>
      </c>
    </row>
    <row r="477" spans="1:9" ht="15">
      <c r="A477" s="27" t="s">
        <v>276</v>
      </c>
      <c r="B477" s="28"/>
      <c r="C477" s="45" t="s">
        <v>726</v>
      </c>
      <c r="D477" s="45" t="s">
        <v>705</v>
      </c>
      <c r="E477" s="45" t="s">
        <v>277</v>
      </c>
      <c r="F477" s="59"/>
      <c r="G477" s="31">
        <f>SUM(G478)</f>
        <v>40421.700000000004</v>
      </c>
      <c r="H477" s="31">
        <f>SUM(H478)</f>
        <v>25662.5</v>
      </c>
      <c r="I477" s="31">
        <f t="shared" si="15"/>
        <v>63.4869389461601</v>
      </c>
    </row>
    <row r="478" spans="1:9" ht="28.5">
      <c r="A478" s="32" t="s">
        <v>805</v>
      </c>
      <c r="B478" s="28"/>
      <c r="C478" s="45" t="s">
        <v>726</v>
      </c>
      <c r="D478" s="45" t="s">
        <v>705</v>
      </c>
      <c r="E478" s="45" t="s">
        <v>278</v>
      </c>
      <c r="F478" s="59"/>
      <c r="G478" s="31">
        <f>SUM(G482+G480+G479)</f>
        <v>40421.700000000004</v>
      </c>
      <c r="H478" s="31">
        <f>SUM(H482+H480+H479)</f>
        <v>25662.5</v>
      </c>
      <c r="I478" s="31">
        <f t="shared" si="15"/>
        <v>63.4869389461601</v>
      </c>
    </row>
    <row r="479" spans="1:9" ht="33" customHeight="1" hidden="1">
      <c r="A479" s="49" t="s">
        <v>807</v>
      </c>
      <c r="B479" s="28"/>
      <c r="C479" s="45" t="s">
        <v>726</v>
      </c>
      <c r="D479" s="45" t="s">
        <v>705</v>
      </c>
      <c r="E479" s="29" t="s">
        <v>278</v>
      </c>
      <c r="F479" s="33" t="s">
        <v>808</v>
      </c>
      <c r="G479" s="31"/>
      <c r="H479" s="31"/>
      <c r="I479" s="31" t="e">
        <f t="shared" si="15"/>
        <v>#DIV/0!</v>
      </c>
    </row>
    <row r="480" spans="1:9" ht="57.75">
      <c r="A480" s="49" t="s">
        <v>201</v>
      </c>
      <c r="B480" s="66"/>
      <c r="C480" s="45" t="s">
        <v>726</v>
      </c>
      <c r="D480" s="45" t="s">
        <v>705</v>
      </c>
      <c r="E480" s="45" t="s">
        <v>280</v>
      </c>
      <c r="F480" s="34"/>
      <c r="G480" s="31">
        <f>SUM(G481)</f>
        <v>42.4</v>
      </c>
      <c r="H480" s="31">
        <f>SUM(H481)</f>
        <v>27.5</v>
      </c>
      <c r="I480" s="31">
        <f t="shared" si="15"/>
        <v>64.85849056603774</v>
      </c>
    </row>
    <row r="481" spans="1:9" ht="15.75">
      <c r="A481" s="49" t="s">
        <v>807</v>
      </c>
      <c r="B481" s="66"/>
      <c r="C481" s="45" t="s">
        <v>726</v>
      </c>
      <c r="D481" s="45" t="s">
        <v>705</v>
      </c>
      <c r="E481" s="45" t="s">
        <v>280</v>
      </c>
      <c r="F481" s="34" t="s">
        <v>808</v>
      </c>
      <c r="G481" s="31">
        <f>19.7+22.7</f>
        <v>42.4</v>
      </c>
      <c r="H481" s="31">
        <v>27.5</v>
      </c>
      <c r="I481" s="31">
        <f t="shared" si="15"/>
        <v>64.85849056603774</v>
      </c>
    </row>
    <row r="482" spans="1:9" ht="42.75">
      <c r="A482" s="32" t="s">
        <v>281</v>
      </c>
      <c r="B482" s="28"/>
      <c r="C482" s="45" t="s">
        <v>726</v>
      </c>
      <c r="D482" s="45" t="s">
        <v>705</v>
      </c>
      <c r="E482" s="45" t="s">
        <v>282</v>
      </c>
      <c r="F482" s="59"/>
      <c r="G482" s="31">
        <f>SUM(G483)</f>
        <v>40379.3</v>
      </c>
      <c r="H482" s="31">
        <f>SUM(H483)</f>
        <v>25635</v>
      </c>
      <c r="I482" s="31">
        <f aca="true" t="shared" si="20" ref="I482:I545">SUM(H482/G482*100)</f>
        <v>63.485498758027006</v>
      </c>
    </row>
    <row r="483" spans="1:9" ht="15">
      <c r="A483" s="46" t="s">
        <v>807</v>
      </c>
      <c r="B483" s="28"/>
      <c r="C483" s="45" t="s">
        <v>726</v>
      </c>
      <c r="D483" s="45" t="s">
        <v>705</v>
      </c>
      <c r="E483" s="45" t="s">
        <v>282</v>
      </c>
      <c r="F483" s="59" t="s">
        <v>808</v>
      </c>
      <c r="G483" s="31">
        <f>38910.3+727.6+741.4</f>
        <v>40379.3</v>
      </c>
      <c r="H483" s="31">
        <v>25635</v>
      </c>
      <c r="I483" s="31">
        <f t="shared" si="20"/>
        <v>63.485498758027006</v>
      </c>
    </row>
    <row r="484" spans="1:9" ht="15" hidden="1">
      <c r="A484" s="32" t="s">
        <v>727</v>
      </c>
      <c r="B484" s="36"/>
      <c r="C484" s="29" t="s">
        <v>726</v>
      </c>
      <c r="D484" s="29" t="s">
        <v>726</v>
      </c>
      <c r="E484" s="45"/>
      <c r="F484" s="59"/>
      <c r="G484" s="31">
        <f>SUM(G488+G485)</f>
        <v>0</v>
      </c>
      <c r="H484" s="31">
        <f>SUM(H488+H485)</f>
        <v>0</v>
      </c>
      <c r="I484" s="31" t="e">
        <f t="shared" si="20"/>
        <v>#DIV/0!</v>
      </c>
    </row>
    <row r="485" spans="1:9" ht="28.5" hidden="1">
      <c r="A485" s="43" t="s">
        <v>307</v>
      </c>
      <c r="B485" s="44"/>
      <c r="C485" s="45" t="s">
        <v>726</v>
      </c>
      <c r="D485" s="45" t="s">
        <v>726</v>
      </c>
      <c r="E485" s="45" t="s">
        <v>308</v>
      </c>
      <c r="F485" s="33"/>
      <c r="G485" s="31">
        <f>SUM(G486)</f>
        <v>0</v>
      </c>
      <c r="H485" s="31">
        <f>SUM(H486)</f>
        <v>0</v>
      </c>
      <c r="I485" s="31" t="e">
        <f t="shared" si="20"/>
        <v>#DIV/0!</v>
      </c>
    </row>
    <row r="486" spans="1:9" ht="15" hidden="1">
      <c r="A486" s="43" t="s">
        <v>309</v>
      </c>
      <c r="B486" s="45"/>
      <c r="C486" s="45" t="s">
        <v>726</v>
      </c>
      <c r="D486" s="45" t="s">
        <v>726</v>
      </c>
      <c r="E486" s="45" t="s">
        <v>310</v>
      </c>
      <c r="F486" s="33"/>
      <c r="G486" s="31">
        <f>SUM(G487)</f>
        <v>0</v>
      </c>
      <c r="H486" s="31">
        <f>SUM(H487)</f>
        <v>0</v>
      </c>
      <c r="I486" s="31" t="e">
        <f t="shared" si="20"/>
        <v>#DIV/0!</v>
      </c>
    </row>
    <row r="487" spans="1:9" ht="15" hidden="1">
      <c r="A487" s="49" t="s">
        <v>807</v>
      </c>
      <c r="B487" s="44"/>
      <c r="C487" s="45" t="s">
        <v>726</v>
      </c>
      <c r="D487" s="45" t="s">
        <v>726</v>
      </c>
      <c r="E487" s="45" t="s">
        <v>310</v>
      </c>
      <c r="F487" s="33" t="s">
        <v>808</v>
      </c>
      <c r="G487" s="31"/>
      <c r="H487" s="31"/>
      <c r="I487" s="31" t="e">
        <f t="shared" si="20"/>
        <v>#DIV/0!</v>
      </c>
    </row>
    <row r="488" spans="1:9" ht="28.5" hidden="1">
      <c r="A488" s="46" t="s">
        <v>315</v>
      </c>
      <c r="B488" s="36"/>
      <c r="C488" s="29" t="s">
        <v>726</v>
      </c>
      <c r="D488" s="29" t="s">
        <v>726</v>
      </c>
      <c r="E488" s="29" t="s">
        <v>729</v>
      </c>
      <c r="F488" s="59"/>
      <c r="G488" s="31">
        <f>SUM(G489)</f>
        <v>0</v>
      </c>
      <c r="H488" s="31">
        <f>SUM(H489)</f>
        <v>0</v>
      </c>
      <c r="I488" s="31" t="e">
        <f t="shared" si="20"/>
        <v>#DIV/0!</v>
      </c>
    </row>
    <row r="489" spans="1:9" ht="15" customHeight="1" hidden="1">
      <c r="A489" s="46" t="s">
        <v>316</v>
      </c>
      <c r="B489" s="36"/>
      <c r="C489" s="29" t="s">
        <v>726</v>
      </c>
      <c r="D489" s="29" t="s">
        <v>726</v>
      </c>
      <c r="E489" s="29" t="s">
        <v>317</v>
      </c>
      <c r="F489" s="59"/>
      <c r="G489" s="31">
        <f>SUM(G490)</f>
        <v>0</v>
      </c>
      <c r="H489" s="31">
        <f>SUM(H490)</f>
        <v>0</v>
      </c>
      <c r="I489" s="31" t="e">
        <f t="shared" si="20"/>
        <v>#DIV/0!</v>
      </c>
    </row>
    <row r="490" spans="1:9" s="106" customFormat="1" ht="15" customHeight="1" hidden="1">
      <c r="A490" s="49" t="s">
        <v>807</v>
      </c>
      <c r="B490" s="36"/>
      <c r="C490" s="29" t="s">
        <v>726</v>
      </c>
      <c r="D490" s="29" t="s">
        <v>726</v>
      </c>
      <c r="E490" s="29" t="s">
        <v>317</v>
      </c>
      <c r="F490" s="30" t="s">
        <v>808</v>
      </c>
      <c r="G490" s="31"/>
      <c r="H490" s="31"/>
      <c r="I490" s="31" t="e">
        <f t="shared" si="20"/>
        <v>#DIV/0!</v>
      </c>
    </row>
    <row r="491" spans="1:9" s="106" customFormat="1" ht="15" customHeight="1">
      <c r="A491" s="49" t="s">
        <v>727</v>
      </c>
      <c r="B491" s="36"/>
      <c r="C491" s="29" t="s">
        <v>726</v>
      </c>
      <c r="D491" s="29" t="s">
        <v>726</v>
      </c>
      <c r="E491" s="29"/>
      <c r="F491" s="30"/>
      <c r="G491" s="31">
        <f>SUM(G492)</f>
        <v>120</v>
      </c>
      <c r="H491" s="31">
        <f>SUM(H492)</f>
        <v>119.8</v>
      </c>
      <c r="I491" s="31">
        <f t="shared" si="20"/>
        <v>99.83333333333333</v>
      </c>
    </row>
    <row r="492" spans="1:9" s="106" customFormat="1" ht="15" customHeight="1">
      <c r="A492" s="49" t="s">
        <v>765</v>
      </c>
      <c r="B492" s="36"/>
      <c r="C492" s="29" t="s">
        <v>726</v>
      </c>
      <c r="D492" s="29" t="s">
        <v>726</v>
      </c>
      <c r="E492" s="29" t="s">
        <v>766</v>
      </c>
      <c r="F492" s="30"/>
      <c r="G492" s="31">
        <f>SUM(G493)</f>
        <v>120</v>
      </c>
      <c r="H492" s="31">
        <f>SUM(H493)</f>
        <v>119.8</v>
      </c>
      <c r="I492" s="31">
        <f t="shared" si="20"/>
        <v>99.83333333333333</v>
      </c>
    </row>
    <row r="493" spans="1:9" s="106" customFormat="1" ht="15" customHeight="1">
      <c r="A493" s="49" t="s">
        <v>305</v>
      </c>
      <c r="B493" s="36"/>
      <c r="C493" s="29" t="s">
        <v>726</v>
      </c>
      <c r="D493" s="29" t="s">
        <v>726</v>
      </c>
      <c r="E493" s="29" t="s">
        <v>766</v>
      </c>
      <c r="F493" s="30" t="s">
        <v>306</v>
      </c>
      <c r="G493" s="31">
        <v>120</v>
      </c>
      <c r="H493" s="31">
        <v>119.8</v>
      </c>
      <c r="I493" s="31">
        <f t="shared" si="20"/>
        <v>99.83333333333333</v>
      </c>
    </row>
    <row r="494" spans="1:9" s="106" customFormat="1" ht="15">
      <c r="A494" s="38" t="s">
        <v>445</v>
      </c>
      <c r="B494" s="28"/>
      <c r="C494" s="105" t="s">
        <v>1</v>
      </c>
      <c r="D494" s="105" t="s">
        <v>446</v>
      </c>
      <c r="E494" s="105"/>
      <c r="F494" s="59"/>
      <c r="G494" s="64">
        <f>SUM(G495+G499+G510+G585+G601)</f>
        <v>690411.6</v>
      </c>
      <c r="H494" s="64">
        <f>SUM(H495+H499+H510+H585+H601)</f>
        <v>493232.69999999995</v>
      </c>
      <c r="I494" s="31">
        <f t="shared" si="20"/>
        <v>71.44038425773842</v>
      </c>
    </row>
    <row r="495" spans="1:9" ht="15">
      <c r="A495" s="38" t="s">
        <v>447</v>
      </c>
      <c r="B495" s="28"/>
      <c r="C495" s="105" t="s">
        <v>1</v>
      </c>
      <c r="D495" s="105" t="s">
        <v>703</v>
      </c>
      <c r="E495" s="105"/>
      <c r="F495" s="59"/>
      <c r="G495" s="64">
        <f aca="true" t="shared" si="21" ref="G495:H497">SUM(G496)</f>
        <v>1657.3</v>
      </c>
      <c r="H495" s="64">
        <f t="shared" si="21"/>
        <v>1203.5</v>
      </c>
      <c r="I495" s="31">
        <f t="shared" si="20"/>
        <v>72.6181137995535</v>
      </c>
    </row>
    <row r="496" spans="1:9" ht="28.5">
      <c r="A496" s="92" t="s">
        <v>448</v>
      </c>
      <c r="B496" s="28"/>
      <c r="C496" s="29" t="s">
        <v>1</v>
      </c>
      <c r="D496" s="29" t="s">
        <v>703</v>
      </c>
      <c r="E496" s="29" t="s">
        <v>449</v>
      </c>
      <c r="F496" s="59"/>
      <c r="G496" s="31">
        <f t="shared" si="21"/>
        <v>1657.3</v>
      </c>
      <c r="H496" s="31">
        <f t="shared" si="21"/>
        <v>1203.5</v>
      </c>
      <c r="I496" s="31">
        <f t="shared" si="20"/>
        <v>72.6181137995535</v>
      </c>
    </row>
    <row r="497" spans="1:9" s="102" customFormat="1" ht="42.75">
      <c r="A497" s="92" t="s">
        <v>450</v>
      </c>
      <c r="B497" s="79"/>
      <c r="C497" s="29" t="s">
        <v>1</v>
      </c>
      <c r="D497" s="29" t="s">
        <v>703</v>
      </c>
      <c r="E497" s="29" t="s">
        <v>451</v>
      </c>
      <c r="F497" s="59"/>
      <c r="G497" s="31">
        <f t="shared" si="21"/>
        <v>1657.3</v>
      </c>
      <c r="H497" s="31">
        <f t="shared" si="21"/>
        <v>1203.5</v>
      </c>
      <c r="I497" s="31">
        <f t="shared" si="20"/>
        <v>72.6181137995535</v>
      </c>
    </row>
    <row r="498" spans="1:9" s="106" customFormat="1" ht="18" customHeight="1">
      <c r="A498" s="27" t="s">
        <v>849</v>
      </c>
      <c r="B498" s="28"/>
      <c r="C498" s="29" t="s">
        <v>1</v>
      </c>
      <c r="D498" s="29" t="s">
        <v>703</v>
      </c>
      <c r="E498" s="29" t="s">
        <v>451</v>
      </c>
      <c r="F498" s="59" t="s">
        <v>850</v>
      </c>
      <c r="G498" s="31">
        <v>1657.3</v>
      </c>
      <c r="H498" s="31">
        <v>1203.5</v>
      </c>
      <c r="I498" s="31">
        <f t="shared" si="20"/>
        <v>72.6181137995535</v>
      </c>
    </row>
    <row r="499" spans="1:9" s="106" customFormat="1" ht="15">
      <c r="A499" s="27" t="s">
        <v>452</v>
      </c>
      <c r="B499" s="28"/>
      <c r="C499" s="40" t="s">
        <v>1</v>
      </c>
      <c r="D499" s="40" t="s">
        <v>705</v>
      </c>
      <c r="E499" s="29"/>
      <c r="F499" s="59"/>
      <c r="G499" s="64">
        <f>SUM(G500+G505)</f>
        <v>24677.3</v>
      </c>
      <c r="H499" s="64">
        <f>SUM(H500+H505)</f>
        <v>16618.3</v>
      </c>
      <c r="I499" s="31">
        <f t="shared" si="20"/>
        <v>67.34245642756703</v>
      </c>
    </row>
    <row r="500" spans="1:9" s="119" customFormat="1" ht="20.25" customHeight="1" hidden="1">
      <c r="A500" s="133" t="s">
        <v>453</v>
      </c>
      <c r="B500" s="28"/>
      <c r="C500" s="40" t="s">
        <v>1</v>
      </c>
      <c r="D500" s="40" t="s">
        <v>705</v>
      </c>
      <c r="E500" s="40" t="s">
        <v>454</v>
      </c>
      <c r="F500" s="125"/>
      <c r="G500" s="64"/>
      <c r="H500" s="64"/>
      <c r="I500" s="31" t="e">
        <f t="shared" si="20"/>
        <v>#DIV/0!</v>
      </c>
    </row>
    <row r="501" spans="1:9" ht="42.75" hidden="1">
      <c r="A501" s="133" t="s">
        <v>455</v>
      </c>
      <c r="B501" s="28"/>
      <c r="C501" s="45" t="s">
        <v>1</v>
      </c>
      <c r="D501" s="45" t="s">
        <v>705</v>
      </c>
      <c r="E501" s="45" t="s">
        <v>456</v>
      </c>
      <c r="F501" s="33"/>
      <c r="G501" s="31">
        <f>SUM(G502+G503)</f>
        <v>0</v>
      </c>
      <c r="H501" s="31">
        <f>SUM(H502+H503)</f>
        <v>0</v>
      </c>
      <c r="I501" s="31" t="e">
        <f t="shared" si="20"/>
        <v>#DIV/0!</v>
      </c>
    </row>
    <row r="502" spans="1:9" ht="15" hidden="1">
      <c r="A502" s="43" t="s">
        <v>807</v>
      </c>
      <c r="B502" s="28"/>
      <c r="C502" s="45" t="s">
        <v>1</v>
      </c>
      <c r="D502" s="45" t="s">
        <v>705</v>
      </c>
      <c r="E502" s="45" t="s">
        <v>456</v>
      </c>
      <c r="F502" s="125" t="s">
        <v>808</v>
      </c>
      <c r="G502" s="31"/>
      <c r="H502" s="31"/>
      <c r="I502" s="31" t="e">
        <f t="shared" si="20"/>
        <v>#DIV/0!</v>
      </c>
    </row>
    <row r="503" spans="1:9" ht="33" customHeight="1" hidden="1">
      <c r="A503" s="133" t="s">
        <v>457</v>
      </c>
      <c r="B503" s="28"/>
      <c r="C503" s="45" t="s">
        <v>1</v>
      </c>
      <c r="D503" s="45" t="s">
        <v>705</v>
      </c>
      <c r="E503" s="45" t="s">
        <v>458</v>
      </c>
      <c r="F503" s="33"/>
      <c r="G503" s="31">
        <f>SUM(G504)</f>
        <v>0</v>
      </c>
      <c r="H503" s="31">
        <f>SUM(H504)</f>
        <v>0</v>
      </c>
      <c r="I503" s="31" t="e">
        <f t="shared" si="20"/>
        <v>#DIV/0!</v>
      </c>
    </row>
    <row r="504" spans="1:9" ht="15" hidden="1">
      <c r="A504" s="43" t="s">
        <v>807</v>
      </c>
      <c r="B504" s="28"/>
      <c r="C504" s="45" t="s">
        <v>1</v>
      </c>
      <c r="D504" s="45" t="s">
        <v>705</v>
      </c>
      <c r="E504" s="45" t="s">
        <v>458</v>
      </c>
      <c r="F504" s="125" t="s">
        <v>808</v>
      </c>
      <c r="G504" s="31"/>
      <c r="H504" s="31"/>
      <c r="I504" s="31" t="e">
        <f t="shared" si="20"/>
        <v>#DIV/0!</v>
      </c>
    </row>
    <row r="505" spans="1:9" ht="15">
      <c r="A505" s="133" t="s">
        <v>453</v>
      </c>
      <c r="B505" s="28"/>
      <c r="C505" s="40" t="s">
        <v>1</v>
      </c>
      <c r="D505" s="40" t="s">
        <v>705</v>
      </c>
      <c r="E505" s="40" t="s">
        <v>459</v>
      </c>
      <c r="F505" s="125"/>
      <c r="G505" s="31">
        <f>SUM(G506+G508)</f>
        <v>24677.3</v>
      </c>
      <c r="H505" s="31">
        <f>SUM(H506+H508)</f>
        <v>16618.3</v>
      </c>
      <c r="I505" s="31">
        <f t="shared" si="20"/>
        <v>67.34245642756703</v>
      </c>
    </row>
    <row r="506" spans="1:9" ht="28.5" hidden="1">
      <c r="A506" s="43" t="s">
        <v>457</v>
      </c>
      <c r="B506" s="28"/>
      <c r="C506" s="45" t="s">
        <v>1</v>
      </c>
      <c r="D506" s="45" t="s">
        <v>705</v>
      </c>
      <c r="E506" s="45" t="s">
        <v>460</v>
      </c>
      <c r="F506" s="125"/>
      <c r="G506" s="31">
        <f>SUM(G507)</f>
        <v>0</v>
      </c>
      <c r="H506" s="31">
        <f>SUM(H507)</f>
        <v>0</v>
      </c>
      <c r="I506" s="31" t="e">
        <f t="shared" si="20"/>
        <v>#DIV/0!</v>
      </c>
    </row>
    <row r="507" spans="1:9" ht="15" hidden="1">
      <c r="A507" s="43" t="s">
        <v>807</v>
      </c>
      <c r="B507" s="28"/>
      <c r="C507" s="45" t="s">
        <v>1</v>
      </c>
      <c r="D507" s="45" t="s">
        <v>705</v>
      </c>
      <c r="E507" s="45" t="s">
        <v>460</v>
      </c>
      <c r="F507" s="125" t="s">
        <v>808</v>
      </c>
      <c r="G507" s="31"/>
      <c r="H507" s="31"/>
      <c r="I507" s="31" t="e">
        <f t="shared" si="20"/>
        <v>#DIV/0!</v>
      </c>
    </row>
    <row r="508" spans="1:9" ht="42.75">
      <c r="A508" s="43" t="s">
        <v>461</v>
      </c>
      <c r="B508" s="28"/>
      <c r="C508" s="45" t="s">
        <v>1</v>
      </c>
      <c r="D508" s="45" t="s">
        <v>705</v>
      </c>
      <c r="E508" s="45" t="s">
        <v>462</v>
      </c>
      <c r="F508" s="125"/>
      <c r="G508" s="31">
        <f>SUM(G509)</f>
        <v>24677.3</v>
      </c>
      <c r="H508" s="31">
        <f>SUM(H509)</f>
        <v>16618.3</v>
      </c>
      <c r="I508" s="31">
        <f t="shared" si="20"/>
        <v>67.34245642756703</v>
      </c>
    </row>
    <row r="509" spans="1:9" ht="15">
      <c r="A509" s="43" t="s">
        <v>807</v>
      </c>
      <c r="B509" s="28"/>
      <c r="C509" s="45" t="s">
        <v>1</v>
      </c>
      <c r="D509" s="45" t="s">
        <v>705</v>
      </c>
      <c r="E509" s="45" t="s">
        <v>462</v>
      </c>
      <c r="F509" s="125" t="s">
        <v>808</v>
      </c>
      <c r="G509" s="31">
        <f>22559.8+739.8+1377.7</f>
        <v>24677.3</v>
      </c>
      <c r="H509" s="31">
        <v>16618.3</v>
      </c>
      <c r="I509" s="31">
        <f t="shared" si="20"/>
        <v>67.34245642756703</v>
      </c>
    </row>
    <row r="510" spans="1:9" ht="15">
      <c r="A510" s="38" t="s">
        <v>463</v>
      </c>
      <c r="B510" s="28"/>
      <c r="C510" s="105" t="s">
        <v>1</v>
      </c>
      <c r="D510" s="105" t="s">
        <v>713</v>
      </c>
      <c r="E510" s="105"/>
      <c r="F510" s="59"/>
      <c r="G510" s="64">
        <f>SUM(G514+G579+G582+G511)</f>
        <v>618676.8</v>
      </c>
      <c r="H510" s="64">
        <f>SUM(H514+H579+H582+H511)</f>
        <v>443096.29999999993</v>
      </c>
      <c r="I510" s="31">
        <f t="shared" si="20"/>
        <v>71.61999609489153</v>
      </c>
    </row>
    <row r="511" spans="1:9" ht="15">
      <c r="A511" s="27" t="s">
        <v>794</v>
      </c>
      <c r="B511" s="28"/>
      <c r="C511" s="105" t="s">
        <v>1</v>
      </c>
      <c r="D511" s="105" t="s">
        <v>713</v>
      </c>
      <c r="E511" s="29" t="s">
        <v>796</v>
      </c>
      <c r="F511" s="30"/>
      <c r="G511" s="31">
        <f>SUM(G513)</f>
        <v>200</v>
      </c>
      <c r="H511" s="31">
        <f>SUM(H513)</f>
        <v>200</v>
      </c>
      <c r="I511" s="31">
        <f t="shared" si="20"/>
        <v>100</v>
      </c>
    </row>
    <row r="512" spans="1:9" ht="15">
      <c r="A512" s="27" t="s">
        <v>765</v>
      </c>
      <c r="B512" s="28"/>
      <c r="C512" s="105" t="s">
        <v>1</v>
      </c>
      <c r="D512" s="105" t="s">
        <v>713</v>
      </c>
      <c r="E512" s="29" t="s">
        <v>766</v>
      </c>
      <c r="F512" s="30"/>
      <c r="G512" s="31">
        <f>SUM(G513)</f>
        <v>200</v>
      </c>
      <c r="H512" s="31">
        <f>SUM(H513)</f>
        <v>200</v>
      </c>
      <c r="I512" s="31">
        <f t="shared" si="20"/>
        <v>100</v>
      </c>
    </row>
    <row r="513" spans="1:9" ht="15">
      <c r="A513" s="27" t="s">
        <v>849</v>
      </c>
      <c r="B513" s="44"/>
      <c r="C513" s="105" t="s">
        <v>1</v>
      </c>
      <c r="D513" s="105" t="s">
        <v>713</v>
      </c>
      <c r="E513" s="29" t="s">
        <v>766</v>
      </c>
      <c r="F513" s="33" t="s">
        <v>850</v>
      </c>
      <c r="G513" s="31">
        <v>200</v>
      </c>
      <c r="H513" s="31">
        <v>200</v>
      </c>
      <c r="I513" s="31">
        <f t="shared" si="20"/>
        <v>100</v>
      </c>
    </row>
    <row r="514" spans="1:9" ht="15">
      <c r="A514" s="27" t="s">
        <v>464</v>
      </c>
      <c r="B514" s="28"/>
      <c r="C514" s="29" t="s">
        <v>1</v>
      </c>
      <c r="D514" s="29" t="s">
        <v>713</v>
      </c>
      <c r="E514" s="29" t="s">
        <v>465</v>
      </c>
      <c r="F514" s="30"/>
      <c r="G514" s="31">
        <f>SUM(G515+G517+G519+G525+G527+G544+G550+G552+G554+G575+G530+G532+G538+G540+G546+G548+G536+G534+G542+G521+G523)</f>
        <v>612472.3</v>
      </c>
      <c r="H514" s="31">
        <f>SUM(H515+H517+H519+H525+H527+H544+H550+H552+H554+H575+H530+H532+H538+H540+H546+H548+H536+H534+H542+H521+H523)</f>
        <v>438649.6</v>
      </c>
      <c r="I514" s="31">
        <f t="shared" si="20"/>
        <v>71.61950017984486</v>
      </c>
    </row>
    <row r="515" spans="1:9" ht="63.75" customHeight="1" hidden="1">
      <c r="A515" s="134" t="s">
        <v>466</v>
      </c>
      <c r="B515" s="28"/>
      <c r="C515" s="29" t="s">
        <v>1</v>
      </c>
      <c r="D515" s="29" t="s">
        <v>713</v>
      </c>
      <c r="E515" s="29" t="s">
        <v>467</v>
      </c>
      <c r="F515" s="30"/>
      <c r="G515" s="31">
        <f>SUM(G516:G516)</f>
        <v>0</v>
      </c>
      <c r="H515" s="31">
        <f>SUM(H516:H516)</f>
        <v>0</v>
      </c>
      <c r="I515" s="31" t="e">
        <f t="shared" si="20"/>
        <v>#DIV/0!</v>
      </c>
    </row>
    <row r="516" spans="1:9" ht="15" hidden="1">
      <c r="A516" s="27" t="s">
        <v>849</v>
      </c>
      <c r="B516" s="28"/>
      <c r="C516" s="29" t="s">
        <v>1</v>
      </c>
      <c r="D516" s="29" t="s">
        <v>713</v>
      </c>
      <c r="E516" s="29" t="s">
        <v>467</v>
      </c>
      <c r="F516" s="30" t="s">
        <v>850</v>
      </c>
      <c r="G516" s="31"/>
      <c r="H516" s="31"/>
      <c r="I516" s="31" t="e">
        <f t="shared" si="20"/>
        <v>#DIV/0!</v>
      </c>
    </row>
    <row r="517" spans="1:9" ht="57" hidden="1">
      <c r="A517" s="27" t="s">
        <v>468</v>
      </c>
      <c r="B517" s="28"/>
      <c r="C517" s="29" t="s">
        <v>1</v>
      </c>
      <c r="D517" s="29" t="s">
        <v>713</v>
      </c>
      <c r="E517" s="29" t="s">
        <v>469</v>
      </c>
      <c r="F517" s="30"/>
      <c r="G517" s="31">
        <f>SUM(G518:G518)</f>
        <v>0</v>
      </c>
      <c r="H517" s="31">
        <f>SUM(H518:H518)</f>
        <v>0</v>
      </c>
      <c r="I517" s="31" t="e">
        <f t="shared" si="20"/>
        <v>#DIV/0!</v>
      </c>
    </row>
    <row r="518" spans="1:9" ht="15" hidden="1">
      <c r="A518" s="27" t="s">
        <v>849</v>
      </c>
      <c r="B518" s="28"/>
      <c r="C518" s="29" t="s">
        <v>1</v>
      </c>
      <c r="D518" s="29" t="s">
        <v>713</v>
      </c>
      <c r="E518" s="29" t="s">
        <v>469</v>
      </c>
      <c r="F518" s="30" t="s">
        <v>850</v>
      </c>
      <c r="G518" s="31"/>
      <c r="H518" s="31"/>
      <c r="I518" s="31" t="e">
        <f t="shared" si="20"/>
        <v>#DIV/0!</v>
      </c>
    </row>
    <row r="519" spans="1:9" ht="57" hidden="1">
      <c r="A519" s="27" t="s">
        <v>470</v>
      </c>
      <c r="B519" s="36"/>
      <c r="C519" s="45" t="s">
        <v>1</v>
      </c>
      <c r="D519" s="29" t="s">
        <v>713</v>
      </c>
      <c r="E519" s="29" t="s">
        <v>471</v>
      </c>
      <c r="F519" s="30"/>
      <c r="G519" s="31">
        <f>SUM(G520)</f>
        <v>0</v>
      </c>
      <c r="H519" s="31">
        <f>SUM(H520)</f>
        <v>0</v>
      </c>
      <c r="I519" s="31" t="e">
        <f t="shared" si="20"/>
        <v>#DIV/0!</v>
      </c>
    </row>
    <row r="520" spans="1:9" ht="15" hidden="1">
      <c r="A520" s="27" t="s">
        <v>849</v>
      </c>
      <c r="B520" s="36"/>
      <c r="C520" s="45" t="s">
        <v>1</v>
      </c>
      <c r="D520" s="29" t="s">
        <v>713</v>
      </c>
      <c r="E520" s="29" t="s">
        <v>471</v>
      </c>
      <c r="F520" s="30" t="s">
        <v>850</v>
      </c>
      <c r="G520" s="31"/>
      <c r="H520" s="31"/>
      <c r="I520" s="31" t="e">
        <f t="shared" si="20"/>
        <v>#DIV/0!</v>
      </c>
    </row>
    <row r="521" spans="1:9" ht="128.25">
      <c r="A521" s="27" t="s">
        <v>474</v>
      </c>
      <c r="B521" s="36"/>
      <c r="C521" s="45" t="s">
        <v>1</v>
      </c>
      <c r="D521" s="29" t="s">
        <v>713</v>
      </c>
      <c r="E521" s="29" t="s">
        <v>475</v>
      </c>
      <c r="F521" s="30"/>
      <c r="G521" s="31">
        <f>SUM(G522)</f>
        <v>1086.4</v>
      </c>
      <c r="H521" s="31">
        <f>SUM(H522)</f>
        <v>634.3</v>
      </c>
      <c r="I521" s="31">
        <f t="shared" si="20"/>
        <v>58.38549337260677</v>
      </c>
    </row>
    <row r="522" spans="1:9" ht="15">
      <c r="A522" s="27" t="s">
        <v>849</v>
      </c>
      <c r="B522" s="36"/>
      <c r="C522" s="45" t="s">
        <v>1</v>
      </c>
      <c r="D522" s="29" t="s">
        <v>713</v>
      </c>
      <c r="E522" s="29" t="s">
        <v>475</v>
      </c>
      <c r="F522" s="30" t="s">
        <v>850</v>
      </c>
      <c r="G522" s="31">
        <v>1086.4</v>
      </c>
      <c r="H522" s="31">
        <v>634.3</v>
      </c>
      <c r="I522" s="31">
        <f t="shared" si="20"/>
        <v>58.38549337260677</v>
      </c>
    </row>
    <row r="523" spans="1:9" ht="45.75" customHeight="1">
      <c r="A523" s="27" t="s">
        <v>476</v>
      </c>
      <c r="B523" s="36"/>
      <c r="C523" s="45" t="s">
        <v>1</v>
      </c>
      <c r="D523" s="29" t="s">
        <v>713</v>
      </c>
      <c r="E523" s="29" t="s">
        <v>477</v>
      </c>
      <c r="F523" s="30"/>
      <c r="G523" s="31">
        <f>SUM(G524)</f>
        <v>664.2</v>
      </c>
      <c r="H523" s="31">
        <f>SUM(H524)</f>
        <v>542.8</v>
      </c>
      <c r="I523" s="31">
        <f t="shared" si="20"/>
        <v>81.72237277928333</v>
      </c>
    </row>
    <row r="524" spans="1:9" ht="15">
      <c r="A524" s="27" t="s">
        <v>849</v>
      </c>
      <c r="B524" s="36"/>
      <c r="C524" s="45" t="s">
        <v>1</v>
      </c>
      <c r="D524" s="29" t="s">
        <v>713</v>
      </c>
      <c r="E524" s="29" t="s">
        <v>477</v>
      </c>
      <c r="F524" s="30" t="s">
        <v>850</v>
      </c>
      <c r="G524" s="31">
        <f>654.2+10</f>
        <v>664.2</v>
      </c>
      <c r="H524" s="31">
        <v>542.8</v>
      </c>
      <c r="I524" s="31">
        <f t="shared" si="20"/>
        <v>81.72237277928333</v>
      </c>
    </row>
    <row r="525" spans="1:9" s="119" customFormat="1" ht="85.5">
      <c r="A525" s="46" t="s">
        <v>478</v>
      </c>
      <c r="B525" s="28"/>
      <c r="C525" s="45" t="s">
        <v>1</v>
      </c>
      <c r="D525" s="29" t="s">
        <v>713</v>
      </c>
      <c r="E525" s="29" t="s">
        <v>479</v>
      </c>
      <c r="F525" s="30"/>
      <c r="G525" s="31">
        <f>SUM(G526)</f>
        <v>1864.4</v>
      </c>
      <c r="H525" s="31">
        <f>SUM(H526)</f>
        <v>1313.1</v>
      </c>
      <c r="I525" s="31">
        <f t="shared" si="20"/>
        <v>70.43016520060073</v>
      </c>
    </row>
    <row r="526" spans="1:9" s="119" customFormat="1" ht="15">
      <c r="A526" s="27" t="s">
        <v>849</v>
      </c>
      <c r="B526" s="28"/>
      <c r="C526" s="45" t="s">
        <v>1</v>
      </c>
      <c r="D526" s="29" t="s">
        <v>713</v>
      </c>
      <c r="E526" s="29" t="s">
        <v>479</v>
      </c>
      <c r="F526" s="30" t="s">
        <v>850</v>
      </c>
      <c r="G526" s="31">
        <f>1404.4+460</f>
        <v>1864.4</v>
      </c>
      <c r="H526" s="31">
        <v>1313.1</v>
      </c>
      <c r="I526" s="31">
        <f t="shared" si="20"/>
        <v>70.43016520060073</v>
      </c>
    </row>
    <row r="527" spans="1:9" s="119" customFormat="1" ht="42.75">
      <c r="A527" s="135" t="s">
        <v>480</v>
      </c>
      <c r="B527" s="28"/>
      <c r="C527" s="45" t="s">
        <v>1</v>
      </c>
      <c r="D527" s="29" t="s">
        <v>713</v>
      </c>
      <c r="E527" s="29" t="s">
        <v>481</v>
      </c>
      <c r="F527" s="30"/>
      <c r="G527" s="31">
        <f>SUM(G528)</f>
        <v>8942.3</v>
      </c>
      <c r="H527" s="31">
        <f>SUM(H528)</f>
        <v>6301</v>
      </c>
      <c r="I527" s="31">
        <f t="shared" si="20"/>
        <v>70.46285631213448</v>
      </c>
    </row>
    <row r="528" spans="1:9" s="119" customFormat="1" ht="18" customHeight="1">
      <c r="A528" s="27" t="s">
        <v>849</v>
      </c>
      <c r="B528" s="28"/>
      <c r="C528" s="45" t="s">
        <v>1</v>
      </c>
      <c r="D528" s="29" t="s">
        <v>713</v>
      </c>
      <c r="E528" s="29" t="s">
        <v>481</v>
      </c>
      <c r="F528" s="30" t="s">
        <v>850</v>
      </c>
      <c r="G528" s="31">
        <v>8942.3</v>
      </c>
      <c r="H528" s="31">
        <v>6301</v>
      </c>
      <c r="I528" s="31">
        <f t="shared" si="20"/>
        <v>70.46285631213448</v>
      </c>
    </row>
    <row r="529" spans="1:9" s="119" customFormat="1" ht="37.5" customHeight="1" hidden="1">
      <c r="A529" s="27"/>
      <c r="B529" s="28"/>
      <c r="C529" s="45"/>
      <c r="D529" s="29"/>
      <c r="E529" s="29"/>
      <c r="F529" s="30"/>
      <c r="G529" s="31"/>
      <c r="H529" s="31"/>
      <c r="I529" s="31" t="e">
        <f t="shared" si="20"/>
        <v>#DIV/0!</v>
      </c>
    </row>
    <row r="530" spans="1:9" s="119" customFormat="1" ht="75.75" customHeight="1">
      <c r="A530" s="27" t="s">
        <v>659</v>
      </c>
      <c r="B530" s="28"/>
      <c r="C530" s="45" t="s">
        <v>1</v>
      </c>
      <c r="D530" s="29" t="s">
        <v>713</v>
      </c>
      <c r="E530" s="29" t="s">
        <v>483</v>
      </c>
      <c r="F530" s="30"/>
      <c r="G530" s="31">
        <f>SUM(G531)</f>
        <v>24992.399999999998</v>
      </c>
      <c r="H530" s="31">
        <f>SUM(H531)</f>
        <v>18786.9</v>
      </c>
      <c r="I530" s="31">
        <f t="shared" si="20"/>
        <v>75.17045181735249</v>
      </c>
    </row>
    <row r="531" spans="1:9" s="119" customFormat="1" ht="19.5" customHeight="1">
      <c r="A531" s="27" t="s">
        <v>849</v>
      </c>
      <c r="B531" s="28"/>
      <c r="C531" s="45" t="s">
        <v>1</v>
      </c>
      <c r="D531" s="29" t="s">
        <v>713</v>
      </c>
      <c r="E531" s="29" t="s">
        <v>483</v>
      </c>
      <c r="F531" s="30" t="s">
        <v>850</v>
      </c>
      <c r="G531" s="31">
        <f>22290.1+2702.3</f>
        <v>24992.399999999998</v>
      </c>
      <c r="H531" s="31">
        <v>18786.9</v>
      </c>
      <c r="I531" s="31">
        <f t="shared" si="20"/>
        <v>75.17045181735249</v>
      </c>
    </row>
    <row r="532" spans="1:9" s="119" customFormat="1" ht="88.5" customHeight="1">
      <c r="A532" s="27" t="s">
        <v>660</v>
      </c>
      <c r="B532" s="28"/>
      <c r="C532" s="45" t="s">
        <v>1</v>
      </c>
      <c r="D532" s="29" t="s">
        <v>713</v>
      </c>
      <c r="E532" s="29" t="s">
        <v>485</v>
      </c>
      <c r="F532" s="30"/>
      <c r="G532" s="31">
        <f>SUM(G533)</f>
        <v>18263.999999999996</v>
      </c>
      <c r="H532" s="31">
        <f>SUM(H533)</f>
        <v>15760.4</v>
      </c>
      <c r="I532" s="31">
        <f t="shared" si="20"/>
        <v>86.29215943933423</v>
      </c>
    </row>
    <row r="533" spans="1:9" s="119" customFormat="1" ht="19.5" customHeight="1">
      <c r="A533" s="27" t="s">
        <v>849</v>
      </c>
      <c r="B533" s="28"/>
      <c r="C533" s="45" t="s">
        <v>1</v>
      </c>
      <c r="D533" s="29" t="s">
        <v>713</v>
      </c>
      <c r="E533" s="29" t="s">
        <v>485</v>
      </c>
      <c r="F533" s="30" t="s">
        <v>850</v>
      </c>
      <c r="G533" s="31">
        <f>47168.2-29143.2+239</f>
        <v>18263.999999999996</v>
      </c>
      <c r="H533" s="31">
        <v>15760.4</v>
      </c>
      <c r="I533" s="31">
        <f t="shared" si="20"/>
        <v>86.29215943933423</v>
      </c>
    </row>
    <row r="534" spans="1:9" s="119" customFormat="1" ht="89.25" customHeight="1">
      <c r="A534" s="27" t="s">
        <v>494</v>
      </c>
      <c r="B534" s="28"/>
      <c r="C534" s="45" t="s">
        <v>1</v>
      </c>
      <c r="D534" s="29" t="s">
        <v>713</v>
      </c>
      <c r="E534" s="29" t="s">
        <v>495</v>
      </c>
      <c r="F534" s="30"/>
      <c r="G534" s="31">
        <f>SUM(G535)</f>
        <v>61767.100000000006</v>
      </c>
      <c r="H534" s="31">
        <f>SUM(H535)</f>
        <v>40636.1</v>
      </c>
      <c r="I534" s="31">
        <f t="shared" si="20"/>
        <v>65.78923083648091</v>
      </c>
    </row>
    <row r="535" spans="1:9" s="119" customFormat="1" ht="21.75" customHeight="1">
      <c r="A535" s="27" t="s">
        <v>849</v>
      </c>
      <c r="B535" s="28"/>
      <c r="C535" s="45" t="s">
        <v>1</v>
      </c>
      <c r="D535" s="29" t="s">
        <v>713</v>
      </c>
      <c r="E535" s="29" t="s">
        <v>495</v>
      </c>
      <c r="F535" s="30" t="s">
        <v>850</v>
      </c>
      <c r="G535" s="31">
        <f>42514.9+19252.2</f>
        <v>61767.100000000006</v>
      </c>
      <c r="H535" s="31">
        <v>40636.1</v>
      </c>
      <c r="I535" s="31">
        <f t="shared" si="20"/>
        <v>65.78923083648091</v>
      </c>
    </row>
    <row r="536" spans="1:9" s="119" customFormat="1" ht="48.75" customHeight="1">
      <c r="A536" s="27" t="s">
        <v>496</v>
      </c>
      <c r="B536" s="28"/>
      <c r="C536" s="45" t="s">
        <v>1</v>
      </c>
      <c r="D536" s="29" t="s">
        <v>713</v>
      </c>
      <c r="E536" s="29" t="s">
        <v>497</v>
      </c>
      <c r="F536" s="30"/>
      <c r="G536" s="31">
        <f>SUM(G537)</f>
        <v>4349.5</v>
      </c>
      <c r="H536" s="31">
        <f>SUM(H537)</f>
        <v>191.3</v>
      </c>
      <c r="I536" s="31">
        <f t="shared" si="20"/>
        <v>4.398206690424187</v>
      </c>
    </row>
    <row r="537" spans="1:9" s="119" customFormat="1" ht="19.5" customHeight="1">
      <c r="A537" s="27" t="s">
        <v>849</v>
      </c>
      <c r="B537" s="28"/>
      <c r="C537" s="45" t="s">
        <v>1</v>
      </c>
      <c r="D537" s="29" t="s">
        <v>713</v>
      </c>
      <c r="E537" s="29" t="s">
        <v>497</v>
      </c>
      <c r="F537" s="30" t="s">
        <v>850</v>
      </c>
      <c r="G537" s="31">
        <f>6681.7-2332.2</f>
        <v>4349.5</v>
      </c>
      <c r="H537" s="31">
        <v>191.3</v>
      </c>
      <c r="I537" s="31">
        <f t="shared" si="20"/>
        <v>4.398206690424187</v>
      </c>
    </row>
    <row r="538" spans="1:9" s="119" customFormat="1" ht="60" customHeight="1">
      <c r="A538" s="27" t="s">
        <v>498</v>
      </c>
      <c r="B538" s="28"/>
      <c r="C538" s="45" t="s">
        <v>1</v>
      </c>
      <c r="D538" s="29" t="s">
        <v>713</v>
      </c>
      <c r="E538" s="29" t="s">
        <v>499</v>
      </c>
      <c r="F538" s="30"/>
      <c r="G538" s="31">
        <f>SUM(G539)</f>
        <v>6790.5</v>
      </c>
      <c r="H538" s="31">
        <f>SUM(H539)</f>
        <v>4180.7</v>
      </c>
      <c r="I538" s="31">
        <f t="shared" si="20"/>
        <v>61.566894926735884</v>
      </c>
    </row>
    <row r="539" spans="1:9" s="119" customFormat="1" ht="19.5" customHeight="1">
      <c r="A539" s="27" t="s">
        <v>849</v>
      </c>
      <c r="B539" s="28"/>
      <c r="C539" s="45" t="s">
        <v>1</v>
      </c>
      <c r="D539" s="29" t="s">
        <v>713</v>
      </c>
      <c r="E539" s="29" t="s">
        <v>499</v>
      </c>
      <c r="F539" s="30" t="s">
        <v>850</v>
      </c>
      <c r="G539" s="31">
        <f>5885.5+905</f>
        <v>6790.5</v>
      </c>
      <c r="H539" s="31">
        <v>4180.7</v>
      </c>
      <c r="I539" s="31">
        <f t="shared" si="20"/>
        <v>61.566894926735884</v>
      </c>
    </row>
    <row r="540" spans="1:9" s="119" customFormat="1" ht="44.25" customHeight="1" hidden="1">
      <c r="A540" s="27" t="s">
        <v>468</v>
      </c>
      <c r="B540" s="28"/>
      <c r="C540" s="45" t="s">
        <v>1</v>
      </c>
      <c r="D540" s="29" t="s">
        <v>713</v>
      </c>
      <c r="E540" s="29" t="s">
        <v>500</v>
      </c>
      <c r="F540" s="30"/>
      <c r="G540" s="31">
        <f>SUM(G541)</f>
        <v>0</v>
      </c>
      <c r="H540" s="31">
        <f>SUM(H541)</f>
        <v>0</v>
      </c>
      <c r="I540" s="31" t="e">
        <f t="shared" si="20"/>
        <v>#DIV/0!</v>
      </c>
    </row>
    <row r="541" spans="1:9" s="119" customFormat="1" ht="19.5" customHeight="1" hidden="1">
      <c r="A541" s="27" t="s">
        <v>849</v>
      </c>
      <c r="B541" s="28"/>
      <c r="C541" s="45" t="s">
        <v>1</v>
      </c>
      <c r="D541" s="29" t="s">
        <v>713</v>
      </c>
      <c r="E541" s="29" t="s">
        <v>500</v>
      </c>
      <c r="F541" s="30" t="s">
        <v>850</v>
      </c>
      <c r="G541" s="31"/>
      <c r="H541" s="31"/>
      <c r="I541" s="31" t="e">
        <f t="shared" si="20"/>
        <v>#DIV/0!</v>
      </c>
    </row>
    <row r="542" spans="1:9" s="119" customFormat="1" ht="116.25" customHeight="1" hidden="1">
      <c r="A542" s="27" t="s">
        <v>501</v>
      </c>
      <c r="B542" s="28"/>
      <c r="C542" s="45" t="s">
        <v>1</v>
      </c>
      <c r="D542" s="29" t="s">
        <v>713</v>
      </c>
      <c r="E542" s="29" t="s">
        <v>502</v>
      </c>
      <c r="F542" s="30"/>
      <c r="G542" s="31">
        <f>SUM(G543)</f>
        <v>0</v>
      </c>
      <c r="H542" s="31">
        <f>SUM(H543)</f>
        <v>0</v>
      </c>
      <c r="I542" s="31" t="e">
        <f t="shared" si="20"/>
        <v>#DIV/0!</v>
      </c>
    </row>
    <row r="543" spans="1:9" s="119" customFormat="1" ht="19.5" customHeight="1" hidden="1">
      <c r="A543" s="27" t="s">
        <v>849</v>
      </c>
      <c r="B543" s="28"/>
      <c r="C543" s="45" t="s">
        <v>1</v>
      </c>
      <c r="D543" s="29" t="s">
        <v>713</v>
      </c>
      <c r="E543" s="29" t="s">
        <v>502</v>
      </c>
      <c r="F543" s="30" t="s">
        <v>850</v>
      </c>
      <c r="G543" s="31"/>
      <c r="H543" s="31"/>
      <c r="I543" s="31" t="e">
        <f t="shared" si="20"/>
        <v>#DIV/0!</v>
      </c>
    </row>
    <row r="544" spans="1:9" ht="18" customHeight="1">
      <c r="A544" s="134" t="s">
        <v>503</v>
      </c>
      <c r="B544" s="104"/>
      <c r="C544" s="67" t="s">
        <v>1</v>
      </c>
      <c r="D544" s="67" t="s">
        <v>713</v>
      </c>
      <c r="E544" s="67" t="s">
        <v>504</v>
      </c>
      <c r="F544" s="34"/>
      <c r="G544" s="31">
        <f>SUM(G545)</f>
        <v>27897</v>
      </c>
      <c r="H544" s="31">
        <f>SUM(H545)</f>
        <v>16724.6</v>
      </c>
      <c r="I544" s="31">
        <f t="shared" si="20"/>
        <v>59.95124923826934</v>
      </c>
    </row>
    <row r="545" spans="1:9" ht="16.5" customHeight="1">
      <c r="A545" s="27" t="s">
        <v>849</v>
      </c>
      <c r="B545" s="104"/>
      <c r="C545" s="67" t="s">
        <v>1</v>
      </c>
      <c r="D545" s="67" t="s">
        <v>713</v>
      </c>
      <c r="E545" s="67" t="s">
        <v>504</v>
      </c>
      <c r="F545" s="34" t="s">
        <v>850</v>
      </c>
      <c r="G545" s="31">
        <v>27897</v>
      </c>
      <c r="H545" s="31">
        <v>16724.6</v>
      </c>
      <c r="I545" s="31">
        <f t="shared" si="20"/>
        <v>59.95124923826934</v>
      </c>
    </row>
    <row r="546" spans="1:9" ht="16.5" customHeight="1">
      <c r="A546" s="27" t="s">
        <v>505</v>
      </c>
      <c r="B546" s="104"/>
      <c r="C546" s="67" t="s">
        <v>1</v>
      </c>
      <c r="D546" s="67" t="s">
        <v>713</v>
      </c>
      <c r="E546" s="67" t="s">
        <v>506</v>
      </c>
      <c r="F546" s="34"/>
      <c r="G546" s="31">
        <f>SUM(G547)</f>
        <v>6044.1</v>
      </c>
      <c r="H546" s="31">
        <f>SUM(H547)</f>
        <v>4118.3</v>
      </c>
      <c r="I546" s="31">
        <f aca="true" t="shared" si="22" ref="I546:I609">SUM(H546/G546*100)</f>
        <v>68.13752254264489</v>
      </c>
    </row>
    <row r="547" spans="1:9" ht="15.75" customHeight="1">
      <c r="A547" s="27" t="s">
        <v>849</v>
      </c>
      <c r="B547" s="104"/>
      <c r="C547" s="67" t="s">
        <v>1</v>
      </c>
      <c r="D547" s="67" t="s">
        <v>713</v>
      </c>
      <c r="E547" s="67" t="s">
        <v>506</v>
      </c>
      <c r="F547" s="34" t="s">
        <v>850</v>
      </c>
      <c r="G547" s="31">
        <v>6044.1</v>
      </c>
      <c r="H547" s="31">
        <v>4118.3</v>
      </c>
      <c r="I547" s="31">
        <f t="shared" si="22"/>
        <v>68.13752254264489</v>
      </c>
    </row>
    <row r="548" spans="1:9" ht="27" customHeight="1">
      <c r="A548" s="46" t="s">
        <v>511</v>
      </c>
      <c r="B548" s="28"/>
      <c r="C548" s="45" t="s">
        <v>1</v>
      </c>
      <c r="D548" s="45" t="s">
        <v>713</v>
      </c>
      <c r="E548" s="45" t="s">
        <v>512</v>
      </c>
      <c r="F548" s="33"/>
      <c r="G548" s="31">
        <f>SUM(G549)</f>
        <v>89.4</v>
      </c>
      <c r="H548" s="31">
        <f>SUM(H549)</f>
        <v>12.8</v>
      </c>
      <c r="I548" s="31">
        <f t="shared" si="22"/>
        <v>14.317673378076062</v>
      </c>
    </row>
    <row r="549" spans="1:9" ht="29.25" customHeight="1">
      <c r="A549" s="27" t="s">
        <v>849</v>
      </c>
      <c r="B549" s="28"/>
      <c r="C549" s="45" t="s">
        <v>1</v>
      </c>
      <c r="D549" s="45" t="s">
        <v>713</v>
      </c>
      <c r="E549" s="45" t="s">
        <v>512</v>
      </c>
      <c r="F549" s="33" t="s">
        <v>850</v>
      </c>
      <c r="G549" s="31">
        <v>89.4</v>
      </c>
      <c r="H549" s="31">
        <v>12.8</v>
      </c>
      <c r="I549" s="31">
        <f t="shared" si="22"/>
        <v>14.317673378076062</v>
      </c>
    </row>
    <row r="550" spans="1:9" ht="28.5" customHeight="1">
      <c r="A550" s="92" t="s">
        <v>513</v>
      </c>
      <c r="B550" s="28"/>
      <c r="C550" s="45" t="s">
        <v>1</v>
      </c>
      <c r="D550" s="45" t="s">
        <v>713</v>
      </c>
      <c r="E550" s="45" t="s">
        <v>514</v>
      </c>
      <c r="F550" s="33"/>
      <c r="G550" s="31">
        <f>SUM(G551)</f>
        <v>119472.20000000001</v>
      </c>
      <c r="H550" s="31">
        <f>SUM(H551)</f>
        <v>90050.4</v>
      </c>
      <c r="I550" s="31">
        <f t="shared" si="22"/>
        <v>75.37351785603678</v>
      </c>
    </row>
    <row r="551" spans="1:9" ht="19.5" customHeight="1">
      <c r="A551" s="27" t="s">
        <v>849</v>
      </c>
      <c r="B551" s="44"/>
      <c r="C551" s="45" t="s">
        <v>1</v>
      </c>
      <c r="D551" s="45" t="s">
        <v>713</v>
      </c>
      <c r="E551" s="45" t="s">
        <v>514</v>
      </c>
      <c r="F551" s="33" t="s">
        <v>850</v>
      </c>
      <c r="G551" s="31">
        <f>91759.6+27712.6</f>
        <v>119472.20000000001</v>
      </c>
      <c r="H551" s="31">
        <v>90050.4</v>
      </c>
      <c r="I551" s="31">
        <f t="shared" si="22"/>
        <v>75.37351785603678</v>
      </c>
    </row>
    <row r="552" spans="1:9" ht="45.75" customHeight="1">
      <c r="A552" s="32" t="s">
        <v>515</v>
      </c>
      <c r="B552" s="28"/>
      <c r="C552" s="45" t="s">
        <v>1</v>
      </c>
      <c r="D552" s="45" t="s">
        <v>713</v>
      </c>
      <c r="E552" s="45" t="s">
        <v>516</v>
      </c>
      <c r="F552" s="33"/>
      <c r="G552" s="31">
        <f>SUM(G553)</f>
        <v>81084.6</v>
      </c>
      <c r="H552" s="31">
        <f>SUM(H553)</f>
        <v>56493.7</v>
      </c>
      <c r="I552" s="31">
        <f t="shared" si="22"/>
        <v>69.67253954511706</v>
      </c>
    </row>
    <row r="553" spans="1:9" ht="18" customHeight="1">
      <c r="A553" s="27" t="s">
        <v>849</v>
      </c>
      <c r="B553" s="28"/>
      <c r="C553" s="45" t="s">
        <v>1</v>
      </c>
      <c r="D553" s="45" t="s">
        <v>713</v>
      </c>
      <c r="E553" s="45" t="s">
        <v>516</v>
      </c>
      <c r="F553" s="33" t="s">
        <v>850</v>
      </c>
      <c r="G553" s="31">
        <f>51289.3+40346-10550.7</f>
        <v>81084.6</v>
      </c>
      <c r="H553" s="31">
        <v>56493.7</v>
      </c>
      <c r="I553" s="31">
        <f t="shared" si="22"/>
        <v>69.67253954511706</v>
      </c>
    </row>
    <row r="554" spans="1:9" ht="28.5" customHeight="1">
      <c r="A554" s="27" t="s">
        <v>520</v>
      </c>
      <c r="B554" s="28"/>
      <c r="C554" s="45" t="s">
        <v>1</v>
      </c>
      <c r="D554" s="45" t="s">
        <v>713</v>
      </c>
      <c r="E554" s="45" t="s">
        <v>521</v>
      </c>
      <c r="F554" s="33"/>
      <c r="G554" s="31">
        <f>SUM(G555+G559+G561+G563+G565+G573+G571+G569+G577)</f>
        <v>249164.20000000004</v>
      </c>
      <c r="H554" s="31">
        <f>SUM(H555+H559+H561+H563+H565+H573+H571+H569+H577)</f>
        <v>182903.19999999998</v>
      </c>
      <c r="I554" s="31">
        <f t="shared" si="22"/>
        <v>73.40669325689643</v>
      </c>
    </row>
    <row r="555" spans="1:9" ht="29.25" customHeight="1">
      <c r="A555" s="46" t="s">
        <v>522</v>
      </c>
      <c r="B555" s="28"/>
      <c r="C555" s="45" t="s">
        <v>1</v>
      </c>
      <c r="D555" s="45" t="s">
        <v>713</v>
      </c>
      <c r="E555" s="45" t="s">
        <v>523</v>
      </c>
      <c r="F555" s="33"/>
      <c r="G555" s="31">
        <f>SUM(G556)</f>
        <v>50153.1</v>
      </c>
      <c r="H555" s="31">
        <f>SUM(H556)</f>
        <v>37224.7</v>
      </c>
      <c r="I555" s="31">
        <f t="shared" si="22"/>
        <v>74.22213183232941</v>
      </c>
    </row>
    <row r="556" spans="1:9" ht="18" customHeight="1">
      <c r="A556" s="27" t="s">
        <v>849</v>
      </c>
      <c r="B556" s="28"/>
      <c r="C556" s="45" t="s">
        <v>1</v>
      </c>
      <c r="D556" s="45" t="s">
        <v>713</v>
      </c>
      <c r="E556" s="45" t="s">
        <v>523</v>
      </c>
      <c r="F556" s="33" t="s">
        <v>850</v>
      </c>
      <c r="G556" s="31">
        <v>50153.1</v>
      </c>
      <c r="H556" s="31">
        <v>37224.7</v>
      </c>
      <c r="I556" s="31">
        <f t="shared" si="22"/>
        <v>74.22213183232941</v>
      </c>
    </row>
    <row r="557" spans="1:9" ht="71.25" hidden="1">
      <c r="A557" s="27" t="s">
        <v>524</v>
      </c>
      <c r="B557" s="36"/>
      <c r="C557" s="45" t="s">
        <v>1</v>
      </c>
      <c r="D557" s="29" t="s">
        <v>713</v>
      </c>
      <c r="E557" s="45" t="s">
        <v>525</v>
      </c>
      <c r="F557" s="30"/>
      <c r="G557" s="31"/>
      <c r="H557" s="31"/>
      <c r="I557" s="31" t="e">
        <f t="shared" si="22"/>
        <v>#DIV/0!</v>
      </c>
    </row>
    <row r="558" spans="1:9" ht="15" hidden="1">
      <c r="A558" s="27" t="s">
        <v>849</v>
      </c>
      <c r="B558" s="36"/>
      <c r="C558" s="45" t="s">
        <v>1</v>
      </c>
      <c r="D558" s="29" t="s">
        <v>713</v>
      </c>
      <c r="E558" s="45" t="s">
        <v>525</v>
      </c>
      <c r="F558" s="30" t="s">
        <v>850</v>
      </c>
      <c r="G558" s="31"/>
      <c r="H558" s="31"/>
      <c r="I558" s="31" t="e">
        <f t="shared" si="22"/>
        <v>#DIV/0!</v>
      </c>
    </row>
    <row r="559" spans="1:9" ht="99.75">
      <c r="A559" s="136" t="s">
        <v>489</v>
      </c>
      <c r="B559" s="36"/>
      <c r="C559" s="45" t="s">
        <v>1</v>
      </c>
      <c r="D559" s="29" t="s">
        <v>713</v>
      </c>
      <c r="E559" s="45" t="s">
        <v>527</v>
      </c>
      <c r="F559" s="30"/>
      <c r="G559" s="31">
        <f>SUM(G560)</f>
        <v>39335.5</v>
      </c>
      <c r="H559" s="31">
        <f>SUM(H560)</f>
        <v>29554</v>
      </c>
      <c r="I559" s="31">
        <f t="shared" si="22"/>
        <v>75.13314944515767</v>
      </c>
    </row>
    <row r="560" spans="1:9" ht="15">
      <c r="A560" s="27" t="s">
        <v>849</v>
      </c>
      <c r="B560" s="36"/>
      <c r="C560" s="45" t="s">
        <v>1</v>
      </c>
      <c r="D560" s="29" t="s">
        <v>713</v>
      </c>
      <c r="E560" s="45" t="s">
        <v>527</v>
      </c>
      <c r="F560" s="30" t="s">
        <v>850</v>
      </c>
      <c r="G560" s="31">
        <f>47369.5-2000-6034</f>
        <v>39335.5</v>
      </c>
      <c r="H560" s="31">
        <v>29554</v>
      </c>
      <c r="I560" s="31">
        <f t="shared" si="22"/>
        <v>75.13314944515767</v>
      </c>
    </row>
    <row r="561" spans="1:9" ht="99.75">
      <c r="A561" s="136" t="s">
        <v>490</v>
      </c>
      <c r="B561" s="36"/>
      <c r="C561" s="45" t="s">
        <v>1</v>
      </c>
      <c r="D561" s="29" t="s">
        <v>713</v>
      </c>
      <c r="E561" s="45" t="s">
        <v>529</v>
      </c>
      <c r="F561" s="30"/>
      <c r="G561" s="31">
        <f>SUM(G562)</f>
        <v>42198.8</v>
      </c>
      <c r="H561" s="31">
        <f>SUM(H562)</f>
        <v>37911</v>
      </c>
      <c r="I561" s="31">
        <f t="shared" si="22"/>
        <v>89.83904755585466</v>
      </c>
    </row>
    <row r="562" spans="1:9" ht="15">
      <c r="A562" s="27" t="s">
        <v>849</v>
      </c>
      <c r="B562" s="36"/>
      <c r="C562" s="45" t="s">
        <v>1</v>
      </c>
      <c r="D562" s="29" t="s">
        <v>713</v>
      </c>
      <c r="E562" s="45" t="s">
        <v>529</v>
      </c>
      <c r="F562" s="30" t="s">
        <v>850</v>
      </c>
      <c r="G562" s="31">
        <f>109336-67137.2</f>
        <v>42198.8</v>
      </c>
      <c r="H562" s="31">
        <v>37911</v>
      </c>
      <c r="I562" s="31">
        <f t="shared" si="22"/>
        <v>89.83904755585466</v>
      </c>
    </row>
    <row r="563" spans="1:9" ht="85.5" hidden="1">
      <c r="A563" s="27" t="s">
        <v>530</v>
      </c>
      <c r="B563" s="36"/>
      <c r="C563" s="45" t="s">
        <v>1</v>
      </c>
      <c r="D563" s="29" t="s">
        <v>713</v>
      </c>
      <c r="E563" s="45" t="s">
        <v>527</v>
      </c>
      <c r="F563" s="30"/>
      <c r="G563" s="31">
        <f>SUM(G564)</f>
        <v>0</v>
      </c>
      <c r="H563" s="31">
        <f>SUM(H564)</f>
        <v>0</v>
      </c>
      <c r="I563" s="31" t="e">
        <f t="shared" si="22"/>
        <v>#DIV/0!</v>
      </c>
    </row>
    <row r="564" spans="1:9" ht="15" hidden="1">
      <c r="A564" s="27" t="s">
        <v>849</v>
      </c>
      <c r="B564" s="36"/>
      <c r="C564" s="45" t="s">
        <v>1</v>
      </c>
      <c r="D564" s="29" t="s">
        <v>713</v>
      </c>
      <c r="E564" s="45" t="s">
        <v>527</v>
      </c>
      <c r="F564" s="30" t="s">
        <v>850</v>
      </c>
      <c r="G564" s="31"/>
      <c r="H564" s="31"/>
      <c r="I564" s="31" t="e">
        <f t="shared" si="22"/>
        <v>#DIV/0!</v>
      </c>
    </row>
    <row r="565" spans="1:9" ht="85.5" hidden="1">
      <c r="A565" s="27" t="s">
        <v>531</v>
      </c>
      <c r="B565" s="36"/>
      <c r="C565" s="45" t="s">
        <v>1</v>
      </c>
      <c r="D565" s="29" t="s">
        <v>713</v>
      </c>
      <c r="E565" s="45" t="s">
        <v>529</v>
      </c>
      <c r="F565" s="30"/>
      <c r="G565" s="31">
        <f>SUM(G566)</f>
        <v>0</v>
      </c>
      <c r="H565" s="31">
        <f>SUM(H566)</f>
        <v>0</v>
      </c>
      <c r="I565" s="31" t="e">
        <f t="shared" si="22"/>
        <v>#DIV/0!</v>
      </c>
    </row>
    <row r="566" spans="1:9" ht="15" hidden="1">
      <c r="A566" s="27" t="s">
        <v>849</v>
      </c>
      <c r="B566" s="36"/>
      <c r="C566" s="45" t="s">
        <v>1</v>
      </c>
      <c r="D566" s="29" t="s">
        <v>713</v>
      </c>
      <c r="E566" s="45" t="s">
        <v>529</v>
      </c>
      <c r="F566" s="30" t="s">
        <v>850</v>
      </c>
      <c r="G566" s="31"/>
      <c r="H566" s="31"/>
      <c r="I566" s="31" t="e">
        <f t="shared" si="22"/>
        <v>#DIV/0!</v>
      </c>
    </row>
    <row r="567" spans="1:9" ht="71.25" hidden="1">
      <c r="A567" s="46" t="s">
        <v>532</v>
      </c>
      <c r="B567" s="28"/>
      <c r="C567" s="45" t="s">
        <v>1</v>
      </c>
      <c r="D567" s="45" t="s">
        <v>713</v>
      </c>
      <c r="E567" s="45" t="s">
        <v>533</v>
      </c>
      <c r="F567" s="33"/>
      <c r="G567" s="31">
        <f>SUM(G568)</f>
        <v>8082.5</v>
      </c>
      <c r="H567" s="31">
        <f>SUM(H568)</f>
        <v>8082.5</v>
      </c>
      <c r="I567" s="31">
        <f t="shared" si="22"/>
        <v>100</v>
      </c>
    </row>
    <row r="568" spans="1:9" ht="15" hidden="1">
      <c r="A568" s="27" t="s">
        <v>849</v>
      </c>
      <c r="B568" s="28"/>
      <c r="C568" s="45" t="s">
        <v>1</v>
      </c>
      <c r="D568" s="45" t="s">
        <v>713</v>
      </c>
      <c r="E568" s="45" t="s">
        <v>533</v>
      </c>
      <c r="F568" s="33" t="s">
        <v>850</v>
      </c>
      <c r="G568" s="31">
        <v>8082.5</v>
      </c>
      <c r="H568" s="31">
        <v>8082.5</v>
      </c>
      <c r="I568" s="31">
        <f t="shared" si="22"/>
        <v>100</v>
      </c>
    </row>
    <row r="569" spans="1:9" ht="99.75">
      <c r="A569" s="27" t="s">
        <v>537</v>
      </c>
      <c r="B569" s="28"/>
      <c r="C569" s="45" t="s">
        <v>1</v>
      </c>
      <c r="D569" s="45" t="s">
        <v>713</v>
      </c>
      <c r="E569" s="45" t="s">
        <v>538</v>
      </c>
      <c r="F569" s="33"/>
      <c r="G569" s="31">
        <f>SUM(G570)</f>
        <v>106677.7</v>
      </c>
      <c r="H569" s="31">
        <f>SUM(H570)</f>
        <v>70381.4</v>
      </c>
      <c r="I569" s="31">
        <f t="shared" si="22"/>
        <v>65.9757381345867</v>
      </c>
    </row>
    <row r="570" spans="1:9" ht="15">
      <c r="A570" s="27" t="s">
        <v>849</v>
      </c>
      <c r="B570" s="28"/>
      <c r="C570" s="45" t="s">
        <v>1</v>
      </c>
      <c r="D570" s="45" t="s">
        <v>713</v>
      </c>
      <c r="E570" s="45" t="s">
        <v>538</v>
      </c>
      <c r="F570" s="33" t="s">
        <v>850</v>
      </c>
      <c r="G570" s="31">
        <f>79694.5+26983.2</f>
        <v>106677.7</v>
      </c>
      <c r="H570" s="31">
        <v>70381.4</v>
      </c>
      <c r="I570" s="31">
        <f t="shared" si="22"/>
        <v>65.9757381345867</v>
      </c>
    </row>
    <row r="571" spans="1:9" ht="99.75">
      <c r="A571" s="46" t="s">
        <v>539</v>
      </c>
      <c r="B571" s="28"/>
      <c r="C571" s="45" t="s">
        <v>1</v>
      </c>
      <c r="D571" s="45" t="s">
        <v>713</v>
      </c>
      <c r="E571" s="45" t="s">
        <v>540</v>
      </c>
      <c r="F571" s="33"/>
      <c r="G571" s="31">
        <f>SUM(G572)</f>
        <v>2332.6</v>
      </c>
      <c r="H571" s="31">
        <f>SUM(H572)</f>
        <v>1365.8</v>
      </c>
      <c r="I571" s="31">
        <f t="shared" si="22"/>
        <v>58.552687987653265</v>
      </c>
    </row>
    <row r="572" spans="1:9" ht="15">
      <c r="A572" s="27" t="s">
        <v>849</v>
      </c>
      <c r="B572" s="28"/>
      <c r="C572" s="45" t="s">
        <v>1</v>
      </c>
      <c r="D572" s="45" t="s">
        <v>713</v>
      </c>
      <c r="E572" s="45" t="s">
        <v>540</v>
      </c>
      <c r="F572" s="33" t="s">
        <v>850</v>
      </c>
      <c r="G572" s="31">
        <v>2332.6</v>
      </c>
      <c r="H572" s="31">
        <v>1365.8</v>
      </c>
      <c r="I572" s="31">
        <f t="shared" si="22"/>
        <v>58.552687987653265</v>
      </c>
    </row>
    <row r="573" spans="1:9" ht="128.25">
      <c r="A573" s="46" t="s">
        <v>491</v>
      </c>
      <c r="B573" s="28"/>
      <c r="C573" s="45" t="s">
        <v>1</v>
      </c>
      <c r="D573" s="45" t="s">
        <v>713</v>
      </c>
      <c r="E573" s="45" t="s">
        <v>541</v>
      </c>
      <c r="F573" s="33"/>
      <c r="G573" s="31">
        <f>SUM(G574)</f>
        <v>1503.5999999999995</v>
      </c>
      <c r="H573" s="31">
        <f>SUM(H574)</f>
        <v>1324.9</v>
      </c>
      <c r="I573" s="31">
        <f t="shared" si="22"/>
        <v>88.11519021016233</v>
      </c>
    </row>
    <row r="574" spans="1:9" ht="15">
      <c r="A574" s="27" t="s">
        <v>849</v>
      </c>
      <c r="B574" s="28"/>
      <c r="C574" s="45" t="s">
        <v>1</v>
      </c>
      <c r="D574" s="45" t="s">
        <v>713</v>
      </c>
      <c r="E574" s="45" t="s">
        <v>541</v>
      </c>
      <c r="F574" s="33" t="s">
        <v>850</v>
      </c>
      <c r="G574" s="31">
        <f>6058.9-4555.3</f>
        <v>1503.5999999999995</v>
      </c>
      <c r="H574" s="31">
        <v>1324.9</v>
      </c>
      <c r="I574" s="31">
        <f t="shared" si="22"/>
        <v>88.11519021016233</v>
      </c>
    </row>
    <row r="575" spans="1:9" ht="45.75" customHeight="1" hidden="1">
      <c r="A575" s="43" t="s">
        <v>505</v>
      </c>
      <c r="B575" s="44"/>
      <c r="C575" s="45" t="s">
        <v>1</v>
      </c>
      <c r="D575" s="45" t="s">
        <v>713</v>
      </c>
      <c r="E575" s="45" t="s">
        <v>542</v>
      </c>
      <c r="F575" s="33"/>
      <c r="G575" s="31">
        <f>SUM(G576)</f>
        <v>0</v>
      </c>
      <c r="H575" s="31">
        <f>SUM(H576)</f>
        <v>0</v>
      </c>
      <c r="I575" s="31" t="e">
        <f t="shared" si="22"/>
        <v>#DIV/0!</v>
      </c>
    </row>
    <row r="576" spans="1:9" ht="18" customHeight="1" hidden="1">
      <c r="A576" s="43" t="s">
        <v>849</v>
      </c>
      <c r="B576" s="44"/>
      <c r="C576" s="45" t="s">
        <v>1</v>
      </c>
      <c r="D576" s="45" t="s">
        <v>713</v>
      </c>
      <c r="E576" s="45" t="s">
        <v>542</v>
      </c>
      <c r="F576" s="33" t="s">
        <v>850</v>
      </c>
      <c r="G576" s="31"/>
      <c r="H576" s="31"/>
      <c r="I576" s="31" t="e">
        <f t="shared" si="22"/>
        <v>#DIV/0!</v>
      </c>
    </row>
    <row r="577" spans="1:9" ht="130.5" customHeight="1">
      <c r="A577" s="43" t="s">
        <v>543</v>
      </c>
      <c r="B577" s="44"/>
      <c r="C577" s="45" t="s">
        <v>1</v>
      </c>
      <c r="D577" s="45" t="s">
        <v>713</v>
      </c>
      <c r="E577" s="45" t="s">
        <v>544</v>
      </c>
      <c r="F577" s="33"/>
      <c r="G577" s="31">
        <f>SUM(G578)</f>
        <v>6962.9</v>
      </c>
      <c r="H577" s="31">
        <f>SUM(H578)</f>
        <v>5141.4</v>
      </c>
      <c r="I577" s="31">
        <f t="shared" si="22"/>
        <v>73.8399230205805</v>
      </c>
    </row>
    <row r="578" spans="1:9" ht="18" customHeight="1">
      <c r="A578" s="27" t="s">
        <v>849</v>
      </c>
      <c r="B578" s="44"/>
      <c r="C578" s="45" t="s">
        <v>1</v>
      </c>
      <c r="D578" s="45" t="s">
        <v>713</v>
      </c>
      <c r="E578" s="45" t="s">
        <v>544</v>
      </c>
      <c r="F578" s="33" t="s">
        <v>850</v>
      </c>
      <c r="G578" s="31">
        <v>6962.9</v>
      </c>
      <c r="H578" s="31">
        <v>5141.4</v>
      </c>
      <c r="I578" s="31">
        <f t="shared" si="22"/>
        <v>73.8399230205805</v>
      </c>
    </row>
    <row r="579" spans="1:9" ht="17.25" customHeight="1">
      <c r="A579" s="27" t="s">
        <v>547</v>
      </c>
      <c r="B579" s="28"/>
      <c r="C579" s="45" t="s">
        <v>1</v>
      </c>
      <c r="D579" s="29" t="s">
        <v>713</v>
      </c>
      <c r="E579" s="29" t="s">
        <v>548</v>
      </c>
      <c r="F579" s="33"/>
      <c r="G579" s="31">
        <f>SUM(G580)</f>
        <v>1544.5</v>
      </c>
      <c r="H579" s="31">
        <f>SUM(H580)</f>
        <v>927.6</v>
      </c>
      <c r="I579" s="31">
        <f t="shared" si="22"/>
        <v>60.058271285205564</v>
      </c>
    </row>
    <row r="580" spans="1:9" ht="15" customHeight="1">
      <c r="A580" s="43" t="s">
        <v>549</v>
      </c>
      <c r="B580" s="28"/>
      <c r="C580" s="45" t="s">
        <v>1</v>
      </c>
      <c r="D580" s="29" t="s">
        <v>713</v>
      </c>
      <c r="E580" s="29" t="s">
        <v>550</v>
      </c>
      <c r="F580" s="33"/>
      <c r="G580" s="31">
        <f>SUM(G581:G581)</f>
        <v>1544.5</v>
      </c>
      <c r="H580" s="31">
        <f>SUM(H581:H581)</f>
        <v>927.6</v>
      </c>
      <c r="I580" s="31">
        <f t="shared" si="22"/>
        <v>60.058271285205564</v>
      </c>
    </row>
    <row r="581" spans="1:9" ht="15" customHeight="1">
      <c r="A581" s="27" t="s">
        <v>849</v>
      </c>
      <c r="B581" s="28"/>
      <c r="C581" s="45" t="s">
        <v>1</v>
      </c>
      <c r="D581" s="29" t="s">
        <v>713</v>
      </c>
      <c r="E581" s="29" t="s">
        <v>550</v>
      </c>
      <c r="F581" s="33" t="s">
        <v>850</v>
      </c>
      <c r="G581" s="31">
        <f>5288.5-3744</f>
        <v>1544.5</v>
      </c>
      <c r="H581" s="31">
        <v>927.6</v>
      </c>
      <c r="I581" s="31">
        <f t="shared" si="22"/>
        <v>60.058271285205564</v>
      </c>
    </row>
    <row r="582" spans="1:9" ht="15">
      <c r="A582" s="103" t="s">
        <v>767</v>
      </c>
      <c r="B582" s="28"/>
      <c r="C582" s="45" t="s">
        <v>1</v>
      </c>
      <c r="D582" s="45" t="s">
        <v>713</v>
      </c>
      <c r="E582" s="45" t="s">
        <v>768</v>
      </c>
      <c r="F582" s="33"/>
      <c r="G582" s="31">
        <f>SUM(G583)</f>
        <v>4460</v>
      </c>
      <c r="H582" s="31">
        <f>SUM(H583)</f>
        <v>3319.1</v>
      </c>
      <c r="I582" s="31">
        <f t="shared" si="22"/>
        <v>74.41928251121077</v>
      </c>
    </row>
    <row r="583" spans="1:9" ht="57">
      <c r="A583" s="103" t="s">
        <v>558</v>
      </c>
      <c r="B583" s="28"/>
      <c r="C583" s="45" t="s">
        <v>1</v>
      </c>
      <c r="D583" s="45" t="s">
        <v>713</v>
      </c>
      <c r="E583" s="45" t="s">
        <v>559</v>
      </c>
      <c r="F583" s="33"/>
      <c r="G583" s="31">
        <f>SUM(G584)</f>
        <v>4460</v>
      </c>
      <c r="H583" s="31">
        <f>SUM(H584)</f>
        <v>3319.1</v>
      </c>
      <c r="I583" s="31">
        <f t="shared" si="22"/>
        <v>74.41928251121077</v>
      </c>
    </row>
    <row r="584" spans="1:9" ht="18" customHeight="1">
      <c r="A584" s="32" t="s">
        <v>549</v>
      </c>
      <c r="B584" s="66"/>
      <c r="C584" s="45" t="s">
        <v>1</v>
      </c>
      <c r="D584" s="45" t="s">
        <v>713</v>
      </c>
      <c r="E584" s="45" t="s">
        <v>559</v>
      </c>
      <c r="F584" s="34" t="s">
        <v>560</v>
      </c>
      <c r="G584" s="31">
        <v>4460</v>
      </c>
      <c r="H584" s="31">
        <v>3319.1</v>
      </c>
      <c r="I584" s="31">
        <f t="shared" si="22"/>
        <v>74.41928251121077</v>
      </c>
    </row>
    <row r="585" spans="1:9" ht="15">
      <c r="A585" s="46" t="s">
        <v>564</v>
      </c>
      <c r="B585" s="28"/>
      <c r="C585" s="40" t="s">
        <v>1</v>
      </c>
      <c r="D585" s="105" t="s">
        <v>737</v>
      </c>
      <c r="E585" s="105"/>
      <c r="F585" s="59"/>
      <c r="G585" s="64">
        <f>SUM(G586+G589)</f>
        <v>24215.100000000002</v>
      </c>
      <c r="H585" s="64">
        <f>SUM(H586+H589)</f>
        <v>17205.399999999998</v>
      </c>
      <c r="I585" s="31">
        <f t="shared" si="22"/>
        <v>71.05235989114229</v>
      </c>
    </row>
    <row r="586" spans="1:9" ht="15" hidden="1">
      <c r="A586" s="46" t="s">
        <v>464</v>
      </c>
      <c r="B586" s="28"/>
      <c r="C586" s="40" t="s">
        <v>1</v>
      </c>
      <c r="D586" s="105" t="s">
        <v>737</v>
      </c>
      <c r="E586" s="105" t="s">
        <v>465</v>
      </c>
      <c r="F586" s="59"/>
      <c r="G586" s="31">
        <f>SUM(G587)</f>
        <v>0</v>
      </c>
      <c r="H586" s="31">
        <f>SUM(H587)</f>
        <v>0</v>
      </c>
      <c r="I586" s="31" t="e">
        <f t="shared" si="22"/>
        <v>#DIV/0!</v>
      </c>
    </row>
    <row r="587" spans="1:9" ht="18" customHeight="1" hidden="1">
      <c r="A587" s="103" t="s">
        <v>565</v>
      </c>
      <c r="B587" s="28"/>
      <c r="C587" s="40" t="s">
        <v>1</v>
      </c>
      <c r="D587" s="105" t="s">
        <v>737</v>
      </c>
      <c r="E587" s="105" t="s">
        <v>566</v>
      </c>
      <c r="F587" s="59"/>
      <c r="G587" s="31">
        <f>SUM(G588)</f>
        <v>0</v>
      </c>
      <c r="H587" s="31">
        <f>SUM(H588)</f>
        <v>0</v>
      </c>
      <c r="I587" s="31" t="e">
        <f t="shared" si="22"/>
        <v>#DIV/0!</v>
      </c>
    </row>
    <row r="588" spans="1:9" ht="18" customHeight="1" hidden="1">
      <c r="A588" s="103" t="s">
        <v>849</v>
      </c>
      <c r="B588" s="28"/>
      <c r="C588" s="40" t="s">
        <v>1</v>
      </c>
      <c r="D588" s="105" t="s">
        <v>737</v>
      </c>
      <c r="E588" s="105" t="s">
        <v>566</v>
      </c>
      <c r="F588" s="33" t="s">
        <v>850</v>
      </c>
      <c r="G588" s="31"/>
      <c r="H588" s="31"/>
      <c r="I588" s="31" t="e">
        <f t="shared" si="22"/>
        <v>#DIV/0!</v>
      </c>
    </row>
    <row r="589" spans="1:9" ht="28.5">
      <c r="A589" s="103" t="s">
        <v>567</v>
      </c>
      <c r="B589" s="28"/>
      <c r="C589" s="40" t="s">
        <v>1</v>
      </c>
      <c r="D589" s="105" t="s">
        <v>737</v>
      </c>
      <c r="E589" s="105" t="s">
        <v>298</v>
      </c>
      <c r="F589" s="33"/>
      <c r="G589" s="31">
        <f>SUM(G590)</f>
        <v>24215.100000000002</v>
      </c>
      <c r="H589" s="31">
        <f>SUM(H590)</f>
        <v>17205.399999999998</v>
      </c>
      <c r="I589" s="31">
        <f t="shared" si="22"/>
        <v>71.05235989114229</v>
      </c>
    </row>
    <row r="590" spans="1:9" ht="71.25">
      <c r="A590" s="43" t="s">
        <v>574</v>
      </c>
      <c r="B590" s="28"/>
      <c r="C590" s="40" t="s">
        <v>1</v>
      </c>
      <c r="D590" s="105" t="s">
        <v>737</v>
      </c>
      <c r="E590" s="105" t="s">
        <v>573</v>
      </c>
      <c r="F590" s="59"/>
      <c r="G590" s="31">
        <f>SUM(G595)+G596+G599+G591+G593</f>
        <v>24215.100000000002</v>
      </c>
      <c r="H590" s="31">
        <f>SUM(H595)+H596+H599+H591+H593</f>
        <v>17205.399999999998</v>
      </c>
      <c r="I590" s="31">
        <f t="shared" si="22"/>
        <v>71.05235989114229</v>
      </c>
    </row>
    <row r="591" spans="1:9" ht="28.5">
      <c r="A591" s="43" t="s">
        <v>575</v>
      </c>
      <c r="B591" s="28"/>
      <c r="C591" s="40" t="s">
        <v>1</v>
      </c>
      <c r="D591" s="40" t="s">
        <v>737</v>
      </c>
      <c r="E591" s="105" t="s">
        <v>576</v>
      </c>
      <c r="F591" s="125"/>
      <c r="G591" s="31">
        <f>SUM(G592)</f>
        <v>518</v>
      </c>
      <c r="H591" s="31">
        <f>SUM(H592)</f>
        <v>241.8</v>
      </c>
      <c r="I591" s="31">
        <f t="shared" si="22"/>
        <v>46.67953667953668</v>
      </c>
    </row>
    <row r="592" spans="1:9" ht="28.5">
      <c r="A592" s="43" t="s">
        <v>577</v>
      </c>
      <c r="B592" s="28"/>
      <c r="C592" s="40" t="s">
        <v>1</v>
      </c>
      <c r="D592" s="40" t="s">
        <v>737</v>
      </c>
      <c r="E592" s="105" t="s">
        <v>576</v>
      </c>
      <c r="F592" s="125" t="s">
        <v>578</v>
      </c>
      <c r="G592" s="31">
        <v>518</v>
      </c>
      <c r="H592" s="31">
        <v>241.8</v>
      </c>
      <c r="I592" s="31">
        <f t="shared" si="22"/>
        <v>46.67953667953668</v>
      </c>
    </row>
    <row r="593" spans="1:9" ht="15">
      <c r="A593" s="43" t="s">
        <v>579</v>
      </c>
      <c r="B593" s="28"/>
      <c r="C593" s="40" t="s">
        <v>1</v>
      </c>
      <c r="D593" s="40" t="s">
        <v>737</v>
      </c>
      <c r="E593" s="105" t="s">
        <v>580</v>
      </c>
      <c r="F593" s="125"/>
      <c r="G593" s="31">
        <f>SUM(G594)</f>
        <v>692.6999999999999</v>
      </c>
      <c r="H593" s="31">
        <f>SUM(H594)</f>
        <v>252</v>
      </c>
      <c r="I593" s="31">
        <f t="shared" si="22"/>
        <v>36.379385015158086</v>
      </c>
    </row>
    <row r="594" spans="1:9" ht="27.75" customHeight="1">
      <c r="A594" s="43" t="s">
        <v>577</v>
      </c>
      <c r="B594" s="28"/>
      <c r="C594" s="40" t="s">
        <v>1</v>
      </c>
      <c r="D594" s="40" t="s">
        <v>737</v>
      </c>
      <c r="E594" s="105" t="s">
        <v>580</v>
      </c>
      <c r="F594" s="125" t="s">
        <v>578</v>
      </c>
      <c r="G594" s="31">
        <f>670.4+22.3</f>
        <v>692.6999999999999</v>
      </c>
      <c r="H594" s="31">
        <v>252</v>
      </c>
      <c r="I594" s="31">
        <f t="shared" si="22"/>
        <v>36.379385015158086</v>
      </c>
    </row>
    <row r="595" spans="1:9" ht="28.5" hidden="1">
      <c r="A595" s="43" t="s">
        <v>581</v>
      </c>
      <c r="B595" s="28"/>
      <c r="C595" s="40" t="s">
        <v>1</v>
      </c>
      <c r="D595" s="40" t="s">
        <v>737</v>
      </c>
      <c r="E595" s="105" t="s">
        <v>582</v>
      </c>
      <c r="F595" s="125"/>
      <c r="G595" s="31">
        <f>SUM(G598)</f>
        <v>0</v>
      </c>
      <c r="H595" s="31">
        <f>SUM(H598)</f>
        <v>0</v>
      </c>
      <c r="I595" s="31" t="e">
        <f t="shared" si="22"/>
        <v>#DIV/0!</v>
      </c>
    </row>
    <row r="596" spans="1:9" ht="0.75" customHeight="1" hidden="1">
      <c r="A596" s="43" t="s">
        <v>581</v>
      </c>
      <c r="B596" s="28"/>
      <c r="C596" s="40" t="s">
        <v>1</v>
      </c>
      <c r="D596" s="40" t="s">
        <v>737</v>
      </c>
      <c r="E596" s="105" t="s">
        <v>582</v>
      </c>
      <c r="F596" s="125"/>
      <c r="G596" s="31">
        <f>SUM(G597)</f>
        <v>0</v>
      </c>
      <c r="H596" s="31">
        <f>SUM(H597)</f>
        <v>0</v>
      </c>
      <c r="I596" s="31" t="e">
        <f t="shared" si="22"/>
        <v>#DIV/0!</v>
      </c>
    </row>
    <row r="597" spans="1:9" ht="15" hidden="1">
      <c r="A597" s="43" t="s">
        <v>849</v>
      </c>
      <c r="B597" s="28"/>
      <c r="C597" s="40" t="s">
        <v>1</v>
      </c>
      <c r="D597" s="40" t="s">
        <v>737</v>
      </c>
      <c r="E597" s="105" t="s">
        <v>582</v>
      </c>
      <c r="F597" s="125" t="s">
        <v>850</v>
      </c>
      <c r="G597" s="31"/>
      <c r="H597" s="31"/>
      <c r="I597" s="31" t="e">
        <f t="shared" si="22"/>
        <v>#DIV/0!</v>
      </c>
    </row>
    <row r="598" spans="1:9" ht="28.5" hidden="1">
      <c r="A598" s="43" t="s">
        <v>577</v>
      </c>
      <c r="B598" s="28"/>
      <c r="C598" s="40" t="s">
        <v>1</v>
      </c>
      <c r="D598" s="40" t="s">
        <v>737</v>
      </c>
      <c r="E598" s="105" t="s">
        <v>582</v>
      </c>
      <c r="F598" s="125" t="s">
        <v>578</v>
      </c>
      <c r="G598" s="31"/>
      <c r="H598" s="31"/>
      <c r="I598" s="31" t="e">
        <f t="shared" si="22"/>
        <v>#DIV/0!</v>
      </c>
    </row>
    <row r="599" spans="1:9" ht="28.5">
      <c r="A599" s="43" t="s">
        <v>577</v>
      </c>
      <c r="B599" s="28"/>
      <c r="C599" s="40" t="s">
        <v>1</v>
      </c>
      <c r="D599" s="40" t="s">
        <v>737</v>
      </c>
      <c r="E599" s="105" t="s">
        <v>583</v>
      </c>
      <c r="F599" s="125"/>
      <c r="G599" s="31">
        <f>SUM(G600)</f>
        <v>23004.4</v>
      </c>
      <c r="H599" s="31">
        <f>SUM(H600)</f>
        <v>16711.6</v>
      </c>
      <c r="I599" s="31">
        <f t="shared" si="22"/>
        <v>72.64523308584444</v>
      </c>
    </row>
    <row r="600" spans="1:9" ht="57">
      <c r="A600" s="43" t="s">
        <v>584</v>
      </c>
      <c r="B600" s="28"/>
      <c r="C600" s="40" t="s">
        <v>1</v>
      </c>
      <c r="D600" s="40" t="s">
        <v>737</v>
      </c>
      <c r="E600" s="105" t="s">
        <v>583</v>
      </c>
      <c r="F600" s="125" t="s">
        <v>578</v>
      </c>
      <c r="G600" s="31">
        <f>25613.5-2609.1</f>
        <v>23004.4</v>
      </c>
      <c r="H600" s="31">
        <v>16711.6</v>
      </c>
      <c r="I600" s="31">
        <f t="shared" si="22"/>
        <v>72.64523308584444</v>
      </c>
    </row>
    <row r="601" spans="1:9" ht="20.25" customHeight="1">
      <c r="A601" s="38" t="s">
        <v>585</v>
      </c>
      <c r="B601" s="28"/>
      <c r="C601" s="105" t="s">
        <v>1</v>
      </c>
      <c r="D601" s="105" t="s">
        <v>776</v>
      </c>
      <c r="E601" s="105"/>
      <c r="F601" s="59"/>
      <c r="G601" s="64">
        <f>SUM(G602)</f>
        <v>21185.100000000002</v>
      </c>
      <c r="H601" s="64">
        <f>SUM(H602)</f>
        <v>15109.199999999999</v>
      </c>
      <c r="I601" s="31">
        <f t="shared" si="22"/>
        <v>71.31993712562131</v>
      </c>
    </row>
    <row r="602" spans="1:9" ht="42.75" customHeight="1">
      <c r="A602" s="32" t="s">
        <v>706</v>
      </c>
      <c r="B602" s="28"/>
      <c r="C602" s="29" t="s">
        <v>1</v>
      </c>
      <c r="D602" s="29" t="s">
        <v>776</v>
      </c>
      <c r="E602" s="29" t="s">
        <v>707</v>
      </c>
      <c r="F602" s="33"/>
      <c r="G602" s="31">
        <f>SUM(G603)</f>
        <v>21185.100000000002</v>
      </c>
      <c r="H602" s="31">
        <f>SUM(H603)</f>
        <v>15109.199999999999</v>
      </c>
      <c r="I602" s="31">
        <f t="shared" si="22"/>
        <v>71.31993712562131</v>
      </c>
    </row>
    <row r="603" spans="1:9" ht="15">
      <c r="A603" s="32" t="s">
        <v>714</v>
      </c>
      <c r="B603" s="28"/>
      <c r="C603" s="29" t="s">
        <v>1</v>
      </c>
      <c r="D603" s="29" t="s">
        <v>776</v>
      </c>
      <c r="E603" s="29" t="s">
        <v>716</v>
      </c>
      <c r="F603" s="33"/>
      <c r="G603" s="31">
        <f>SUM(G611+G605+G607+G613+G604)</f>
        <v>21185.100000000002</v>
      </c>
      <c r="H603" s="31">
        <f>SUM(H611+H605+H607+H613+H604)</f>
        <v>15109.199999999999</v>
      </c>
      <c r="I603" s="31">
        <f t="shared" si="22"/>
        <v>71.31993712562131</v>
      </c>
    </row>
    <row r="604" spans="1:9" ht="27.75" customHeight="1">
      <c r="A604" s="38" t="s">
        <v>710</v>
      </c>
      <c r="B604" s="137"/>
      <c r="C604" s="29" t="s">
        <v>1</v>
      </c>
      <c r="D604" s="29" t="s">
        <v>776</v>
      </c>
      <c r="E604" s="29" t="s">
        <v>716</v>
      </c>
      <c r="F604" s="209" t="s">
        <v>711</v>
      </c>
      <c r="G604" s="31">
        <v>375.8</v>
      </c>
      <c r="H604" s="31">
        <v>227.6</v>
      </c>
      <c r="I604" s="31">
        <f t="shared" si="22"/>
        <v>60.56412985630655</v>
      </c>
    </row>
    <row r="605" spans="1:9" ht="49.5" customHeight="1" hidden="1">
      <c r="A605" s="38" t="s">
        <v>586</v>
      </c>
      <c r="B605" s="137"/>
      <c r="C605" s="29" t="s">
        <v>1</v>
      </c>
      <c r="D605" s="29" t="s">
        <v>776</v>
      </c>
      <c r="E605" s="29" t="s">
        <v>587</v>
      </c>
      <c r="F605" s="209"/>
      <c r="G605" s="31">
        <f>SUM(G606)</f>
        <v>0</v>
      </c>
      <c r="H605" s="31">
        <f>SUM(H606)</f>
        <v>0</v>
      </c>
      <c r="I605" s="31" t="e">
        <f t="shared" si="22"/>
        <v>#DIV/0!</v>
      </c>
    </row>
    <row r="606" spans="1:9" ht="31.5" customHeight="1" hidden="1">
      <c r="A606" s="38" t="s">
        <v>710</v>
      </c>
      <c r="B606" s="137"/>
      <c r="C606" s="29" t="s">
        <v>1</v>
      </c>
      <c r="D606" s="29" t="s">
        <v>776</v>
      </c>
      <c r="E606" s="29" t="s">
        <v>587</v>
      </c>
      <c r="F606" s="209" t="s">
        <v>711</v>
      </c>
      <c r="G606" s="31"/>
      <c r="H606" s="31"/>
      <c r="I606" s="31" t="e">
        <f t="shared" si="22"/>
        <v>#DIV/0!</v>
      </c>
    </row>
    <row r="607" spans="1:9" s="124" customFormat="1" ht="32.25" customHeight="1">
      <c r="A607" s="38" t="s">
        <v>588</v>
      </c>
      <c r="B607" s="137"/>
      <c r="C607" s="29" t="s">
        <v>1</v>
      </c>
      <c r="D607" s="29" t="s">
        <v>776</v>
      </c>
      <c r="E607" s="29" t="s">
        <v>589</v>
      </c>
      <c r="F607" s="209"/>
      <c r="G607" s="31">
        <f>SUM(G608)</f>
        <v>3496.7</v>
      </c>
      <c r="H607" s="31">
        <f>SUM(H608)</f>
        <v>2507.7</v>
      </c>
      <c r="I607" s="31">
        <f t="shared" si="22"/>
        <v>71.71618955014728</v>
      </c>
    </row>
    <row r="608" spans="1:9" s="124" customFormat="1" ht="29.25" customHeight="1">
      <c r="A608" s="38" t="s">
        <v>710</v>
      </c>
      <c r="B608" s="63"/>
      <c r="C608" s="29" t="s">
        <v>1</v>
      </c>
      <c r="D608" s="29" t="s">
        <v>776</v>
      </c>
      <c r="E608" s="29" t="s">
        <v>589</v>
      </c>
      <c r="F608" s="209" t="s">
        <v>711</v>
      </c>
      <c r="G608" s="31">
        <f>3403+93.7</f>
        <v>3496.7</v>
      </c>
      <c r="H608" s="31">
        <v>2507.7</v>
      </c>
      <c r="I608" s="31">
        <f t="shared" si="22"/>
        <v>71.71618955014728</v>
      </c>
    </row>
    <row r="609" spans="1:9" s="124" customFormat="1" ht="45.75" customHeight="1" hidden="1">
      <c r="A609" s="38" t="s">
        <v>590</v>
      </c>
      <c r="B609" s="63"/>
      <c r="C609" s="29" t="s">
        <v>1</v>
      </c>
      <c r="D609" s="29" t="s">
        <v>776</v>
      </c>
      <c r="E609" s="29" t="s">
        <v>591</v>
      </c>
      <c r="F609" s="209"/>
      <c r="G609" s="31"/>
      <c r="H609" s="31"/>
      <c r="I609" s="31" t="e">
        <f t="shared" si="22"/>
        <v>#DIV/0!</v>
      </c>
    </row>
    <row r="610" spans="1:9" ht="15.75" customHeight="1" hidden="1">
      <c r="A610" s="38" t="s">
        <v>710</v>
      </c>
      <c r="B610" s="137"/>
      <c r="C610" s="29" t="s">
        <v>1</v>
      </c>
      <c r="D610" s="29" t="s">
        <v>776</v>
      </c>
      <c r="E610" s="29" t="s">
        <v>591</v>
      </c>
      <c r="F610" s="209" t="s">
        <v>711</v>
      </c>
      <c r="G610" s="31">
        <f>2956.3+101.6</f>
        <v>3057.9</v>
      </c>
      <c r="H610" s="31">
        <f>2956.3+101.6</f>
        <v>3057.9</v>
      </c>
      <c r="I610" s="31">
        <f aca="true" t="shared" si="23" ref="I610:I615">SUM(H610/G610*100)</f>
        <v>100</v>
      </c>
    </row>
    <row r="611" spans="1:9" ht="49.5" customHeight="1">
      <c r="A611" s="38" t="s">
        <v>586</v>
      </c>
      <c r="B611" s="137"/>
      <c r="C611" s="29" t="s">
        <v>1</v>
      </c>
      <c r="D611" s="29" t="s">
        <v>776</v>
      </c>
      <c r="E611" s="29" t="s">
        <v>587</v>
      </c>
      <c r="F611" s="209"/>
      <c r="G611" s="31">
        <f>SUM(G612)</f>
        <v>14332.900000000001</v>
      </c>
      <c r="H611" s="31">
        <f>SUM(H612)</f>
        <v>10267.1</v>
      </c>
      <c r="I611" s="31">
        <f t="shared" si="23"/>
        <v>71.63309588429418</v>
      </c>
    </row>
    <row r="612" spans="1:9" ht="31.5" customHeight="1">
      <c r="A612" s="38" t="s">
        <v>710</v>
      </c>
      <c r="B612" s="137"/>
      <c r="C612" s="29" t="s">
        <v>1</v>
      </c>
      <c r="D612" s="29" t="s">
        <v>776</v>
      </c>
      <c r="E612" s="29" t="s">
        <v>587</v>
      </c>
      <c r="F612" s="209" t="s">
        <v>711</v>
      </c>
      <c r="G612" s="31">
        <f>13860.2+379.2+93.5</f>
        <v>14332.900000000001</v>
      </c>
      <c r="H612" s="31">
        <v>10267.1</v>
      </c>
      <c r="I612" s="31">
        <f t="shared" si="23"/>
        <v>71.63309588429418</v>
      </c>
    </row>
    <row r="613" spans="1:9" s="124" customFormat="1" ht="45.75" customHeight="1">
      <c r="A613" s="38" t="s">
        <v>590</v>
      </c>
      <c r="B613" s="63"/>
      <c r="C613" s="29" t="s">
        <v>1</v>
      </c>
      <c r="D613" s="29" t="s">
        <v>776</v>
      </c>
      <c r="E613" s="29" t="s">
        <v>592</v>
      </c>
      <c r="F613" s="209"/>
      <c r="G613" s="31">
        <f>SUM(G614)</f>
        <v>2979.7000000000003</v>
      </c>
      <c r="H613" s="31">
        <f>SUM(H614)</f>
        <v>2106.8</v>
      </c>
      <c r="I613" s="31">
        <f t="shared" si="23"/>
        <v>70.70510454072557</v>
      </c>
    </row>
    <row r="614" spans="1:9" ht="32.25" customHeight="1">
      <c r="A614" s="38" t="s">
        <v>710</v>
      </c>
      <c r="B614" s="137"/>
      <c r="C614" s="29" t="s">
        <v>1</v>
      </c>
      <c r="D614" s="29" t="s">
        <v>776</v>
      </c>
      <c r="E614" s="29" t="s">
        <v>592</v>
      </c>
      <c r="F614" s="209" t="s">
        <v>711</v>
      </c>
      <c r="G614" s="31">
        <f>2895.9+83.8</f>
        <v>2979.7000000000003</v>
      </c>
      <c r="H614" s="31">
        <v>2106.8</v>
      </c>
      <c r="I614" s="31">
        <f t="shared" si="23"/>
        <v>70.70510454072557</v>
      </c>
    </row>
    <row r="615" spans="1:9" ht="30.75" customHeight="1">
      <c r="A615" s="197" t="s">
        <v>487</v>
      </c>
      <c r="B615" s="118" t="s">
        <v>661</v>
      </c>
      <c r="C615" s="55"/>
      <c r="D615" s="116"/>
      <c r="E615" s="116"/>
      <c r="F615" s="117"/>
      <c r="G615" s="199">
        <f>SUM(G616+G628+G644+G666)</f>
        <v>82169.59999999999</v>
      </c>
      <c r="H615" s="199" t="e">
        <f>SUM(H661+#REF!)</f>
        <v>#REF!</v>
      </c>
      <c r="I615" s="31" t="e">
        <f t="shared" si="23"/>
        <v>#REF!</v>
      </c>
    </row>
    <row r="616" spans="1:9" ht="18.75" customHeight="1">
      <c r="A616" s="27" t="s">
        <v>702</v>
      </c>
      <c r="B616" s="28"/>
      <c r="C616" s="29" t="s">
        <v>703</v>
      </c>
      <c r="D616" s="29"/>
      <c r="E616" s="29"/>
      <c r="F616" s="30"/>
      <c r="G616" s="31">
        <f>SUM(G617+G621)</f>
        <v>5213.6</v>
      </c>
      <c r="H616" s="199"/>
      <c r="I616" s="31"/>
    </row>
    <row r="617" spans="1:9" ht="30.75" customHeight="1">
      <c r="A617" s="32" t="s">
        <v>754</v>
      </c>
      <c r="B617" s="28"/>
      <c r="C617" s="29" t="s">
        <v>703</v>
      </c>
      <c r="D617" s="29" t="s">
        <v>737</v>
      </c>
      <c r="E617" s="29"/>
      <c r="F617" s="30"/>
      <c r="G617" s="31">
        <f>SUM(G618)</f>
        <v>4082.6</v>
      </c>
      <c r="H617" s="199"/>
      <c r="I617" s="31"/>
    </row>
    <row r="618" spans="1:9" ht="30.75" customHeight="1">
      <c r="A618" s="32" t="s">
        <v>706</v>
      </c>
      <c r="B618" s="28"/>
      <c r="C618" s="29" t="s">
        <v>703</v>
      </c>
      <c r="D618" s="29" t="s">
        <v>737</v>
      </c>
      <c r="E618" s="29" t="s">
        <v>707</v>
      </c>
      <c r="F618" s="33"/>
      <c r="G618" s="31">
        <f>SUM(G619)</f>
        <v>4082.6</v>
      </c>
      <c r="H618" s="199"/>
      <c r="I618" s="31"/>
    </row>
    <row r="619" spans="1:9" ht="20.25" customHeight="1">
      <c r="A619" s="32" t="s">
        <v>714</v>
      </c>
      <c r="B619" s="28"/>
      <c r="C619" s="29" t="s">
        <v>703</v>
      </c>
      <c r="D619" s="29" t="s">
        <v>737</v>
      </c>
      <c r="E619" s="29" t="s">
        <v>716</v>
      </c>
      <c r="F619" s="33"/>
      <c r="G619" s="31">
        <f>SUM(G620)</f>
        <v>4082.6</v>
      </c>
      <c r="H619" s="199"/>
      <c r="I619" s="31"/>
    </row>
    <row r="620" spans="1:9" ht="30.75" customHeight="1">
      <c r="A620" s="32" t="s">
        <v>710</v>
      </c>
      <c r="B620" s="28"/>
      <c r="C620" s="29" t="s">
        <v>703</v>
      </c>
      <c r="D620" s="29" t="s">
        <v>737</v>
      </c>
      <c r="E620" s="29" t="s">
        <v>716</v>
      </c>
      <c r="F620" s="30" t="s">
        <v>711</v>
      </c>
      <c r="G620" s="31">
        <v>4082.6</v>
      </c>
      <c r="H620" s="199"/>
      <c r="I620" s="31"/>
    </row>
    <row r="621" spans="1:9" ht="18.75" customHeight="1">
      <c r="A621" s="32" t="s">
        <v>719</v>
      </c>
      <c r="B621" s="28"/>
      <c r="C621" s="29" t="s">
        <v>703</v>
      </c>
      <c r="D621" s="29" t="s">
        <v>798</v>
      </c>
      <c r="E621" s="29"/>
      <c r="F621" s="33"/>
      <c r="G621" s="31">
        <f>SUM(G622+G625)</f>
        <v>1131</v>
      </c>
      <c r="H621" s="31" t="e">
        <f>SUM(H622+H660+#REF!+#REF!+#REF!+#REF!+#REF!)+H627+H625</f>
        <v>#REF!</v>
      </c>
      <c r="I621" s="31" t="e">
        <f aca="true" t="shared" si="24" ref="I621:I628">SUM(H621/G621*100)</f>
        <v>#REF!</v>
      </c>
    </row>
    <row r="622" spans="1:9" ht="42.75">
      <c r="A622" s="46" t="s">
        <v>809</v>
      </c>
      <c r="B622" s="28"/>
      <c r="C622" s="29" t="s">
        <v>703</v>
      </c>
      <c r="D622" s="29" t="s">
        <v>798</v>
      </c>
      <c r="E622" s="29" t="s">
        <v>733</v>
      </c>
      <c r="F622" s="30"/>
      <c r="G622" s="31">
        <f>SUM(G623)</f>
        <v>1131</v>
      </c>
      <c r="H622" s="31">
        <f>SUM(H623)</f>
        <v>2749.5</v>
      </c>
      <c r="I622" s="31">
        <f t="shared" si="24"/>
        <v>243.10344827586206</v>
      </c>
    </row>
    <row r="623" spans="1:9" ht="42.75">
      <c r="A623" s="46" t="s">
        <v>734</v>
      </c>
      <c r="B623" s="28"/>
      <c r="C623" s="29" t="s">
        <v>703</v>
      </c>
      <c r="D623" s="29" t="s">
        <v>798</v>
      </c>
      <c r="E623" s="29" t="s">
        <v>810</v>
      </c>
      <c r="F623" s="30"/>
      <c r="G623" s="31">
        <f>SUM(G624)</f>
        <v>1131</v>
      </c>
      <c r="H623" s="31">
        <f>SUM(H624)</f>
        <v>2749.5</v>
      </c>
      <c r="I623" s="31">
        <f t="shared" si="24"/>
        <v>243.10344827586206</v>
      </c>
    </row>
    <row r="624" spans="1:9" ht="27" customHeight="1">
      <c r="A624" s="32" t="s">
        <v>710</v>
      </c>
      <c r="B624" s="28"/>
      <c r="C624" s="29" t="s">
        <v>703</v>
      </c>
      <c r="D624" s="29" t="s">
        <v>798</v>
      </c>
      <c r="E624" s="29" t="s">
        <v>810</v>
      </c>
      <c r="F624" s="30" t="s">
        <v>711</v>
      </c>
      <c r="G624" s="31">
        <v>1131</v>
      </c>
      <c r="H624" s="31">
        <v>2749.5</v>
      </c>
      <c r="I624" s="31">
        <f t="shared" si="24"/>
        <v>243.10344827586206</v>
      </c>
    </row>
    <row r="625" spans="1:9" ht="27" customHeight="1" hidden="1">
      <c r="A625" s="32" t="s">
        <v>721</v>
      </c>
      <c r="B625" s="28"/>
      <c r="C625" s="29" t="s">
        <v>703</v>
      </c>
      <c r="D625" s="29" t="s">
        <v>798</v>
      </c>
      <c r="E625" s="29" t="s">
        <v>722</v>
      </c>
      <c r="F625" s="34"/>
      <c r="G625" s="31">
        <f>SUM(G626)</f>
        <v>0</v>
      </c>
      <c r="H625" s="31">
        <f>SUM(H626)</f>
        <v>0</v>
      </c>
      <c r="I625" s="31" t="e">
        <f t="shared" si="24"/>
        <v>#DIV/0!</v>
      </c>
    </row>
    <row r="626" spans="1:9" ht="27" customHeight="1" hidden="1">
      <c r="A626" s="32" t="s">
        <v>723</v>
      </c>
      <c r="B626" s="28"/>
      <c r="C626" s="29" t="s">
        <v>703</v>
      </c>
      <c r="D626" s="29" t="s">
        <v>798</v>
      </c>
      <c r="E626" s="29" t="s">
        <v>811</v>
      </c>
      <c r="F626" s="34"/>
      <c r="G626" s="31">
        <f>SUM(G627)</f>
        <v>0</v>
      </c>
      <c r="H626" s="31"/>
      <c r="I626" s="31" t="e">
        <f t="shared" si="24"/>
        <v>#DIV/0!</v>
      </c>
    </row>
    <row r="627" spans="1:9" ht="27" customHeight="1" hidden="1">
      <c r="A627" s="32" t="s">
        <v>710</v>
      </c>
      <c r="B627" s="28"/>
      <c r="C627" s="29" t="s">
        <v>703</v>
      </c>
      <c r="D627" s="29" t="s">
        <v>798</v>
      </c>
      <c r="E627" s="29" t="s">
        <v>811</v>
      </c>
      <c r="F627" s="34" t="s">
        <v>711</v>
      </c>
      <c r="G627" s="31"/>
      <c r="H627" s="31" t="e">
        <f>SUM(#REF!)</f>
        <v>#REF!</v>
      </c>
      <c r="I627" s="31" t="e">
        <f t="shared" si="24"/>
        <v>#REF!</v>
      </c>
    </row>
    <row r="628" spans="1:9" s="226" customFormat="1" ht="15">
      <c r="A628" s="38" t="s">
        <v>736</v>
      </c>
      <c r="B628" s="39"/>
      <c r="C628" s="105" t="s">
        <v>737</v>
      </c>
      <c r="D628" s="105"/>
      <c r="E628" s="105"/>
      <c r="F628" s="59"/>
      <c r="G628" s="64">
        <f>SUM(G635+G629)</f>
        <v>9659.9</v>
      </c>
      <c r="H628" s="64" t="e">
        <f>SUM(H635+#REF!)</f>
        <v>#REF!</v>
      </c>
      <c r="I628" s="64" t="e">
        <f t="shared" si="24"/>
        <v>#REF!</v>
      </c>
    </row>
    <row r="629" spans="1:9" s="226" customFormat="1" ht="15">
      <c r="A629" s="38" t="s">
        <v>738</v>
      </c>
      <c r="B629" s="39"/>
      <c r="C629" s="105" t="s">
        <v>737</v>
      </c>
      <c r="D629" s="105" t="s">
        <v>739</v>
      </c>
      <c r="E629" s="105"/>
      <c r="F629" s="59"/>
      <c r="G629" s="64">
        <f>SUM(G630,G632)</f>
        <v>7923</v>
      </c>
      <c r="H629" s="64"/>
      <c r="I629" s="64"/>
    </row>
    <row r="630" spans="1:9" s="226" customFormat="1" ht="31.5" customHeight="1">
      <c r="A630" s="38" t="s">
        <v>518</v>
      </c>
      <c r="B630" s="39"/>
      <c r="C630" s="105" t="s">
        <v>737</v>
      </c>
      <c r="D630" s="105" t="s">
        <v>739</v>
      </c>
      <c r="E630" s="105" t="s">
        <v>10</v>
      </c>
      <c r="F630" s="59"/>
      <c r="G630" s="64">
        <f>SUM(G631)</f>
        <v>2376.9</v>
      </c>
      <c r="H630" s="64"/>
      <c r="I630" s="64"/>
    </row>
    <row r="631" spans="1:9" s="226" customFormat="1" ht="30" customHeight="1">
      <c r="A631" s="32" t="s">
        <v>710</v>
      </c>
      <c r="B631" s="39"/>
      <c r="C631" s="105" t="s">
        <v>737</v>
      </c>
      <c r="D631" s="105" t="s">
        <v>739</v>
      </c>
      <c r="E631" s="105" t="s">
        <v>10</v>
      </c>
      <c r="F631" s="59" t="s">
        <v>711</v>
      </c>
      <c r="G631" s="64">
        <v>2376.9</v>
      </c>
      <c r="H631" s="64"/>
      <c r="I631" s="64"/>
    </row>
    <row r="632" spans="1:9" s="226" customFormat="1" ht="31.5" customHeight="1">
      <c r="A632" s="46" t="s">
        <v>870</v>
      </c>
      <c r="B632" s="39"/>
      <c r="C632" s="105" t="s">
        <v>737</v>
      </c>
      <c r="D632" s="105" t="s">
        <v>739</v>
      </c>
      <c r="E632" s="105" t="s">
        <v>82</v>
      </c>
      <c r="F632" s="59"/>
      <c r="G632" s="64">
        <f>SUM(G633)</f>
        <v>5546.1</v>
      </c>
      <c r="H632" s="64"/>
      <c r="I632" s="64"/>
    </row>
    <row r="633" spans="1:9" s="226" customFormat="1" ht="31.5" customHeight="1">
      <c r="A633" s="46" t="s">
        <v>871</v>
      </c>
      <c r="B633" s="39"/>
      <c r="C633" s="105" t="s">
        <v>519</v>
      </c>
      <c r="D633" s="105" t="s">
        <v>739</v>
      </c>
      <c r="E633" s="105" t="s">
        <v>84</v>
      </c>
      <c r="F633" s="59"/>
      <c r="G633" s="64">
        <f>SUM(G634)</f>
        <v>5546.1</v>
      </c>
      <c r="H633" s="64"/>
      <c r="I633" s="64"/>
    </row>
    <row r="634" spans="1:9" s="226" customFormat="1" ht="27" customHeight="1">
      <c r="A634" s="27" t="s">
        <v>4</v>
      </c>
      <c r="B634" s="39"/>
      <c r="C634" s="105" t="s">
        <v>737</v>
      </c>
      <c r="D634" s="105" t="s">
        <v>739</v>
      </c>
      <c r="E634" s="105" t="s">
        <v>84</v>
      </c>
      <c r="F634" s="59" t="s">
        <v>5</v>
      </c>
      <c r="G634" s="64">
        <v>5546.1</v>
      </c>
      <c r="H634" s="64"/>
      <c r="I634" s="64"/>
    </row>
    <row r="635" spans="1:9" ht="19.5" customHeight="1">
      <c r="A635" s="43" t="s">
        <v>744</v>
      </c>
      <c r="B635" s="44"/>
      <c r="C635" s="45" t="s">
        <v>737</v>
      </c>
      <c r="D635" s="45" t="s">
        <v>795</v>
      </c>
      <c r="E635" s="45"/>
      <c r="F635" s="33"/>
      <c r="G635" s="31">
        <f>SUM(G636+G641)</f>
        <v>1736.8999999999999</v>
      </c>
      <c r="H635" s="31" t="e">
        <f>SUM(H639+H641+#REF!+H636)</f>
        <v>#REF!</v>
      </c>
      <c r="I635" s="31" t="e">
        <f aca="true" t="shared" si="25" ref="I635:I643">SUM(H635/G635*100)</f>
        <v>#REF!</v>
      </c>
    </row>
    <row r="636" spans="1:9" ht="0.75" customHeight="1" hidden="1">
      <c r="A636" s="43" t="s">
        <v>812</v>
      </c>
      <c r="B636" s="45"/>
      <c r="C636" s="45" t="s">
        <v>737</v>
      </c>
      <c r="D636" s="45" t="s">
        <v>795</v>
      </c>
      <c r="E636" s="45" t="s">
        <v>751</v>
      </c>
      <c r="F636" s="33"/>
      <c r="G636" s="31">
        <f>SUM(G638)</f>
        <v>0</v>
      </c>
      <c r="H636" s="31">
        <f>SUM(H638)</f>
        <v>0</v>
      </c>
      <c r="I636" s="31" t="e">
        <f t="shared" si="25"/>
        <v>#DIV/0!</v>
      </c>
    </row>
    <row r="637" spans="1:9" ht="27" customHeight="1" hidden="1">
      <c r="A637" s="43" t="s">
        <v>813</v>
      </c>
      <c r="B637" s="45"/>
      <c r="C637" s="45" t="s">
        <v>737</v>
      </c>
      <c r="D637" s="45" t="s">
        <v>795</v>
      </c>
      <c r="E637" s="61" t="s">
        <v>814</v>
      </c>
      <c r="F637" s="33"/>
      <c r="G637" s="31">
        <f>SUM(G638)</f>
        <v>0</v>
      </c>
      <c r="H637" s="31">
        <f>SUM(H638)</f>
        <v>0</v>
      </c>
      <c r="I637" s="31" t="e">
        <f t="shared" si="25"/>
        <v>#DIV/0!</v>
      </c>
    </row>
    <row r="638" spans="1:9" ht="18" customHeight="1" hidden="1">
      <c r="A638" s="43" t="s">
        <v>815</v>
      </c>
      <c r="B638" s="45"/>
      <c r="C638" s="45" t="s">
        <v>737</v>
      </c>
      <c r="D638" s="45" t="s">
        <v>795</v>
      </c>
      <c r="E638" s="61" t="s">
        <v>814</v>
      </c>
      <c r="F638" s="33" t="s">
        <v>816</v>
      </c>
      <c r="G638" s="31"/>
      <c r="H638" s="31"/>
      <c r="I638" s="31" t="e">
        <f t="shared" si="25"/>
        <v>#DIV/0!</v>
      </c>
    </row>
    <row r="639" spans="1:9" ht="20.25" customHeight="1" hidden="1">
      <c r="A639" s="72" t="s">
        <v>13</v>
      </c>
      <c r="B639" s="45"/>
      <c r="C639" s="45" t="s">
        <v>737</v>
      </c>
      <c r="D639" s="45" t="s">
        <v>795</v>
      </c>
      <c r="E639" s="45" t="s">
        <v>14</v>
      </c>
      <c r="F639" s="33"/>
      <c r="G639" s="31">
        <f>SUM(G640)</f>
        <v>0</v>
      </c>
      <c r="H639" s="31">
        <f>SUM(H640)</f>
        <v>0</v>
      </c>
      <c r="I639" s="31" t="e">
        <f t="shared" si="25"/>
        <v>#DIV/0!</v>
      </c>
    </row>
    <row r="640" spans="1:9" ht="28.5" customHeight="1" hidden="1">
      <c r="A640" s="32" t="s">
        <v>710</v>
      </c>
      <c r="B640" s="45"/>
      <c r="C640" s="45" t="s">
        <v>737</v>
      </c>
      <c r="D640" s="45" t="s">
        <v>795</v>
      </c>
      <c r="E640" s="45" t="s">
        <v>14</v>
      </c>
      <c r="F640" s="33" t="s">
        <v>711</v>
      </c>
      <c r="G640" s="31"/>
      <c r="H640" s="31"/>
      <c r="I640" s="31" t="e">
        <f t="shared" si="25"/>
        <v>#DIV/0!</v>
      </c>
    </row>
    <row r="641" spans="1:9" ht="28.5">
      <c r="A641" s="42" t="s">
        <v>746</v>
      </c>
      <c r="B641" s="28"/>
      <c r="C641" s="45" t="s">
        <v>737</v>
      </c>
      <c r="D641" s="45" t="s">
        <v>795</v>
      </c>
      <c r="E641" s="29" t="s">
        <v>747</v>
      </c>
      <c r="F641" s="33"/>
      <c r="G641" s="31">
        <f>SUM(G642)</f>
        <v>1736.8999999999999</v>
      </c>
      <c r="H641" s="31">
        <f>SUM(H642)</f>
        <v>200</v>
      </c>
      <c r="I641" s="31">
        <f t="shared" si="25"/>
        <v>11.514767689561864</v>
      </c>
    </row>
    <row r="642" spans="1:9" ht="28.5">
      <c r="A642" s="42" t="s">
        <v>15</v>
      </c>
      <c r="B642" s="28"/>
      <c r="C642" s="45" t="s">
        <v>737</v>
      </c>
      <c r="D642" s="45" t="s">
        <v>795</v>
      </c>
      <c r="E642" s="29" t="s">
        <v>16</v>
      </c>
      <c r="F642" s="33"/>
      <c r="G642" s="31">
        <f>SUM(G643)</f>
        <v>1736.8999999999999</v>
      </c>
      <c r="H642" s="31">
        <f>SUM(H643)</f>
        <v>200</v>
      </c>
      <c r="I642" s="31">
        <f t="shared" si="25"/>
        <v>11.514767689561864</v>
      </c>
    </row>
    <row r="643" spans="1:9" ht="29.25" customHeight="1">
      <c r="A643" s="32" t="s">
        <v>710</v>
      </c>
      <c r="B643" s="28"/>
      <c r="C643" s="45" t="s">
        <v>737</v>
      </c>
      <c r="D643" s="45" t="s">
        <v>795</v>
      </c>
      <c r="E643" s="29" t="s">
        <v>16</v>
      </c>
      <c r="F643" s="33" t="s">
        <v>711</v>
      </c>
      <c r="G643" s="31">
        <f>2518.5-3.9-777.7</f>
        <v>1736.8999999999999</v>
      </c>
      <c r="H643" s="31">
        <v>200</v>
      </c>
      <c r="I643" s="31">
        <f t="shared" si="25"/>
        <v>11.514767689561864</v>
      </c>
    </row>
    <row r="644" spans="1:9" s="68" customFormat="1" ht="18" customHeight="1">
      <c r="A644" s="43" t="s">
        <v>21</v>
      </c>
      <c r="B644" s="44"/>
      <c r="C644" s="45" t="s">
        <v>772</v>
      </c>
      <c r="D644" s="45"/>
      <c r="E644" s="45"/>
      <c r="F644" s="34"/>
      <c r="G644" s="31">
        <f>SUM(G656,G645)</f>
        <v>66851.79999999999</v>
      </c>
      <c r="H644" s="203" t="e">
        <f>SUM(#REF!+H768+H795+H816)</f>
        <v>#REF!</v>
      </c>
      <c r="I644" s="31" t="e">
        <f aca="true" t="shared" si="26" ref="I644:I667">SUM(H644/G644*100)</f>
        <v>#REF!</v>
      </c>
    </row>
    <row r="645" spans="1:9" ht="21" customHeight="1">
      <c r="A645" s="43" t="s">
        <v>22</v>
      </c>
      <c r="B645" s="44"/>
      <c r="C645" s="45" t="s">
        <v>772</v>
      </c>
      <c r="D645" s="45" t="s">
        <v>703</v>
      </c>
      <c r="E645" s="45"/>
      <c r="F645" s="33"/>
      <c r="G645" s="31">
        <f>SUM(G646,G654)</f>
        <v>46294.7</v>
      </c>
      <c r="H645" s="31" t="e">
        <f>SUM(#REF!+H734)+#REF!+H725+H648</f>
        <v>#REF!</v>
      </c>
      <c r="I645" s="31" t="e">
        <f t="shared" si="26"/>
        <v>#REF!</v>
      </c>
    </row>
    <row r="646" spans="1:9" s="47" customFormat="1" ht="27" customHeight="1">
      <c r="A646" s="78" t="s">
        <v>869</v>
      </c>
      <c r="B646" s="79"/>
      <c r="C646" s="29" t="s">
        <v>772</v>
      </c>
      <c r="D646" s="29" t="s">
        <v>703</v>
      </c>
      <c r="E646" s="29" t="s">
        <v>24</v>
      </c>
      <c r="F646" s="30"/>
      <c r="G646" s="31">
        <f>SUM(G647+G650)</f>
        <v>46294.7</v>
      </c>
      <c r="H646" s="31" t="e">
        <f>SUM(H647+H660)</f>
        <v>#REF!</v>
      </c>
      <c r="I646" s="31" t="e">
        <f t="shared" si="26"/>
        <v>#REF!</v>
      </c>
    </row>
    <row r="647" spans="1:9" ht="45" customHeight="1">
      <c r="A647" s="72" t="s">
        <v>867</v>
      </c>
      <c r="B647" s="44"/>
      <c r="C647" s="45" t="s">
        <v>772</v>
      </c>
      <c r="D647" s="45" t="s">
        <v>703</v>
      </c>
      <c r="E647" s="45" t="s">
        <v>26</v>
      </c>
      <c r="F647" s="33"/>
      <c r="G647" s="31">
        <f>SUM(G648)</f>
        <v>36640</v>
      </c>
      <c r="H647" s="31" t="e">
        <f>SUM(#REF!)</f>
        <v>#REF!</v>
      </c>
      <c r="I647" s="31" t="e">
        <f t="shared" si="26"/>
        <v>#REF!</v>
      </c>
    </row>
    <row r="648" spans="1:9" ht="75" customHeight="1">
      <c r="A648" s="72" t="s">
        <v>866</v>
      </c>
      <c r="B648" s="44"/>
      <c r="C648" s="45" t="s">
        <v>772</v>
      </c>
      <c r="D648" s="45" t="s">
        <v>703</v>
      </c>
      <c r="E648" s="45" t="s">
        <v>30</v>
      </c>
      <c r="F648" s="33"/>
      <c r="G648" s="31">
        <f>SUM(G649)</f>
        <v>36640</v>
      </c>
      <c r="H648" s="31">
        <v>872.8</v>
      </c>
      <c r="I648" s="31">
        <f t="shared" si="26"/>
        <v>2.3820960698689957</v>
      </c>
    </row>
    <row r="649" spans="1:9" ht="15">
      <c r="A649" s="43" t="s">
        <v>129</v>
      </c>
      <c r="B649" s="44"/>
      <c r="C649" s="45" t="s">
        <v>772</v>
      </c>
      <c r="D649" s="45" t="s">
        <v>703</v>
      </c>
      <c r="E649" s="45" t="s">
        <v>30</v>
      </c>
      <c r="F649" s="30" t="s">
        <v>816</v>
      </c>
      <c r="G649" s="64">
        <v>36640</v>
      </c>
      <c r="H649" s="31" t="e">
        <f>SUM(#REF!)</f>
        <v>#REF!</v>
      </c>
      <c r="I649" s="31" t="e">
        <f t="shared" si="26"/>
        <v>#REF!</v>
      </c>
    </row>
    <row r="650" spans="1:9" ht="45" customHeight="1">
      <c r="A650" s="72" t="s">
        <v>868</v>
      </c>
      <c r="B650" s="44"/>
      <c r="C650" s="45" t="s">
        <v>772</v>
      </c>
      <c r="D650" s="45" t="s">
        <v>703</v>
      </c>
      <c r="E650" s="45" t="s">
        <v>34</v>
      </c>
      <c r="F650" s="33"/>
      <c r="G650" s="31">
        <f>SUM(G651)</f>
        <v>9654.7</v>
      </c>
      <c r="H650" s="31" t="e">
        <f>SUM(#REF!)</f>
        <v>#REF!</v>
      </c>
      <c r="I650" s="31" t="e">
        <f t="shared" si="26"/>
        <v>#REF!</v>
      </c>
    </row>
    <row r="651" spans="1:9" ht="42.75" customHeight="1">
      <c r="A651" s="72" t="s">
        <v>39</v>
      </c>
      <c r="B651" s="44"/>
      <c r="C651" s="45" t="s">
        <v>772</v>
      </c>
      <c r="D651" s="45" t="s">
        <v>703</v>
      </c>
      <c r="E651" s="45" t="s">
        <v>40</v>
      </c>
      <c r="F651" s="33"/>
      <c r="G651" s="31">
        <f>SUM(G653,G652)</f>
        <v>9654.7</v>
      </c>
      <c r="H651" s="31">
        <v>872.8</v>
      </c>
      <c r="I651" s="31">
        <f t="shared" si="26"/>
        <v>9.040156607662588</v>
      </c>
    </row>
    <row r="652" spans="1:9" ht="27" customHeight="1">
      <c r="A652" s="72" t="s">
        <v>815</v>
      </c>
      <c r="B652" s="44"/>
      <c r="C652" s="45" t="s">
        <v>772</v>
      </c>
      <c r="D652" s="45" t="s">
        <v>703</v>
      </c>
      <c r="E652" s="45" t="s">
        <v>40</v>
      </c>
      <c r="F652" s="33" t="s">
        <v>816</v>
      </c>
      <c r="G652" s="31">
        <v>6000</v>
      </c>
      <c r="H652" s="31"/>
      <c r="I652" s="31"/>
    </row>
    <row r="653" spans="1:9" ht="28.5">
      <c r="A653" s="80" t="s">
        <v>41</v>
      </c>
      <c r="B653" s="44"/>
      <c r="C653" s="45" t="s">
        <v>772</v>
      </c>
      <c r="D653" s="45" t="s">
        <v>703</v>
      </c>
      <c r="E653" s="45" t="s">
        <v>40</v>
      </c>
      <c r="F653" s="30" t="s">
        <v>42</v>
      </c>
      <c r="G653" s="64">
        <v>3654.7</v>
      </c>
      <c r="H653" s="31" t="e">
        <f>SUM(#REF!)</f>
        <v>#REF!</v>
      </c>
      <c r="I653" s="31" t="e">
        <f t="shared" si="26"/>
        <v>#REF!</v>
      </c>
    </row>
    <row r="654" spans="1:9" ht="15" hidden="1">
      <c r="A654" s="80" t="s">
        <v>535</v>
      </c>
      <c r="B654" s="44"/>
      <c r="C654" s="45" t="s">
        <v>772</v>
      </c>
      <c r="D654" s="45" t="s">
        <v>703</v>
      </c>
      <c r="E654" s="45" t="s">
        <v>534</v>
      </c>
      <c r="F654" s="30"/>
      <c r="G654" s="64">
        <f>SUM(G655)</f>
        <v>0</v>
      </c>
      <c r="H654" s="31"/>
      <c r="I654" s="31"/>
    </row>
    <row r="655" spans="1:9" ht="15" hidden="1">
      <c r="A655" s="80" t="s">
        <v>815</v>
      </c>
      <c r="B655" s="44"/>
      <c r="C655" s="45" t="s">
        <v>772</v>
      </c>
      <c r="D655" s="45" t="s">
        <v>703</v>
      </c>
      <c r="E655" s="45" t="s">
        <v>534</v>
      </c>
      <c r="F655" s="33" t="s">
        <v>816</v>
      </c>
      <c r="G655" s="64"/>
      <c r="H655" s="31"/>
      <c r="I655" s="31"/>
    </row>
    <row r="656" spans="1:9" ht="21" customHeight="1">
      <c r="A656" s="43" t="s">
        <v>76</v>
      </c>
      <c r="B656" s="44"/>
      <c r="C656" s="45" t="s">
        <v>772</v>
      </c>
      <c r="D656" s="45" t="s">
        <v>705</v>
      </c>
      <c r="E656" s="45"/>
      <c r="F656" s="33"/>
      <c r="G656" s="31">
        <f>SUM(G657,G660,G663)</f>
        <v>20557.1</v>
      </c>
      <c r="H656" s="31" t="e">
        <f>SUM(#REF!+H738)+#REF!+H734+H661</f>
        <v>#REF!</v>
      </c>
      <c r="I656" s="31" t="e">
        <f t="shared" si="26"/>
        <v>#REF!</v>
      </c>
    </row>
    <row r="657" spans="1:9" ht="27.75" customHeight="1">
      <c r="A657" s="72" t="s">
        <v>870</v>
      </c>
      <c r="B657" s="44"/>
      <c r="C657" s="45" t="s">
        <v>772</v>
      </c>
      <c r="D657" s="45" t="s">
        <v>705</v>
      </c>
      <c r="E657" s="45" t="s">
        <v>82</v>
      </c>
      <c r="F657" s="33"/>
      <c r="G657" s="31">
        <f>SUM(G658)</f>
        <v>14053.9</v>
      </c>
      <c r="H657" s="31" t="e">
        <f>SUM(#REF!)</f>
        <v>#REF!</v>
      </c>
      <c r="I657" s="31" t="e">
        <f t="shared" si="26"/>
        <v>#REF!</v>
      </c>
    </row>
    <row r="658" spans="1:9" ht="27" customHeight="1">
      <c r="A658" s="46" t="s">
        <v>871</v>
      </c>
      <c r="B658" s="44"/>
      <c r="C658" s="45" t="s">
        <v>772</v>
      </c>
      <c r="D658" s="45" t="s">
        <v>705</v>
      </c>
      <c r="E658" s="45" t="s">
        <v>84</v>
      </c>
      <c r="F658" s="33"/>
      <c r="G658" s="31">
        <f>SUM(G659)</f>
        <v>14053.9</v>
      </c>
      <c r="H658" s="31">
        <v>872.8</v>
      </c>
      <c r="I658" s="31">
        <f t="shared" si="26"/>
        <v>6.210375767580529</v>
      </c>
    </row>
    <row r="659" spans="1:9" ht="15">
      <c r="A659" s="27" t="s">
        <v>4</v>
      </c>
      <c r="B659" s="44"/>
      <c r="C659" s="45" t="s">
        <v>772</v>
      </c>
      <c r="D659" s="45" t="s">
        <v>705</v>
      </c>
      <c r="E659" s="45" t="s">
        <v>84</v>
      </c>
      <c r="F659" s="30" t="s">
        <v>5</v>
      </c>
      <c r="G659" s="64">
        <v>14053.9</v>
      </c>
      <c r="H659" s="31" t="e">
        <f>SUM(#REF!)</f>
        <v>#REF!</v>
      </c>
      <c r="I659" s="31" t="e">
        <f t="shared" si="26"/>
        <v>#REF!</v>
      </c>
    </row>
    <row r="660" spans="1:9" ht="21" customHeight="1">
      <c r="A660" s="72" t="s">
        <v>85</v>
      </c>
      <c r="B660" s="44"/>
      <c r="C660" s="45" t="s">
        <v>772</v>
      </c>
      <c r="D660" s="45" t="s">
        <v>705</v>
      </c>
      <c r="E660" s="45" t="s">
        <v>78</v>
      </c>
      <c r="F660" s="33"/>
      <c r="G660" s="31">
        <f>SUM(G661)</f>
        <v>6503.2</v>
      </c>
      <c r="H660" s="31" t="e">
        <f>SUM(#REF!)</f>
        <v>#REF!</v>
      </c>
      <c r="I660" s="31" t="e">
        <f t="shared" si="26"/>
        <v>#REF!</v>
      </c>
    </row>
    <row r="661" spans="1:9" ht="27" customHeight="1">
      <c r="A661" s="46" t="s">
        <v>90</v>
      </c>
      <c r="B661" s="44"/>
      <c r="C661" s="45" t="s">
        <v>772</v>
      </c>
      <c r="D661" s="45" t="s">
        <v>705</v>
      </c>
      <c r="E661" s="45" t="s">
        <v>91</v>
      </c>
      <c r="F661" s="33"/>
      <c r="G661" s="31">
        <f>SUM(G662)</f>
        <v>6503.2</v>
      </c>
      <c r="H661" s="31">
        <v>872.8</v>
      </c>
      <c r="I661" s="31">
        <f t="shared" si="26"/>
        <v>13.421085004305572</v>
      </c>
    </row>
    <row r="662" spans="1:9" ht="28.5">
      <c r="A662" s="32" t="s">
        <v>710</v>
      </c>
      <c r="B662" s="44"/>
      <c r="C662" s="45" t="s">
        <v>772</v>
      </c>
      <c r="D662" s="45" t="s">
        <v>705</v>
      </c>
      <c r="E662" s="45" t="s">
        <v>91</v>
      </c>
      <c r="F662" s="30" t="s">
        <v>711</v>
      </c>
      <c r="G662" s="64">
        <f>3623.1+2102.4+777.7</f>
        <v>6503.2</v>
      </c>
      <c r="H662" s="31" t="e">
        <f>SUM(#REF!)</f>
        <v>#REF!</v>
      </c>
      <c r="I662" s="31" t="e">
        <f t="shared" si="26"/>
        <v>#REF!</v>
      </c>
    </row>
    <row r="663" spans="1:9" ht="15" hidden="1">
      <c r="A663" s="103" t="s">
        <v>767</v>
      </c>
      <c r="B663" s="44"/>
      <c r="C663" s="45" t="s">
        <v>772</v>
      </c>
      <c r="D663" s="45" t="s">
        <v>705</v>
      </c>
      <c r="E663" s="45" t="s">
        <v>768</v>
      </c>
      <c r="F663" s="30"/>
      <c r="G663" s="64">
        <f>SUM(G664)</f>
        <v>0</v>
      </c>
      <c r="H663" s="31"/>
      <c r="I663" s="31"/>
    </row>
    <row r="664" spans="1:9" ht="15" hidden="1">
      <c r="A664" s="48"/>
      <c r="B664" s="44"/>
      <c r="C664" s="45" t="s">
        <v>772</v>
      </c>
      <c r="D664" s="45" t="s">
        <v>705</v>
      </c>
      <c r="E664" s="45" t="s">
        <v>768</v>
      </c>
      <c r="F664" s="30"/>
      <c r="G664" s="64">
        <f>SUM(G665)</f>
        <v>0</v>
      </c>
      <c r="H664" s="31"/>
      <c r="I664" s="31"/>
    </row>
    <row r="665" spans="1:9" ht="28.5" hidden="1">
      <c r="A665" s="48" t="s">
        <v>710</v>
      </c>
      <c r="B665" s="44"/>
      <c r="C665" s="45" t="s">
        <v>772</v>
      </c>
      <c r="D665" s="45" t="s">
        <v>705</v>
      </c>
      <c r="E665" s="45" t="s">
        <v>768</v>
      </c>
      <c r="F665" s="30" t="s">
        <v>711</v>
      </c>
      <c r="G665" s="64">
        <f>6000-6000</f>
        <v>0</v>
      </c>
      <c r="H665" s="31"/>
      <c r="I665" s="31"/>
    </row>
    <row r="666" spans="1:9" s="227" customFormat="1" ht="21.75" customHeight="1">
      <c r="A666" s="38" t="s">
        <v>445</v>
      </c>
      <c r="B666" s="39"/>
      <c r="C666" s="105" t="s">
        <v>1</v>
      </c>
      <c r="D666" s="105" t="s">
        <v>446</v>
      </c>
      <c r="E666" s="105"/>
      <c r="F666" s="59"/>
      <c r="G666" s="64">
        <f>SUM(G667)</f>
        <v>444.3</v>
      </c>
      <c r="H666" s="64" t="e">
        <f>SUM(H667+H674+#REF!+H819+H837)</f>
        <v>#REF!</v>
      </c>
      <c r="I666" s="64" t="e">
        <f t="shared" si="26"/>
        <v>#REF!</v>
      </c>
    </row>
    <row r="667" spans="1:9" s="47" customFormat="1" ht="14.25" customHeight="1">
      <c r="A667" s="38" t="s">
        <v>463</v>
      </c>
      <c r="B667" s="28"/>
      <c r="C667" s="105" t="s">
        <v>1</v>
      </c>
      <c r="D667" s="105" t="s">
        <v>713</v>
      </c>
      <c r="E667" s="105"/>
      <c r="F667" s="59"/>
      <c r="G667" s="64">
        <f>SUM(G668+G671+G677)</f>
        <v>444.3</v>
      </c>
      <c r="H667" s="64">
        <f>SUM(H674+H787+H790+H797+H671)</f>
        <v>53118.9</v>
      </c>
      <c r="I667" s="31">
        <f t="shared" si="26"/>
        <v>11955.638082376772</v>
      </c>
    </row>
    <row r="668" spans="1:9" s="47" customFormat="1" ht="28.5" customHeight="1" hidden="1">
      <c r="A668" s="46" t="s">
        <v>647</v>
      </c>
      <c r="B668" s="28"/>
      <c r="C668" s="29" t="s">
        <v>1</v>
      </c>
      <c r="D668" s="45" t="s">
        <v>713</v>
      </c>
      <c r="E668" s="29" t="s">
        <v>131</v>
      </c>
      <c r="F668" s="30"/>
      <c r="G668" s="64">
        <f>SUM(G669)</f>
        <v>0</v>
      </c>
      <c r="H668" s="64"/>
      <c r="I668" s="31"/>
    </row>
    <row r="669" spans="1:9" s="47" customFormat="1" ht="30.75" customHeight="1" hidden="1">
      <c r="A669" s="46" t="s">
        <v>648</v>
      </c>
      <c r="B669" s="28"/>
      <c r="C669" s="45" t="s">
        <v>1</v>
      </c>
      <c r="D669" s="45" t="s">
        <v>713</v>
      </c>
      <c r="E669" s="45" t="s">
        <v>649</v>
      </c>
      <c r="F669" s="33"/>
      <c r="G669" s="64">
        <f>SUM(G670)</f>
        <v>0</v>
      </c>
      <c r="H669" s="64"/>
      <c r="I669" s="31"/>
    </row>
    <row r="670" spans="1:9" s="47" customFormat="1" ht="14.25" customHeight="1" hidden="1">
      <c r="A670" s="46" t="s">
        <v>554</v>
      </c>
      <c r="B670" s="28"/>
      <c r="C670" s="45" t="s">
        <v>1</v>
      </c>
      <c r="D670" s="45" t="s">
        <v>713</v>
      </c>
      <c r="E670" s="45" t="s">
        <v>649</v>
      </c>
      <c r="F670" s="33" t="s">
        <v>556</v>
      </c>
      <c r="G670" s="64"/>
      <c r="H670" s="64"/>
      <c r="I670" s="31"/>
    </row>
    <row r="671" spans="1:9" ht="15.75">
      <c r="A671" s="32" t="s">
        <v>881</v>
      </c>
      <c r="B671" s="66"/>
      <c r="C671" s="45" t="s">
        <v>1</v>
      </c>
      <c r="D671" s="45" t="s">
        <v>713</v>
      </c>
      <c r="E671" s="45" t="s">
        <v>882</v>
      </c>
      <c r="F671" s="125"/>
      <c r="G671" s="64">
        <f>SUM(G672)</f>
        <v>254.4</v>
      </c>
      <c r="H671" s="31"/>
      <c r="I671" s="31"/>
    </row>
    <row r="672" spans="1:9" ht="57">
      <c r="A672" s="27" t="s">
        <v>551</v>
      </c>
      <c r="B672" s="113"/>
      <c r="C672" s="45" t="s">
        <v>1</v>
      </c>
      <c r="D672" s="45" t="s">
        <v>713</v>
      </c>
      <c r="E672" s="45" t="s">
        <v>54</v>
      </c>
      <c r="F672" s="125"/>
      <c r="G672" s="64">
        <f>SUM(G673)+G675</f>
        <v>254.4</v>
      </c>
      <c r="H672" s="31"/>
      <c r="I672" s="31"/>
    </row>
    <row r="673" spans="1:9" ht="28.5" customHeight="1">
      <c r="A673" s="27" t="s">
        <v>552</v>
      </c>
      <c r="B673" s="113"/>
      <c r="C673" s="45" t="s">
        <v>1</v>
      </c>
      <c r="D673" s="45" t="s">
        <v>713</v>
      </c>
      <c r="E673" s="45" t="s">
        <v>553</v>
      </c>
      <c r="F673" s="125"/>
      <c r="G673" s="64">
        <f>SUM(G674)</f>
        <v>254.4</v>
      </c>
      <c r="H673" s="31"/>
      <c r="I673" s="31"/>
    </row>
    <row r="674" spans="1:9" ht="22.5" customHeight="1">
      <c r="A674" s="46" t="s">
        <v>554</v>
      </c>
      <c r="B674" s="113"/>
      <c r="C674" s="45" t="s">
        <v>1</v>
      </c>
      <c r="D674" s="45" t="s">
        <v>713</v>
      </c>
      <c r="E674" s="45" t="s">
        <v>553</v>
      </c>
      <c r="F674" s="30" t="s">
        <v>556</v>
      </c>
      <c r="G674" s="64">
        <v>254.4</v>
      </c>
      <c r="H674" s="31"/>
      <c r="I674" s="31"/>
    </row>
    <row r="675" spans="1:9" ht="42.75" hidden="1">
      <c r="A675" s="27" t="s">
        <v>486</v>
      </c>
      <c r="B675" s="113"/>
      <c r="C675" s="45" t="s">
        <v>1</v>
      </c>
      <c r="D675" s="45" t="s">
        <v>713</v>
      </c>
      <c r="E675" s="45" t="s">
        <v>555</v>
      </c>
      <c r="F675" s="125"/>
      <c r="G675" s="64">
        <f>SUM(G676)</f>
        <v>0</v>
      </c>
      <c r="H675" s="31"/>
      <c r="I675" s="31"/>
    </row>
    <row r="676" spans="1:9" ht="15" hidden="1">
      <c r="A676" s="27" t="s">
        <v>554</v>
      </c>
      <c r="B676" s="113"/>
      <c r="C676" s="45" t="s">
        <v>1</v>
      </c>
      <c r="D676" s="45" t="s">
        <v>713</v>
      </c>
      <c r="E676" s="45" t="s">
        <v>555</v>
      </c>
      <c r="F676" s="125" t="s">
        <v>556</v>
      </c>
      <c r="G676" s="64"/>
      <c r="H676" s="31"/>
      <c r="I676" s="31"/>
    </row>
    <row r="677" spans="1:9" ht="15">
      <c r="A677" s="103" t="s">
        <v>767</v>
      </c>
      <c r="B677" s="28"/>
      <c r="C677" s="45" t="s">
        <v>1</v>
      </c>
      <c r="D677" s="45" t="s">
        <v>713</v>
      </c>
      <c r="E677" s="45" t="s">
        <v>768</v>
      </c>
      <c r="F677" s="33"/>
      <c r="G677" s="31">
        <f>SUM(G678)</f>
        <v>189.9</v>
      </c>
      <c r="H677" s="31"/>
      <c r="I677" s="31"/>
    </row>
    <row r="678" spans="1:9" ht="28.5">
      <c r="A678" s="38" t="s">
        <v>710</v>
      </c>
      <c r="B678" s="28"/>
      <c r="C678" s="45" t="s">
        <v>1</v>
      </c>
      <c r="D678" s="45" t="s">
        <v>713</v>
      </c>
      <c r="E678" s="45" t="s">
        <v>768</v>
      </c>
      <c r="F678" s="33" t="s">
        <v>711</v>
      </c>
      <c r="G678" s="31">
        <f>SUM(G679:G679)</f>
        <v>189.9</v>
      </c>
      <c r="H678" s="31"/>
      <c r="I678" s="31"/>
    </row>
    <row r="679" spans="1:9" ht="42.75">
      <c r="A679" s="38" t="s">
        <v>100</v>
      </c>
      <c r="B679" s="28"/>
      <c r="C679" s="45" t="s">
        <v>1</v>
      </c>
      <c r="D679" s="45" t="s">
        <v>713</v>
      </c>
      <c r="E679" s="40" t="s">
        <v>101</v>
      </c>
      <c r="F679" s="30" t="s">
        <v>711</v>
      </c>
      <c r="G679" s="31">
        <f>SUM(G680:G681)</f>
        <v>189.9</v>
      </c>
      <c r="H679" s="31"/>
      <c r="I679" s="31"/>
    </row>
    <row r="680" spans="1:9" ht="27" customHeight="1">
      <c r="A680" s="27" t="s">
        <v>552</v>
      </c>
      <c r="B680" s="44"/>
      <c r="C680" s="45" t="s">
        <v>1</v>
      </c>
      <c r="D680" s="45" t="s">
        <v>713</v>
      </c>
      <c r="E680" s="40" t="s">
        <v>561</v>
      </c>
      <c r="F680" s="30" t="s">
        <v>711</v>
      </c>
      <c r="G680" s="64">
        <f>491.1-491.1+105.3+80.7+3.9</f>
        <v>189.9</v>
      </c>
      <c r="H680" s="31"/>
      <c r="I680" s="31"/>
    </row>
    <row r="681" spans="1:9" ht="42.75" customHeight="1" hidden="1">
      <c r="A681" s="27" t="s">
        <v>486</v>
      </c>
      <c r="B681" s="44"/>
      <c r="C681" s="45" t="s">
        <v>1</v>
      </c>
      <c r="D681" s="45" t="s">
        <v>713</v>
      </c>
      <c r="E681" s="40" t="s">
        <v>563</v>
      </c>
      <c r="F681" s="30" t="s">
        <v>711</v>
      </c>
      <c r="G681" s="64">
        <f>80.7-80.7</f>
        <v>0</v>
      </c>
      <c r="H681" s="31"/>
      <c r="I681" s="31"/>
    </row>
    <row r="682" spans="1:9" ht="60.75" customHeight="1">
      <c r="A682" s="200" t="s">
        <v>492</v>
      </c>
      <c r="B682" s="118" t="s">
        <v>493</v>
      </c>
      <c r="C682" s="55"/>
      <c r="D682" s="116"/>
      <c r="E682" s="116"/>
      <c r="F682" s="117"/>
      <c r="G682" s="199">
        <f>SUM(G683+G692+G717)</f>
        <v>9274.7</v>
      </c>
      <c r="H682" s="199" t="e">
        <f>SUM(#REF!+H773)</f>
        <v>#REF!</v>
      </c>
      <c r="I682" s="31" t="e">
        <f>SUM(H682/G682*100)</f>
        <v>#REF!</v>
      </c>
    </row>
    <row r="683" spans="1:9" ht="18.75" customHeight="1" hidden="1">
      <c r="A683" s="27" t="s">
        <v>702</v>
      </c>
      <c r="B683" s="28"/>
      <c r="C683" s="29" t="s">
        <v>703</v>
      </c>
      <c r="D683" s="29"/>
      <c r="E683" s="29"/>
      <c r="F683" s="30"/>
      <c r="G683" s="31">
        <f>SUM(G684+G688)</f>
        <v>0</v>
      </c>
      <c r="H683" s="199"/>
      <c r="I683" s="31"/>
    </row>
    <row r="684" spans="1:9" ht="30.75" customHeight="1" hidden="1">
      <c r="A684" s="32" t="s">
        <v>754</v>
      </c>
      <c r="B684" s="28"/>
      <c r="C684" s="29" t="s">
        <v>703</v>
      </c>
      <c r="D684" s="29" t="s">
        <v>737</v>
      </c>
      <c r="E684" s="29"/>
      <c r="F684" s="30"/>
      <c r="G684" s="31">
        <f>SUM(G685)</f>
        <v>0</v>
      </c>
      <c r="H684" s="199"/>
      <c r="I684" s="31"/>
    </row>
    <row r="685" spans="1:9" ht="30.75" customHeight="1" hidden="1">
      <c r="A685" s="32" t="s">
        <v>706</v>
      </c>
      <c r="B685" s="28"/>
      <c r="C685" s="29" t="s">
        <v>703</v>
      </c>
      <c r="D685" s="29" t="s">
        <v>737</v>
      </c>
      <c r="E685" s="29" t="s">
        <v>707</v>
      </c>
      <c r="F685" s="33"/>
      <c r="G685" s="31">
        <f>SUM(G686)</f>
        <v>0</v>
      </c>
      <c r="H685" s="199"/>
      <c r="I685" s="31"/>
    </row>
    <row r="686" spans="1:9" ht="20.25" customHeight="1" hidden="1">
      <c r="A686" s="32" t="s">
        <v>714</v>
      </c>
      <c r="B686" s="28"/>
      <c r="C686" s="29" t="s">
        <v>703</v>
      </c>
      <c r="D686" s="29" t="s">
        <v>737</v>
      </c>
      <c r="E686" s="29" t="s">
        <v>716</v>
      </c>
      <c r="F686" s="33"/>
      <c r="G686" s="31">
        <f>SUM(G687)</f>
        <v>0</v>
      </c>
      <c r="H686" s="199"/>
      <c r="I686" s="31"/>
    </row>
    <row r="687" spans="1:9" ht="30.75" customHeight="1" hidden="1">
      <c r="A687" s="32" t="s">
        <v>710</v>
      </c>
      <c r="B687" s="28"/>
      <c r="C687" s="29" t="s">
        <v>703</v>
      </c>
      <c r="D687" s="29" t="s">
        <v>737</v>
      </c>
      <c r="E687" s="29" t="s">
        <v>716</v>
      </c>
      <c r="F687" s="30" t="s">
        <v>711</v>
      </c>
      <c r="G687" s="31"/>
      <c r="H687" s="199"/>
      <c r="I687" s="31"/>
    </row>
    <row r="688" spans="1:9" ht="15" hidden="1">
      <c r="A688" s="32" t="s">
        <v>719</v>
      </c>
      <c r="B688" s="28"/>
      <c r="C688" s="29" t="s">
        <v>703</v>
      </c>
      <c r="D688" s="29" t="s">
        <v>798</v>
      </c>
      <c r="E688" s="29"/>
      <c r="F688" s="33"/>
      <c r="G688" s="31">
        <f>SUM(G689)</f>
        <v>0</v>
      </c>
      <c r="H688" s="31">
        <f>SUM(H689)</f>
        <v>186.6</v>
      </c>
      <c r="I688" s="31" t="e">
        <f>SUM(H688/G688*100)</f>
        <v>#DIV/0!</v>
      </c>
    </row>
    <row r="689" spans="1:9" ht="28.5" hidden="1">
      <c r="A689" s="46" t="s">
        <v>721</v>
      </c>
      <c r="B689" s="28"/>
      <c r="C689" s="29" t="s">
        <v>703</v>
      </c>
      <c r="D689" s="29" t="s">
        <v>798</v>
      </c>
      <c r="E689" s="29" t="s">
        <v>722</v>
      </c>
      <c r="F689" s="34"/>
      <c r="G689" s="31">
        <f>SUM(G691)</f>
        <v>0</v>
      </c>
      <c r="H689" s="31">
        <f>SUM(H691)</f>
        <v>186.6</v>
      </c>
      <c r="I689" s="31" t="e">
        <f>SUM(H689/G689*100)</f>
        <v>#DIV/0!</v>
      </c>
    </row>
    <row r="690" spans="1:9" ht="15" hidden="1">
      <c r="A690" s="46" t="s">
        <v>723</v>
      </c>
      <c r="B690" s="28"/>
      <c r="C690" s="29" t="s">
        <v>703</v>
      </c>
      <c r="D690" s="29" t="s">
        <v>798</v>
      </c>
      <c r="E690" s="29" t="s">
        <v>811</v>
      </c>
      <c r="F690" s="34"/>
      <c r="G690" s="31">
        <f>SUM(G691)</f>
        <v>0</v>
      </c>
      <c r="H690" s="31">
        <f>SUM(H691)</f>
        <v>186.6</v>
      </c>
      <c r="I690" s="31" t="e">
        <f>SUM(H690/G690*100)</f>
        <v>#DIV/0!</v>
      </c>
    </row>
    <row r="691" spans="1:9" ht="27" customHeight="1" hidden="1">
      <c r="A691" s="32" t="s">
        <v>710</v>
      </c>
      <c r="B691" s="28"/>
      <c r="C691" s="29" t="s">
        <v>703</v>
      </c>
      <c r="D691" s="29" t="s">
        <v>798</v>
      </c>
      <c r="E691" s="29" t="s">
        <v>811</v>
      </c>
      <c r="F691" s="34" t="s">
        <v>711</v>
      </c>
      <c r="G691" s="31">
        <f>276.8-276.8</f>
        <v>0</v>
      </c>
      <c r="H691" s="31">
        <v>186.6</v>
      </c>
      <c r="I691" s="31" t="e">
        <f>SUM(H691/G691*100)</f>
        <v>#DIV/0!</v>
      </c>
    </row>
    <row r="692" spans="1:9" s="226" customFormat="1" ht="15">
      <c r="A692" s="38" t="s">
        <v>725</v>
      </c>
      <c r="B692" s="39"/>
      <c r="C692" s="40" t="s">
        <v>726</v>
      </c>
      <c r="D692" s="40"/>
      <c r="E692" s="40"/>
      <c r="F692" s="125"/>
      <c r="G692" s="31">
        <f>SUM(G693,G699,G711)</f>
        <v>6902.900000000001</v>
      </c>
      <c r="H692" s="64" t="e">
        <f>SUM(H693+H726+H790+H816)</f>
        <v>#REF!</v>
      </c>
      <c r="I692" s="64" t="e">
        <f aca="true" t="shared" si="27" ref="I692:I723">SUM(H692/G692*100)</f>
        <v>#REF!</v>
      </c>
    </row>
    <row r="693" spans="1:9" s="119" customFormat="1" ht="15.75" customHeight="1">
      <c r="A693" s="32" t="s">
        <v>186</v>
      </c>
      <c r="B693" s="118"/>
      <c r="C693" s="45" t="s">
        <v>726</v>
      </c>
      <c r="D693" s="45" t="s">
        <v>705</v>
      </c>
      <c r="E693" s="45"/>
      <c r="F693" s="33"/>
      <c r="G693" s="31">
        <f>SUM(G694)</f>
        <v>6395.3</v>
      </c>
      <c r="H693" s="31" t="e">
        <f>SUM(H719+#REF!+H749+H765)+H770+H742+H761+H758+H694+H772</f>
        <v>#REF!</v>
      </c>
      <c r="I693" s="31" t="e">
        <f t="shared" si="27"/>
        <v>#REF!</v>
      </c>
    </row>
    <row r="694" spans="1:9" ht="18" customHeight="1">
      <c r="A694" s="27" t="s">
        <v>269</v>
      </c>
      <c r="B694" s="28"/>
      <c r="C694" s="45" t="s">
        <v>726</v>
      </c>
      <c r="D694" s="45" t="s">
        <v>705</v>
      </c>
      <c r="E694" s="45" t="s">
        <v>270</v>
      </c>
      <c r="F694" s="33"/>
      <c r="G694" s="31">
        <f>SUM(G695+G697)</f>
        <v>6395.3</v>
      </c>
      <c r="H694" s="31">
        <f>SUM(H695)</f>
        <v>58066.5</v>
      </c>
      <c r="I694" s="31">
        <f t="shared" si="27"/>
        <v>907.9558425718886</v>
      </c>
    </row>
    <row r="695" spans="1:9" ht="28.5" customHeight="1">
      <c r="A695" s="32" t="s">
        <v>805</v>
      </c>
      <c r="B695" s="118"/>
      <c r="C695" s="45" t="s">
        <v>726</v>
      </c>
      <c r="D695" s="45" t="s">
        <v>705</v>
      </c>
      <c r="E695" s="45" t="s">
        <v>271</v>
      </c>
      <c r="F695" s="33"/>
      <c r="G695" s="31">
        <f>SUM(G696)</f>
        <v>6395.3</v>
      </c>
      <c r="H695" s="31">
        <f>SUM(H696+H721+H719)</f>
        <v>58066.5</v>
      </c>
      <c r="I695" s="31">
        <f t="shared" si="27"/>
        <v>907.9558425718886</v>
      </c>
    </row>
    <row r="696" spans="1:9" ht="15.75" customHeight="1">
      <c r="A696" s="49" t="s">
        <v>807</v>
      </c>
      <c r="B696" s="66"/>
      <c r="C696" s="45" t="s">
        <v>726</v>
      </c>
      <c r="D696" s="45" t="s">
        <v>705</v>
      </c>
      <c r="E696" s="45" t="s">
        <v>271</v>
      </c>
      <c r="F696" s="34" t="s">
        <v>808</v>
      </c>
      <c r="G696" s="31">
        <f>6418.5-23.2</f>
        <v>6395.3</v>
      </c>
      <c r="H696" s="31">
        <v>56722</v>
      </c>
      <c r="I696" s="31">
        <f t="shared" si="27"/>
        <v>886.9325911216048</v>
      </c>
    </row>
    <row r="697" spans="1:9" ht="15.75" customHeight="1" hidden="1">
      <c r="A697" s="49" t="s">
        <v>174</v>
      </c>
      <c r="B697" s="66"/>
      <c r="C697" s="45" t="s">
        <v>726</v>
      </c>
      <c r="D697" s="45" t="s">
        <v>705</v>
      </c>
      <c r="E697" s="67" t="s">
        <v>274</v>
      </c>
      <c r="F697" s="34"/>
      <c r="G697" s="31">
        <f>SUM(G698)</f>
        <v>0</v>
      </c>
      <c r="H697" s="31"/>
      <c r="I697" s="31"/>
    </row>
    <row r="698" spans="1:9" ht="27.75" customHeight="1" hidden="1">
      <c r="A698" s="49" t="s">
        <v>176</v>
      </c>
      <c r="B698" s="66"/>
      <c r="C698" s="45" t="s">
        <v>726</v>
      </c>
      <c r="D698" s="45" t="s">
        <v>705</v>
      </c>
      <c r="E698" s="67" t="s">
        <v>274</v>
      </c>
      <c r="F698" s="34" t="s">
        <v>177</v>
      </c>
      <c r="G698" s="31"/>
      <c r="H698" s="31"/>
      <c r="I698" s="31"/>
    </row>
    <row r="699" spans="1:9" ht="23.25" customHeight="1">
      <c r="A699" s="32" t="s">
        <v>727</v>
      </c>
      <c r="B699" s="36"/>
      <c r="C699" s="29" t="s">
        <v>726</v>
      </c>
      <c r="D699" s="29" t="s">
        <v>726</v>
      </c>
      <c r="E699" s="29"/>
      <c r="F699" s="30"/>
      <c r="G699" s="31">
        <f>SUM(G704)</f>
        <v>370.3</v>
      </c>
      <c r="H699" s="31" t="e">
        <f>SUM(H704+H718+H725+H700)</f>
        <v>#REF!</v>
      </c>
      <c r="I699" s="31" t="e">
        <f t="shared" si="27"/>
        <v>#REF!</v>
      </c>
    </row>
    <row r="700" spans="1:9" ht="15" hidden="1">
      <c r="A700" s="27" t="s">
        <v>794</v>
      </c>
      <c r="B700" s="28"/>
      <c r="C700" s="29" t="s">
        <v>726</v>
      </c>
      <c r="D700" s="29" t="s">
        <v>726</v>
      </c>
      <c r="E700" s="29" t="s">
        <v>796</v>
      </c>
      <c r="F700" s="30"/>
      <c r="G700" s="31">
        <f>SUM(G701)</f>
        <v>0</v>
      </c>
      <c r="H700" s="31">
        <f>SUM(H701)</f>
        <v>1563.8</v>
      </c>
      <c r="I700" s="31" t="e">
        <f t="shared" si="27"/>
        <v>#DIV/0!</v>
      </c>
    </row>
    <row r="701" spans="1:9" ht="15" hidden="1">
      <c r="A701" s="27" t="s">
        <v>765</v>
      </c>
      <c r="B701" s="28"/>
      <c r="C701" s="29" t="s">
        <v>726</v>
      </c>
      <c r="D701" s="29" t="s">
        <v>726</v>
      </c>
      <c r="E701" s="29" t="s">
        <v>766</v>
      </c>
      <c r="F701" s="30"/>
      <c r="G701" s="31">
        <f>SUM(G702+G703)</f>
        <v>0</v>
      </c>
      <c r="H701" s="31">
        <f>SUM(H702+H703)</f>
        <v>1563.8</v>
      </c>
      <c r="I701" s="31" t="e">
        <f t="shared" si="27"/>
        <v>#DIV/0!</v>
      </c>
    </row>
    <row r="702" spans="1:9" ht="15" hidden="1">
      <c r="A702" s="49" t="s">
        <v>807</v>
      </c>
      <c r="B702" s="44"/>
      <c r="C702" s="29" t="s">
        <v>726</v>
      </c>
      <c r="D702" s="29" t="s">
        <v>726</v>
      </c>
      <c r="E702" s="29" t="s">
        <v>766</v>
      </c>
      <c r="F702" s="33" t="s">
        <v>808</v>
      </c>
      <c r="G702" s="31"/>
      <c r="H702" s="31">
        <v>964</v>
      </c>
      <c r="I702" s="31" t="e">
        <f t="shared" si="27"/>
        <v>#DIV/0!</v>
      </c>
    </row>
    <row r="703" spans="1:9" ht="15" hidden="1">
      <c r="A703" s="49" t="s">
        <v>305</v>
      </c>
      <c r="B703" s="44"/>
      <c r="C703" s="29" t="s">
        <v>726</v>
      </c>
      <c r="D703" s="29" t="s">
        <v>726</v>
      </c>
      <c r="E703" s="29" t="s">
        <v>766</v>
      </c>
      <c r="F703" s="33" t="s">
        <v>306</v>
      </c>
      <c r="G703" s="31"/>
      <c r="H703" s="31">
        <v>599.8</v>
      </c>
      <c r="I703" s="31" t="e">
        <f t="shared" si="27"/>
        <v>#DIV/0!</v>
      </c>
    </row>
    <row r="704" spans="1:9" ht="28.5">
      <c r="A704" s="43" t="s">
        <v>307</v>
      </c>
      <c r="B704" s="44"/>
      <c r="C704" s="45" t="s">
        <v>726</v>
      </c>
      <c r="D704" s="45" t="s">
        <v>726</v>
      </c>
      <c r="E704" s="45" t="s">
        <v>308</v>
      </c>
      <c r="F704" s="33"/>
      <c r="G704" s="31">
        <f>SUM(G705+G709)</f>
        <v>370.3</v>
      </c>
      <c r="H704" s="31" t="e">
        <f>SUM(H705+#REF!+#REF!)</f>
        <v>#REF!</v>
      </c>
      <c r="I704" s="31" t="e">
        <f t="shared" si="27"/>
        <v>#REF!</v>
      </c>
    </row>
    <row r="705" spans="1:9" ht="18" customHeight="1">
      <c r="A705" s="43" t="s">
        <v>309</v>
      </c>
      <c r="B705" s="45"/>
      <c r="C705" s="45" t="s">
        <v>726</v>
      </c>
      <c r="D705" s="45" t="s">
        <v>726</v>
      </c>
      <c r="E705" s="45" t="s">
        <v>310</v>
      </c>
      <c r="F705" s="33"/>
      <c r="G705" s="31">
        <f>SUM(G706,G707)</f>
        <v>106.30000000000001</v>
      </c>
      <c r="H705" s="31">
        <f>SUM(H706:H710)</f>
        <v>2394.5</v>
      </c>
      <c r="I705" s="31">
        <f t="shared" si="27"/>
        <v>2252.5870178739415</v>
      </c>
    </row>
    <row r="706" spans="1:9" ht="13.5" customHeight="1">
      <c r="A706" s="49" t="s">
        <v>807</v>
      </c>
      <c r="B706" s="44"/>
      <c r="C706" s="45" t="s">
        <v>726</v>
      </c>
      <c r="D706" s="45" t="s">
        <v>726</v>
      </c>
      <c r="E706" s="45" t="s">
        <v>310</v>
      </c>
      <c r="F706" s="33" t="s">
        <v>808</v>
      </c>
      <c r="G706" s="31">
        <v>20.9</v>
      </c>
      <c r="H706" s="31">
        <v>341.9</v>
      </c>
      <c r="I706" s="31">
        <f t="shared" si="27"/>
        <v>1635.8851674641148</v>
      </c>
    </row>
    <row r="707" spans="1:9" ht="57.75" customHeight="1">
      <c r="A707" s="49" t="s">
        <v>312</v>
      </c>
      <c r="B707" s="44"/>
      <c r="C707" s="45" t="s">
        <v>726</v>
      </c>
      <c r="D707" s="45" t="s">
        <v>726</v>
      </c>
      <c r="E707" s="45" t="s">
        <v>313</v>
      </c>
      <c r="F707" s="33"/>
      <c r="G707" s="31">
        <f>SUM(G708)</f>
        <v>85.4</v>
      </c>
      <c r="H707" s="31"/>
      <c r="I707" s="31"/>
    </row>
    <row r="708" spans="1:9" ht="13.5" customHeight="1">
      <c r="A708" s="49" t="s">
        <v>807</v>
      </c>
      <c r="B708" s="44"/>
      <c r="C708" s="45" t="s">
        <v>726</v>
      </c>
      <c r="D708" s="45" t="s">
        <v>726</v>
      </c>
      <c r="E708" s="45" t="s">
        <v>313</v>
      </c>
      <c r="F708" s="33" t="s">
        <v>808</v>
      </c>
      <c r="G708" s="31">
        <v>85.4</v>
      </c>
      <c r="H708" s="31"/>
      <c r="I708" s="31"/>
    </row>
    <row r="709" spans="1:9" ht="17.25" customHeight="1">
      <c r="A709" s="27" t="s">
        <v>805</v>
      </c>
      <c r="B709" s="44"/>
      <c r="C709" s="45" t="s">
        <v>726</v>
      </c>
      <c r="D709" s="45" t="s">
        <v>726</v>
      </c>
      <c r="E709" s="45" t="s">
        <v>314</v>
      </c>
      <c r="F709" s="33"/>
      <c r="G709" s="31">
        <f>SUM(G710)</f>
        <v>264</v>
      </c>
      <c r="H709" s="31">
        <f>SUM(H710)</f>
        <v>1026.3</v>
      </c>
      <c r="I709" s="31">
        <f t="shared" si="27"/>
        <v>388.75</v>
      </c>
    </row>
    <row r="710" spans="1:9" ht="18.75" customHeight="1">
      <c r="A710" s="49" t="s">
        <v>807</v>
      </c>
      <c r="B710" s="44"/>
      <c r="C710" s="45" t="s">
        <v>726</v>
      </c>
      <c r="D710" s="45" t="s">
        <v>726</v>
      </c>
      <c r="E710" s="45" t="s">
        <v>314</v>
      </c>
      <c r="F710" s="33" t="s">
        <v>808</v>
      </c>
      <c r="G710" s="31">
        <f>273.3-9.3</f>
        <v>264</v>
      </c>
      <c r="H710" s="31">
        <v>1026.3</v>
      </c>
      <c r="I710" s="31">
        <f t="shared" si="27"/>
        <v>388.75</v>
      </c>
    </row>
    <row r="711" spans="1:9" ht="18.75" customHeight="1">
      <c r="A711" s="49" t="s">
        <v>329</v>
      </c>
      <c r="B711" s="44"/>
      <c r="C711" s="45" t="s">
        <v>726</v>
      </c>
      <c r="D711" s="45" t="s">
        <v>861</v>
      </c>
      <c r="E711" s="45"/>
      <c r="F711" s="33"/>
      <c r="G711" s="31">
        <f>SUM(G712)</f>
        <v>137.29999999999998</v>
      </c>
      <c r="H711" s="31"/>
      <c r="I711" s="31"/>
    </row>
    <row r="712" spans="1:9" ht="21" customHeight="1">
      <c r="A712" s="103" t="s">
        <v>767</v>
      </c>
      <c r="B712" s="123"/>
      <c r="C712" s="45" t="s">
        <v>726</v>
      </c>
      <c r="D712" s="45" t="s">
        <v>861</v>
      </c>
      <c r="E712" s="45" t="s">
        <v>768</v>
      </c>
      <c r="F712" s="34"/>
      <c r="G712" s="31">
        <f>SUM(G713)</f>
        <v>137.29999999999998</v>
      </c>
      <c r="H712" s="31">
        <f>SUM(H713)</f>
        <v>4033.5</v>
      </c>
      <c r="I712" s="31">
        <f>SUM(H712/G712*100)</f>
        <v>2937.727603787327</v>
      </c>
    </row>
    <row r="713" spans="1:9" ht="19.5" customHeight="1">
      <c r="A713" s="103" t="s">
        <v>305</v>
      </c>
      <c r="B713" s="123"/>
      <c r="C713" s="45" t="s">
        <v>726</v>
      </c>
      <c r="D713" s="45" t="s">
        <v>861</v>
      </c>
      <c r="E713" s="45" t="s">
        <v>768</v>
      </c>
      <c r="F713" s="34" t="s">
        <v>306</v>
      </c>
      <c r="G713" s="31">
        <f>SUM(G714,G715,G716)</f>
        <v>137.29999999999998</v>
      </c>
      <c r="H713" s="31">
        <f>SUM(H718:H722)</f>
        <v>4033.5</v>
      </c>
      <c r="I713" s="31">
        <f>SUM(H713/G713*100)</f>
        <v>2937.727603787327</v>
      </c>
    </row>
    <row r="714" spans="1:9" ht="45" customHeight="1">
      <c r="A714" s="103" t="s">
        <v>356</v>
      </c>
      <c r="B714" s="123"/>
      <c r="C714" s="45" t="s">
        <v>726</v>
      </c>
      <c r="D714" s="45" t="s">
        <v>861</v>
      </c>
      <c r="E714" s="45" t="s">
        <v>357</v>
      </c>
      <c r="F714" s="34" t="s">
        <v>306</v>
      </c>
      <c r="G714" s="31">
        <v>55.1</v>
      </c>
      <c r="H714" s="31"/>
      <c r="I714" s="31"/>
    </row>
    <row r="715" spans="1:9" ht="71.25" customHeight="1">
      <c r="A715" s="103" t="s">
        <v>360</v>
      </c>
      <c r="B715" s="123"/>
      <c r="C715" s="45" t="s">
        <v>726</v>
      </c>
      <c r="D715" s="45" t="s">
        <v>861</v>
      </c>
      <c r="E715" s="45" t="s">
        <v>361</v>
      </c>
      <c r="F715" s="34" t="s">
        <v>306</v>
      </c>
      <c r="G715" s="31">
        <v>69.5</v>
      </c>
      <c r="H715" s="31"/>
      <c r="I715" s="31"/>
    </row>
    <row r="716" spans="1:9" ht="33.75" customHeight="1">
      <c r="A716" s="103" t="s">
        <v>362</v>
      </c>
      <c r="B716" s="123"/>
      <c r="C716" s="45" t="s">
        <v>726</v>
      </c>
      <c r="D716" s="45" t="s">
        <v>861</v>
      </c>
      <c r="E716" s="45" t="s">
        <v>363</v>
      </c>
      <c r="F716" s="34" t="s">
        <v>306</v>
      </c>
      <c r="G716" s="31">
        <v>12.7</v>
      </c>
      <c r="H716" s="31"/>
      <c r="I716" s="31"/>
    </row>
    <row r="717" spans="1:9" s="226" customFormat="1" ht="15">
      <c r="A717" s="38" t="s">
        <v>396</v>
      </c>
      <c r="B717" s="39"/>
      <c r="C717" s="40" t="s">
        <v>861</v>
      </c>
      <c r="D717" s="40"/>
      <c r="E717" s="40"/>
      <c r="F717" s="125"/>
      <c r="G717" s="64">
        <f>SUM(G718+G724)</f>
        <v>2371.8</v>
      </c>
      <c r="H717" s="64" t="e">
        <f>SUM(H718+#REF!+H744+H749+H759+H768)</f>
        <v>#REF!</v>
      </c>
      <c r="I717" s="64" t="e">
        <f t="shared" si="27"/>
        <v>#REF!</v>
      </c>
    </row>
    <row r="718" spans="1:9" ht="15">
      <c r="A718" s="27" t="s">
        <v>424</v>
      </c>
      <c r="B718" s="28"/>
      <c r="C718" s="29" t="s">
        <v>861</v>
      </c>
      <c r="D718" s="29" t="s">
        <v>739</v>
      </c>
      <c r="E718" s="29"/>
      <c r="F718" s="30"/>
      <c r="G718" s="31">
        <f>SUM(G719,G721)</f>
        <v>505.5</v>
      </c>
      <c r="H718" s="31">
        <f>SUM(H721+H724+H719)</f>
        <v>1344.5</v>
      </c>
      <c r="I718" s="31">
        <f t="shared" si="27"/>
        <v>265.9742828882295</v>
      </c>
    </row>
    <row r="719" spans="1:9" ht="15" hidden="1">
      <c r="A719" s="49" t="s">
        <v>765</v>
      </c>
      <c r="B719" s="28"/>
      <c r="C719" s="29" t="s">
        <v>861</v>
      </c>
      <c r="D719" s="29" t="s">
        <v>739</v>
      </c>
      <c r="E719" s="45" t="s">
        <v>766</v>
      </c>
      <c r="F719" s="33"/>
      <c r="G719" s="31">
        <f>SUM(G720)</f>
        <v>0</v>
      </c>
      <c r="H719" s="31">
        <f>SUM(H720)</f>
        <v>79.5</v>
      </c>
      <c r="I719" s="31"/>
    </row>
    <row r="720" spans="1:9" ht="28.5" hidden="1">
      <c r="A720" s="32" t="s">
        <v>710</v>
      </c>
      <c r="B720" s="28"/>
      <c r="C720" s="29" t="s">
        <v>861</v>
      </c>
      <c r="D720" s="29" t="s">
        <v>739</v>
      </c>
      <c r="E720" s="45" t="s">
        <v>766</v>
      </c>
      <c r="F720" s="33" t="s">
        <v>711</v>
      </c>
      <c r="G720" s="31">
        <f>50.3-50.3</f>
        <v>0</v>
      </c>
      <c r="H720" s="31">
        <v>79.5</v>
      </c>
      <c r="I720" s="31"/>
    </row>
    <row r="721" spans="1:9" ht="28.5">
      <c r="A721" s="27" t="s">
        <v>425</v>
      </c>
      <c r="B721" s="28"/>
      <c r="C721" s="29" t="s">
        <v>861</v>
      </c>
      <c r="D721" s="29" t="s">
        <v>739</v>
      </c>
      <c r="E721" s="55" t="s">
        <v>294</v>
      </c>
      <c r="F721" s="30"/>
      <c r="G721" s="31">
        <f>SUM(G722)</f>
        <v>505.5</v>
      </c>
      <c r="H721" s="31">
        <f>SUM(H722)</f>
        <v>1265</v>
      </c>
      <c r="I721" s="31">
        <f t="shared" si="27"/>
        <v>250.24727992087043</v>
      </c>
    </row>
    <row r="722" spans="1:9" ht="30" customHeight="1">
      <c r="A722" s="27" t="s">
        <v>195</v>
      </c>
      <c r="B722" s="28"/>
      <c r="C722" s="29" t="s">
        <v>861</v>
      </c>
      <c r="D722" s="29" t="s">
        <v>739</v>
      </c>
      <c r="E722" s="55" t="s">
        <v>295</v>
      </c>
      <c r="F722" s="30"/>
      <c r="G722" s="31">
        <f>SUM(G723)</f>
        <v>505.5</v>
      </c>
      <c r="H722" s="31">
        <f>SUM(H723)</f>
        <v>1265</v>
      </c>
      <c r="I722" s="31">
        <f t="shared" si="27"/>
        <v>250.24727992087043</v>
      </c>
    </row>
    <row r="723" spans="1:9" ht="30" customHeight="1">
      <c r="A723" s="32" t="s">
        <v>710</v>
      </c>
      <c r="B723" s="28"/>
      <c r="C723" s="29" t="s">
        <v>861</v>
      </c>
      <c r="D723" s="29" t="s">
        <v>739</v>
      </c>
      <c r="E723" s="55" t="s">
        <v>295</v>
      </c>
      <c r="F723" s="30" t="s">
        <v>711</v>
      </c>
      <c r="G723" s="31">
        <f>499.6-2.8-8.8+17.5</f>
        <v>505.5</v>
      </c>
      <c r="H723" s="31">
        <v>1265</v>
      </c>
      <c r="I723" s="31">
        <f t="shared" si="27"/>
        <v>250.24727992087043</v>
      </c>
    </row>
    <row r="724" spans="1:9" ht="28.5">
      <c r="A724" s="27" t="s">
        <v>428</v>
      </c>
      <c r="B724" s="28"/>
      <c r="C724" s="45" t="s">
        <v>861</v>
      </c>
      <c r="D724" s="45" t="s">
        <v>1</v>
      </c>
      <c r="E724" s="45"/>
      <c r="F724" s="33"/>
      <c r="G724" s="31">
        <f>SUM(G725+G728+G730)</f>
        <v>1866.3</v>
      </c>
      <c r="H724" s="31"/>
      <c r="I724" s="31"/>
    </row>
    <row r="725" spans="1:9" ht="30.75" customHeight="1">
      <c r="A725" s="32" t="s">
        <v>706</v>
      </c>
      <c r="B725" s="28"/>
      <c r="C725" s="45" t="s">
        <v>861</v>
      </c>
      <c r="D725" s="45" t="s">
        <v>1</v>
      </c>
      <c r="E725" s="29" t="s">
        <v>707</v>
      </c>
      <c r="F725" s="33"/>
      <c r="G725" s="31">
        <f>SUM(G726)</f>
        <v>1584.2</v>
      </c>
      <c r="H725" s="199"/>
      <c r="I725" s="31"/>
    </row>
    <row r="726" spans="1:9" ht="20.25" customHeight="1">
      <c r="A726" s="32" t="s">
        <v>714</v>
      </c>
      <c r="B726" s="28"/>
      <c r="C726" s="45" t="s">
        <v>861</v>
      </c>
      <c r="D726" s="45" t="s">
        <v>1</v>
      </c>
      <c r="E726" s="29" t="s">
        <v>716</v>
      </c>
      <c r="F726" s="33"/>
      <c r="G726" s="31">
        <f>SUM(G727)</f>
        <v>1584.2</v>
      </c>
      <c r="H726" s="199"/>
      <c r="I726" s="31"/>
    </row>
    <row r="727" spans="1:9" ht="30.75" customHeight="1">
      <c r="A727" s="32" t="s">
        <v>710</v>
      </c>
      <c r="B727" s="28"/>
      <c r="C727" s="45" t="s">
        <v>861</v>
      </c>
      <c r="D727" s="45" t="s">
        <v>1</v>
      </c>
      <c r="E727" s="29" t="s">
        <v>716</v>
      </c>
      <c r="F727" s="30" t="s">
        <v>711</v>
      </c>
      <c r="G727" s="31">
        <v>1584.2</v>
      </c>
      <c r="H727" s="199"/>
      <c r="I727" s="31"/>
    </row>
    <row r="728" spans="1:9" ht="15">
      <c r="A728" s="49" t="s">
        <v>765</v>
      </c>
      <c r="B728" s="28"/>
      <c r="C728" s="29" t="s">
        <v>861</v>
      </c>
      <c r="D728" s="29" t="s">
        <v>1</v>
      </c>
      <c r="E728" s="45" t="s">
        <v>766</v>
      </c>
      <c r="F728" s="33"/>
      <c r="G728" s="31">
        <f>SUM(G729)</f>
        <v>5.3</v>
      </c>
      <c r="H728" s="31">
        <f>SUM(H729)</f>
        <v>79.5</v>
      </c>
      <c r="I728" s="31"/>
    </row>
    <row r="729" spans="1:9" ht="28.5">
      <c r="A729" s="32" t="s">
        <v>710</v>
      </c>
      <c r="B729" s="28"/>
      <c r="C729" s="29" t="s">
        <v>861</v>
      </c>
      <c r="D729" s="29" t="s">
        <v>1</v>
      </c>
      <c r="E729" s="45" t="s">
        <v>766</v>
      </c>
      <c r="F729" s="33" t="s">
        <v>711</v>
      </c>
      <c r="G729" s="31">
        <v>5.3</v>
      </c>
      <c r="H729" s="31">
        <v>79.5</v>
      </c>
      <c r="I729" s="31"/>
    </row>
    <row r="730" spans="1:9" ht="28.5">
      <c r="A730" s="46" t="s">
        <v>721</v>
      </c>
      <c r="B730" s="28"/>
      <c r="C730" s="29" t="s">
        <v>861</v>
      </c>
      <c r="D730" s="29" t="s">
        <v>1</v>
      </c>
      <c r="E730" s="29" t="s">
        <v>722</v>
      </c>
      <c r="F730" s="34"/>
      <c r="G730" s="31">
        <f>SUM(G732)</f>
        <v>276.8</v>
      </c>
      <c r="H730" s="31">
        <f>SUM(H732)</f>
        <v>186.6</v>
      </c>
      <c r="I730" s="31">
        <f>SUM(H730/G730*100)</f>
        <v>67.41329479768787</v>
      </c>
    </row>
    <row r="731" spans="1:9" ht="15">
      <c r="A731" s="46" t="s">
        <v>723</v>
      </c>
      <c r="B731" s="28"/>
      <c r="C731" s="29" t="s">
        <v>861</v>
      </c>
      <c r="D731" s="29" t="s">
        <v>1</v>
      </c>
      <c r="E731" s="29" t="s">
        <v>811</v>
      </c>
      <c r="F731" s="34"/>
      <c r="G731" s="31">
        <f>SUM(G732)</f>
        <v>276.8</v>
      </c>
      <c r="H731" s="31">
        <f>SUM(H732)</f>
        <v>186.6</v>
      </c>
      <c r="I731" s="31">
        <f>SUM(H731/G731*100)</f>
        <v>67.41329479768787</v>
      </c>
    </row>
    <row r="732" spans="1:9" ht="27" customHeight="1">
      <c r="A732" s="32" t="s">
        <v>710</v>
      </c>
      <c r="B732" s="28"/>
      <c r="C732" s="29" t="s">
        <v>861</v>
      </c>
      <c r="D732" s="29" t="s">
        <v>1</v>
      </c>
      <c r="E732" s="29" t="s">
        <v>811</v>
      </c>
      <c r="F732" s="34" t="s">
        <v>711</v>
      </c>
      <c r="G732" s="31">
        <f>276.8-276.8+276.8</f>
        <v>276.8</v>
      </c>
      <c r="H732" s="31">
        <v>186.6</v>
      </c>
      <c r="I732" s="31">
        <f>SUM(H732/G732*100)</f>
        <v>67.41329479768787</v>
      </c>
    </row>
    <row r="733" spans="1:9" ht="30" customHeight="1">
      <c r="A733" s="200" t="s">
        <v>662</v>
      </c>
      <c r="B733" s="118" t="s">
        <v>663</v>
      </c>
      <c r="C733" s="55"/>
      <c r="D733" s="116"/>
      <c r="E733" s="116"/>
      <c r="F733" s="117"/>
      <c r="G733" s="199">
        <f>SUM(G734)</f>
        <v>57979.799999999996</v>
      </c>
      <c r="H733" s="199">
        <f>SUM(H734)</f>
        <v>36922.5</v>
      </c>
      <c r="I733" s="54">
        <f aca="true" t="shared" si="28" ref="I733:I779">SUM(H733/G733*100)</f>
        <v>63.68166154419298</v>
      </c>
    </row>
    <row r="734" spans="1:9" ht="17.25" customHeight="1">
      <c r="A734" s="27" t="s">
        <v>824</v>
      </c>
      <c r="B734" s="28"/>
      <c r="C734" s="29" t="s">
        <v>713</v>
      </c>
      <c r="D734" s="29"/>
      <c r="E734" s="29"/>
      <c r="F734" s="30"/>
      <c r="G734" s="31">
        <f>SUM(G735)</f>
        <v>57979.799999999996</v>
      </c>
      <c r="H734" s="31">
        <f>SUM(H735)</f>
        <v>36922.5</v>
      </c>
      <c r="I734" s="31">
        <f t="shared" si="28"/>
        <v>63.68166154419298</v>
      </c>
    </row>
    <row r="735" spans="1:9" ht="21" customHeight="1">
      <c r="A735" s="27" t="s">
        <v>825</v>
      </c>
      <c r="B735" s="28"/>
      <c r="C735" s="29" t="s">
        <v>713</v>
      </c>
      <c r="D735" s="29" t="s">
        <v>705</v>
      </c>
      <c r="E735" s="29"/>
      <c r="F735" s="30"/>
      <c r="G735" s="31">
        <f>SUM(G736+G753)</f>
        <v>57979.799999999996</v>
      </c>
      <c r="H735" s="31">
        <f>SUM(H736+H753)</f>
        <v>36922.5</v>
      </c>
      <c r="I735" s="31">
        <f t="shared" si="28"/>
        <v>63.68166154419298</v>
      </c>
    </row>
    <row r="736" spans="1:9" ht="18" customHeight="1">
      <c r="A736" s="46" t="s">
        <v>826</v>
      </c>
      <c r="B736" s="28"/>
      <c r="C736" s="29" t="s">
        <v>713</v>
      </c>
      <c r="D736" s="29" t="s">
        <v>705</v>
      </c>
      <c r="E736" s="55" t="s">
        <v>827</v>
      </c>
      <c r="F736" s="30"/>
      <c r="G736" s="31">
        <f>SUM(G737+G739+G741+G743+G746+G751)</f>
        <v>56579.799999999996</v>
      </c>
      <c r="H736" s="31">
        <f>SUM(H737+H739+H741+H743+H746+H751)</f>
        <v>36646.8</v>
      </c>
      <c r="I736" s="31">
        <f t="shared" si="28"/>
        <v>64.77011230156347</v>
      </c>
    </row>
    <row r="737" spans="1:9" ht="70.5" customHeight="1">
      <c r="A737" s="46" t="s">
        <v>828</v>
      </c>
      <c r="B737" s="28"/>
      <c r="C737" s="29" t="s">
        <v>713</v>
      </c>
      <c r="D737" s="29" t="s">
        <v>705</v>
      </c>
      <c r="E737" s="55" t="s">
        <v>829</v>
      </c>
      <c r="F737" s="30"/>
      <c r="G737" s="31">
        <f>SUM(G738)</f>
        <v>5085</v>
      </c>
      <c r="H737" s="31">
        <f>SUM(H738)</f>
        <v>2461.2</v>
      </c>
      <c r="I737" s="31">
        <f t="shared" si="28"/>
        <v>48.40117994100295</v>
      </c>
    </row>
    <row r="738" spans="1:9" ht="42.75">
      <c r="A738" s="46" t="s">
        <v>830</v>
      </c>
      <c r="B738" s="28"/>
      <c r="C738" s="29" t="s">
        <v>713</v>
      </c>
      <c r="D738" s="29" t="s">
        <v>705</v>
      </c>
      <c r="E738" s="55" t="s">
        <v>829</v>
      </c>
      <c r="F738" s="30" t="s">
        <v>831</v>
      </c>
      <c r="G738" s="31">
        <v>5085</v>
      </c>
      <c r="H738" s="31">
        <v>2461.2</v>
      </c>
      <c r="I738" s="31">
        <f t="shared" si="28"/>
        <v>48.40117994100295</v>
      </c>
    </row>
    <row r="739" spans="1:9" ht="21" customHeight="1">
      <c r="A739" s="46" t="s">
        <v>832</v>
      </c>
      <c r="B739" s="28"/>
      <c r="C739" s="29" t="s">
        <v>713</v>
      </c>
      <c r="D739" s="29" t="s">
        <v>705</v>
      </c>
      <c r="E739" s="55" t="s">
        <v>833</v>
      </c>
      <c r="F739" s="30"/>
      <c r="G739" s="31">
        <f>SUM(G740)</f>
        <v>34465.7</v>
      </c>
      <c r="H739" s="31">
        <f>SUM(H740)</f>
        <v>25107.2</v>
      </c>
      <c r="I739" s="31">
        <f t="shared" si="28"/>
        <v>72.84691737002295</v>
      </c>
    </row>
    <row r="740" spans="1:9" ht="43.5" customHeight="1">
      <c r="A740" s="46" t="s">
        <v>830</v>
      </c>
      <c r="B740" s="28"/>
      <c r="C740" s="29" t="s">
        <v>713</v>
      </c>
      <c r="D740" s="29" t="s">
        <v>705</v>
      </c>
      <c r="E740" s="55" t="s">
        <v>833</v>
      </c>
      <c r="F740" s="30" t="s">
        <v>831</v>
      </c>
      <c r="G740" s="31">
        <v>34465.7</v>
      </c>
      <c r="H740" s="31">
        <v>25107.2</v>
      </c>
      <c r="I740" s="31">
        <f t="shared" si="28"/>
        <v>72.84691737002295</v>
      </c>
    </row>
    <row r="741" spans="1:9" ht="30.75" customHeight="1">
      <c r="A741" s="46" t="s">
        <v>834</v>
      </c>
      <c r="B741" s="28"/>
      <c r="C741" s="29" t="s">
        <v>713</v>
      </c>
      <c r="D741" s="29" t="s">
        <v>705</v>
      </c>
      <c r="E741" s="55" t="s">
        <v>835</v>
      </c>
      <c r="F741" s="30"/>
      <c r="G741" s="31">
        <f>SUM(G742)</f>
        <v>14141.6</v>
      </c>
      <c r="H741" s="31">
        <f>SUM(H742)</f>
        <v>7951.2</v>
      </c>
      <c r="I741" s="31">
        <f t="shared" si="28"/>
        <v>56.22560389206313</v>
      </c>
    </row>
    <row r="742" spans="1:9" ht="43.5" customHeight="1">
      <c r="A742" s="46" t="s">
        <v>830</v>
      </c>
      <c r="B742" s="28"/>
      <c r="C742" s="29" t="s">
        <v>713</v>
      </c>
      <c r="D742" s="29" t="s">
        <v>705</v>
      </c>
      <c r="E742" s="55" t="s">
        <v>835</v>
      </c>
      <c r="F742" s="30" t="s">
        <v>831</v>
      </c>
      <c r="G742" s="31">
        <f>13541.6+600</f>
        <v>14141.6</v>
      </c>
      <c r="H742" s="31">
        <v>7951.2</v>
      </c>
      <c r="I742" s="31">
        <f t="shared" si="28"/>
        <v>56.22560389206313</v>
      </c>
    </row>
    <row r="743" spans="1:9" s="126" customFormat="1" ht="15">
      <c r="A743" s="46" t="s">
        <v>836</v>
      </c>
      <c r="B743" s="28"/>
      <c r="C743" s="29" t="s">
        <v>713</v>
      </c>
      <c r="D743" s="29" t="s">
        <v>705</v>
      </c>
      <c r="E743" s="55" t="s">
        <v>837</v>
      </c>
      <c r="F743" s="30"/>
      <c r="G743" s="31">
        <f>SUM(G744)</f>
        <v>97.5</v>
      </c>
      <c r="H743" s="31">
        <f>SUM(H744)</f>
        <v>73.1</v>
      </c>
      <c r="I743" s="31">
        <f t="shared" si="28"/>
        <v>74.97435897435896</v>
      </c>
    </row>
    <row r="744" spans="1:9" s="126" customFormat="1" ht="36.75" customHeight="1">
      <c r="A744" s="46" t="s">
        <v>838</v>
      </c>
      <c r="B744" s="28"/>
      <c r="C744" s="29" t="s">
        <v>713</v>
      </c>
      <c r="D744" s="29" t="s">
        <v>705</v>
      </c>
      <c r="E744" s="55" t="s">
        <v>839</v>
      </c>
      <c r="F744" s="30"/>
      <c r="G744" s="31">
        <f>SUM(G745)</f>
        <v>97.5</v>
      </c>
      <c r="H744" s="31">
        <f>SUM(H745)</f>
        <v>73.1</v>
      </c>
      <c r="I744" s="31">
        <f t="shared" si="28"/>
        <v>74.97435897435896</v>
      </c>
    </row>
    <row r="745" spans="1:9" s="126" customFormat="1" ht="42.75">
      <c r="A745" s="46" t="s">
        <v>830</v>
      </c>
      <c r="B745" s="28"/>
      <c r="C745" s="29" t="s">
        <v>713</v>
      </c>
      <c r="D745" s="29" t="s">
        <v>705</v>
      </c>
      <c r="E745" s="55" t="s">
        <v>839</v>
      </c>
      <c r="F745" s="30" t="s">
        <v>831</v>
      </c>
      <c r="G745" s="31">
        <v>97.5</v>
      </c>
      <c r="H745" s="31">
        <v>73.1</v>
      </c>
      <c r="I745" s="31">
        <f t="shared" si="28"/>
        <v>74.97435897435896</v>
      </c>
    </row>
    <row r="746" spans="1:9" s="126" customFormat="1" ht="17.25" customHeight="1">
      <c r="A746" s="27" t="s">
        <v>840</v>
      </c>
      <c r="B746" s="28"/>
      <c r="C746" s="29" t="s">
        <v>841</v>
      </c>
      <c r="D746" s="29" t="s">
        <v>705</v>
      </c>
      <c r="E746" s="55" t="s">
        <v>842</v>
      </c>
      <c r="F746" s="30"/>
      <c r="G746" s="31">
        <f>SUM(G747+G749)</f>
        <v>1196.2</v>
      </c>
      <c r="H746" s="31">
        <f>SUM(H747+H749)</f>
        <v>66.8</v>
      </c>
      <c r="I746" s="31">
        <f t="shared" si="28"/>
        <v>5.58435044306972</v>
      </c>
    </row>
    <row r="747" spans="1:9" ht="14.25" customHeight="1">
      <c r="A747" s="46" t="s">
        <v>843</v>
      </c>
      <c r="B747" s="28"/>
      <c r="C747" s="29" t="s">
        <v>841</v>
      </c>
      <c r="D747" s="29" t="s">
        <v>705</v>
      </c>
      <c r="E747" s="55" t="s">
        <v>844</v>
      </c>
      <c r="F747" s="30"/>
      <c r="G747" s="31">
        <f>SUM(G748)</f>
        <v>1060</v>
      </c>
      <c r="H747" s="31">
        <f>SUM(H748)</f>
        <v>0</v>
      </c>
      <c r="I747" s="31">
        <f t="shared" si="28"/>
        <v>0</v>
      </c>
    </row>
    <row r="748" spans="1:9" ht="41.25" customHeight="1">
      <c r="A748" s="46" t="s">
        <v>830</v>
      </c>
      <c r="B748" s="28"/>
      <c r="C748" s="29" t="s">
        <v>841</v>
      </c>
      <c r="D748" s="29" t="s">
        <v>705</v>
      </c>
      <c r="E748" s="55" t="s">
        <v>844</v>
      </c>
      <c r="F748" s="30" t="s">
        <v>831</v>
      </c>
      <c r="G748" s="31">
        <v>1060</v>
      </c>
      <c r="H748" s="31"/>
      <c r="I748" s="31">
        <f t="shared" si="28"/>
        <v>0</v>
      </c>
    </row>
    <row r="749" spans="1:9" ht="15.75" customHeight="1">
      <c r="A749" s="46" t="s">
        <v>845</v>
      </c>
      <c r="B749" s="28"/>
      <c r="C749" s="29" t="s">
        <v>841</v>
      </c>
      <c r="D749" s="29" t="s">
        <v>705</v>
      </c>
      <c r="E749" s="55" t="s">
        <v>846</v>
      </c>
      <c r="F749" s="30"/>
      <c r="G749" s="31">
        <f>SUM(G750)</f>
        <v>136.2</v>
      </c>
      <c r="H749" s="31">
        <f>SUM(H750)</f>
        <v>66.8</v>
      </c>
      <c r="I749" s="31">
        <f t="shared" si="28"/>
        <v>49.04552129221733</v>
      </c>
    </row>
    <row r="750" spans="1:9" ht="48" customHeight="1">
      <c r="A750" s="46" t="s">
        <v>830</v>
      </c>
      <c r="B750" s="28"/>
      <c r="C750" s="29" t="s">
        <v>841</v>
      </c>
      <c r="D750" s="29" t="s">
        <v>705</v>
      </c>
      <c r="E750" s="55" t="s">
        <v>846</v>
      </c>
      <c r="F750" s="30" t="s">
        <v>831</v>
      </c>
      <c r="G750" s="31">
        <v>136.2</v>
      </c>
      <c r="H750" s="31">
        <v>66.8</v>
      </c>
      <c r="I750" s="31">
        <f t="shared" si="28"/>
        <v>49.04552129221733</v>
      </c>
    </row>
    <row r="751" spans="1:9" ht="47.25" customHeight="1">
      <c r="A751" s="27" t="s">
        <v>847</v>
      </c>
      <c r="B751" s="28"/>
      <c r="C751" s="29" t="s">
        <v>841</v>
      </c>
      <c r="D751" s="29" t="s">
        <v>705</v>
      </c>
      <c r="E751" s="55" t="s">
        <v>848</v>
      </c>
      <c r="F751" s="30"/>
      <c r="G751" s="31">
        <f>SUM(G752)</f>
        <v>1593.8</v>
      </c>
      <c r="H751" s="31">
        <f>SUM(H752)</f>
        <v>987.3</v>
      </c>
      <c r="I751" s="31">
        <f t="shared" si="28"/>
        <v>61.94629188103903</v>
      </c>
    </row>
    <row r="752" spans="1:9" ht="21" customHeight="1">
      <c r="A752" s="46" t="s">
        <v>849</v>
      </c>
      <c r="B752" s="28"/>
      <c r="C752" s="29" t="s">
        <v>841</v>
      </c>
      <c r="D752" s="29" t="s">
        <v>705</v>
      </c>
      <c r="E752" s="55" t="s">
        <v>848</v>
      </c>
      <c r="F752" s="30" t="s">
        <v>850</v>
      </c>
      <c r="G752" s="31">
        <v>1593.8</v>
      </c>
      <c r="H752" s="31">
        <v>987.3</v>
      </c>
      <c r="I752" s="31">
        <f t="shared" si="28"/>
        <v>61.94629188103903</v>
      </c>
    </row>
    <row r="753" spans="1:9" ht="21" customHeight="1">
      <c r="A753" s="56" t="s">
        <v>767</v>
      </c>
      <c r="B753" s="57"/>
      <c r="C753" s="57" t="s">
        <v>713</v>
      </c>
      <c r="D753" s="57" t="s">
        <v>705</v>
      </c>
      <c r="E753" s="58" t="s">
        <v>768</v>
      </c>
      <c r="F753" s="59"/>
      <c r="G753" s="31">
        <f>SUM(G754)</f>
        <v>1400</v>
      </c>
      <c r="H753" s="31">
        <f>SUM(H754)</f>
        <v>275.7</v>
      </c>
      <c r="I753" s="31">
        <f t="shared" si="28"/>
        <v>19.692857142857143</v>
      </c>
    </row>
    <row r="754" spans="1:9" ht="43.5" customHeight="1">
      <c r="A754" s="46" t="s">
        <v>830</v>
      </c>
      <c r="B754" s="60"/>
      <c r="C754" s="61" t="s">
        <v>713</v>
      </c>
      <c r="D754" s="61" t="s">
        <v>705</v>
      </c>
      <c r="E754" s="61" t="s">
        <v>851</v>
      </c>
      <c r="F754" s="62" t="s">
        <v>831</v>
      </c>
      <c r="G754" s="31">
        <f>SUM(G755)</f>
        <v>1400</v>
      </c>
      <c r="H754" s="31">
        <f>SUM(H755)</f>
        <v>275.7</v>
      </c>
      <c r="I754" s="31">
        <f t="shared" si="28"/>
        <v>19.692857142857143</v>
      </c>
    </row>
    <row r="755" spans="1:9" ht="48" customHeight="1">
      <c r="A755" s="38" t="s">
        <v>852</v>
      </c>
      <c r="B755" s="63"/>
      <c r="C755" s="61" t="s">
        <v>713</v>
      </c>
      <c r="D755" s="61" t="s">
        <v>705</v>
      </c>
      <c r="E755" s="61" t="s">
        <v>853</v>
      </c>
      <c r="F755" s="62" t="s">
        <v>831</v>
      </c>
      <c r="G755" s="64">
        <v>1400</v>
      </c>
      <c r="H755" s="64">
        <v>275.7</v>
      </c>
      <c r="I755" s="31">
        <f t="shared" si="28"/>
        <v>19.692857142857143</v>
      </c>
    </row>
    <row r="756" spans="1:9" ht="21" customHeight="1">
      <c r="A756" s="200" t="s">
        <v>664</v>
      </c>
      <c r="B756" s="118" t="s">
        <v>665</v>
      </c>
      <c r="C756" s="210"/>
      <c r="D756" s="210"/>
      <c r="E756" s="210"/>
      <c r="F756" s="211"/>
      <c r="G756" s="199">
        <f>SUM(G761+G894)</f>
        <v>902286.0999999999</v>
      </c>
      <c r="H756" s="199">
        <f>SUM(H761+H894)</f>
        <v>627860.2999999999</v>
      </c>
      <c r="I756" s="54">
        <f t="shared" si="28"/>
        <v>69.58550065217673</v>
      </c>
    </row>
    <row r="757" spans="1:9" ht="0.75" customHeight="1" hidden="1">
      <c r="A757" s="27" t="s">
        <v>736</v>
      </c>
      <c r="B757" s="28"/>
      <c r="C757" s="29" t="s">
        <v>737</v>
      </c>
      <c r="D757" s="29"/>
      <c r="E757" s="29"/>
      <c r="F757" s="30"/>
      <c r="G757" s="31">
        <f aca="true" t="shared" si="29" ref="G757:H759">SUM(G758)</f>
        <v>0</v>
      </c>
      <c r="H757" s="31">
        <f t="shared" si="29"/>
        <v>0</v>
      </c>
      <c r="I757" s="31" t="e">
        <f t="shared" si="28"/>
        <v>#DIV/0!</v>
      </c>
    </row>
    <row r="758" spans="1:9" ht="18" customHeight="1" hidden="1">
      <c r="A758" s="27" t="s">
        <v>164</v>
      </c>
      <c r="B758" s="28"/>
      <c r="C758" s="29" t="s">
        <v>737</v>
      </c>
      <c r="D758" s="45" t="s">
        <v>703</v>
      </c>
      <c r="E758" s="116"/>
      <c r="F758" s="117"/>
      <c r="G758" s="31">
        <f t="shared" si="29"/>
        <v>0</v>
      </c>
      <c r="H758" s="31">
        <f t="shared" si="29"/>
        <v>0</v>
      </c>
      <c r="I758" s="31" t="e">
        <f t="shared" si="28"/>
        <v>#DIV/0!</v>
      </c>
    </row>
    <row r="759" spans="1:9" ht="17.25" customHeight="1" hidden="1">
      <c r="A759" s="27" t="s">
        <v>165</v>
      </c>
      <c r="B759" s="28"/>
      <c r="C759" s="29" t="s">
        <v>737</v>
      </c>
      <c r="D759" s="45" t="s">
        <v>703</v>
      </c>
      <c r="E759" s="55" t="s">
        <v>166</v>
      </c>
      <c r="F759" s="117"/>
      <c r="G759" s="31">
        <f t="shared" si="29"/>
        <v>0</v>
      </c>
      <c r="H759" s="31">
        <f t="shared" si="29"/>
        <v>0</v>
      </c>
      <c r="I759" s="31" t="e">
        <f t="shared" si="28"/>
        <v>#DIV/0!</v>
      </c>
    </row>
    <row r="760" spans="1:9" ht="15" hidden="1">
      <c r="A760" s="27" t="s">
        <v>167</v>
      </c>
      <c r="B760" s="28"/>
      <c r="C760" s="29" t="s">
        <v>737</v>
      </c>
      <c r="D760" s="45" t="s">
        <v>703</v>
      </c>
      <c r="E760" s="55" t="s">
        <v>166</v>
      </c>
      <c r="F760" s="117">
        <v>273</v>
      </c>
      <c r="G760" s="31"/>
      <c r="H760" s="31"/>
      <c r="I760" s="31" t="e">
        <f t="shared" si="28"/>
        <v>#DIV/0!</v>
      </c>
    </row>
    <row r="761" spans="1:9" ht="18.75" customHeight="1">
      <c r="A761" s="27" t="s">
        <v>725</v>
      </c>
      <c r="B761" s="28"/>
      <c r="C761" s="45" t="s">
        <v>726</v>
      </c>
      <c r="D761" s="45"/>
      <c r="E761" s="45"/>
      <c r="F761" s="33"/>
      <c r="G761" s="31">
        <f>SUM(G762+G779+G834+G856)</f>
        <v>881566.8999999999</v>
      </c>
      <c r="H761" s="31">
        <f>SUM(H762+H779+H834+H856)</f>
        <v>614233.6</v>
      </c>
      <c r="I761" s="31">
        <f t="shared" si="28"/>
        <v>69.6752112630363</v>
      </c>
    </row>
    <row r="762" spans="1:9" ht="14.25" customHeight="1">
      <c r="A762" s="32" t="s">
        <v>168</v>
      </c>
      <c r="B762" s="118"/>
      <c r="C762" s="45" t="s">
        <v>726</v>
      </c>
      <c r="D762" s="45" t="s">
        <v>703</v>
      </c>
      <c r="E762" s="45"/>
      <c r="F762" s="33"/>
      <c r="G762" s="31">
        <f>SUM(G763+G776)</f>
        <v>312619.8</v>
      </c>
      <c r="H762" s="31">
        <f>SUM(H763+H776)</f>
        <v>222557.3</v>
      </c>
      <c r="I762" s="31">
        <f t="shared" si="28"/>
        <v>71.191044201295</v>
      </c>
    </row>
    <row r="763" spans="1:9" ht="21" customHeight="1">
      <c r="A763" s="32" t="s">
        <v>169</v>
      </c>
      <c r="B763" s="118"/>
      <c r="C763" s="45" t="s">
        <v>726</v>
      </c>
      <c r="D763" s="45" t="s">
        <v>703</v>
      </c>
      <c r="E763" s="45" t="s">
        <v>170</v>
      </c>
      <c r="F763" s="33"/>
      <c r="G763" s="31">
        <f>SUM(G764)</f>
        <v>298492.1</v>
      </c>
      <c r="H763" s="31">
        <f>SUM(H764)</f>
        <v>213007.5</v>
      </c>
      <c r="I763" s="31">
        <f t="shared" si="28"/>
        <v>71.36118510339135</v>
      </c>
    </row>
    <row r="764" spans="1:9" ht="29.25">
      <c r="A764" s="32" t="s">
        <v>805</v>
      </c>
      <c r="B764" s="118"/>
      <c r="C764" s="45" t="s">
        <v>726</v>
      </c>
      <c r="D764" s="45" t="s">
        <v>703</v>
      </c>
      <c r="E764" s="45" t="s">
        <v>171</v>
      </c>
      <c r="F764" s="33"/>
      <c r="G764" s="31">
        <f>SUM(G765+G769+G771+G773)+G766</f>
        <v>298492.1</v>
      </c>
      <c r="H764" s="31">
        <f>SUM(H765+H769+H771+H773)+H766</f>
        <v>213007.5</v>
      </c>
      <c r="I764" s="31">
        <f t="shared" si="28"/>
        <v>71.36118510339135</v>
      </c>
    </row>
    <row r="765" spans="1:9" ht="17.25" customHeight="1">
      <c r="A765" s="49" t="s">
        <v>807</v>
      </c>
      <c r="B765" s="66"/>
      <c r="C765" s="67" t="s">
        <v>726</v>
      </c>
      <c r="D765" s="67" t="s">
        <v>703</v>
      </c>
      <c r="E765" s="67" t="s">
        <v>171</v>
      </c>
      <c r="F765" s="34" t="s">
        <v>808</v>
      </c>
      <c r="G765" s="31">
        <v>269204.2</v>
      </c>
      <c r="H765" s="31">
        <v>187516.5</v>
      </c>
      <c r="I765" s="31">
        <f t="shared" si="28"/>
        <v>69.65585975255958</v>
      </c>
    </row>
    <row r="766" spans="1:9" ht="82.5" customHeight="1">
      <c r="A766" s="49" t="s">
        <v>174</v>
      </c>
      <c r="B766" s="66"/>
      <c r="C766" s="67" t="s">
        <v>726</v>
      </c>
      <c r="D766" s="67" t="s">
        <v>703</v>
      </c>
      <c r="E766" s="67" t="s">
        <v>175</v>
      </c>
      <c r="F766" s="34"/>
      <c r="G766" s="31">
        <f>SUM(G767)</f>
        <v>312.3</v>
      </c>
      <c r="H766" s="31">
        <f>SUM(H767)</f>
        <v>120.3</v>
      </c>
      <c r="I766" s="31">
        <f t="shared" si="28"/>
        <v>38.52065321805956</v>
      </c>
    </row>
    <row r="767" spans="1:9" ht="29.25" customHeight="1">
      <c r="A767" s="49" t="s">
        <v>176</v>
      </c>
      <c r="B767" s="66"/>
      <c r="C767" s="67" t="s">
        <v>726</v>
      </c>
      <c r="D767" s="67" t="s">
        <v>703</v>
      </c>
      <c r="E767" s="67" t="s">
        <v>175</v>
      </c>
      <c r="F767" s="34" t="s">
        <v>177</v>
      </c>
      <c r="G767" s="31">
        <v>312.3</v>
      </c>
      <c r="H767" s="31">
        <v>120.3</v>
      </c>
      <c r="I767" s="31">
        <f t="shared" si="28"/>
        <v>38.52065321805956</v>
      </c>
    </row>
    <row r="768" spans="1:9" ht="63" customHeight="1" hidden="1">
      <c r="A768" s="49" t="s">
        <v>172</v>
      </c>
      <c r="B768" s="66"/>
      <c r="C768" s="67" t="s">
        <v>726</v>
      </c>
      <c r="D768" s="67" t="s">
        <v>703</v>
      </c>
      <c r="E768" s="67" t="s">
        <v>171</v>
      </c>
      <c r="F768" s="33" t="s">
        <v>173</v>
      </c>
      <c r="G768" s="31"/>
      <c r="H768" s="31"/>
      <c r="I768" s="31" t="e">
        <f t="shared" si="28"/>
        <v>#DIV/0!</v>
      </c>
    </row>
    <row r="769" spans="1:9" ht="37.5" customHeight="1">
      <c r="A769" s="49" t="s">
        <v>178</v>
      </c>
      <c r="B769" s="28"/>
      <c r="C769" s="67" t="s">
        <v>726</v>
      </c>
      <c r="D769" s="67" t="s">
        <v>703</v>
      </c>
      <c r="E769" s="67" t="s">
        <v>179</v>
      </c>
      <c r="F769" s="33"/>
      <c r="G769" s="31">
        <f>SUM(G770)</f>
        <v>24134</v>
      </c>
      <c r="H769" s="31">
        <f>SUM(H770)</f>
        <v>24134</v>
      </c>
      <c r="I769" s="31">
        <f t="shared" si="28"/>
        <v>100</v>
      </c>
    </row>
    <row r="770" spans="1:9" ht="20.25" customHeight="1">
      <c r="A770" s="49" t="s">
        <v>807</v>
      </c>
      <c r="B770" s="28"/>
      <c r="C770" s="67" t="s">
        <v>726</v>
      </c>
      <c r="D770" s="67" t="s">
        <v>703</v>
      </c>
      <c r="E770" s="67" t="s">
        <v>179</v>
      </c>
      <c r="F770" s="33" t="s">
        <v>808</v>
      </c>
      <c r="G770" s="31">
        <v>24134</v>
      </c>
      <c r="H770" s="31">
        <v>24134</v>
      </c>
      <c r="I770" s="31">
        <f t="shared" si="28"/>
        <v>100</v>
      </c>
    </row>
    <row r="771" spans="1:9" ht="28.5" customHeight="1">
      <c r="A771" s="49" t="s">
        <v>180</v>
      </c>
      <c r="B771" s="28"/>
      <c r="C771" s="67" t="s">
        <v>726</v>
      </c>
      <c r="D771" s="67" t="s">
        <v>703</v>
      </c>
      <c r="E771" s="67" t="s">
        <v>181</v>
      </c>
      <c r="F771" s="33"/>
      <c r="G771" s="31">
        <f>SUM(G772)</f>
        <v>2341.6</v>
      </c>
      <c r="H771" s="31">
        <f>SUM(H772)</f>
        <v>1236.7</v>
      </c>
      <c r="I771" s="31">
        <f t="shared" si="28"/>
        <v>52.81431499829176</v>
      </c>
    </row>
    <row r="772" spans="1:9" ht="20.25" customHeight="1">
      <c r="A772" s="49" t="s">
        <v>807</v>
      </c>
      <c r="B772" s="28"/>
      <c r="C772" s="67" t="s">
        <v>726</v>
      </c>
      <c r="D772" s="67" t="s">
        <v>703</v>
      </c>
      <c r="E772" s="67" t="s">
        <v>181</v>
      </c>
      <c r="F772" s="33" t="s">
        <v>808</v>
      </c>
      <c r="G772" s="31">
        <v>2341.6</v>
      </c>
      <c r="H772" s="31">
        <v>1236.7</v>
      </c>
      <c r="I772" s="31">
        <f t="shared" si="28"/>
        <v>52.81431499829176</v>
      </c>
    </row>
    <row r="773" spans="1:9" ht="31.5" customHeight="1">
      <c r="A773" s="32" t="s">
        <v>182</v>
      </c>
      <c r="B773" s="36"/>
      <c r="C773" s="67" t="s">
        <v>726</v>
      </c>
      <c r="D773" s="67" t="s">
        <v>703</v>
      </c>
      <c r="E773" s="67" t="s">
        <v>183</v>
      </c>
      <c r="F773" s="34"/>
      <c r="G773" s="31">
        <f>SUM(G775)</f>
        <v>2500</v>
      </c>
      <c r="H773" s="31">
        <f>SUM(H775)</f>
        <v>0</v>
      </c>
      <c r="I773" s="31">
        <f t="shared" si="28"/>
        <v>0</v>
      </c>
    </row>
    <row r="774" spans="1:9" ht="28.5" customHeight="1" hidden="1">
      <c r="A774" s="32" t="s">
        <v>261</v>
      </c>
      <c r="B774" s="36"/>
      <c r="C774" s="67" t="s">
        <v>726</v>
      </c>
      <c r="D774" s="67" t="s">
        <v>703</v>
      </c>
      <c r="E774" s="67" t="s">
        <v>171</v>
      </c>
      <c r="F774" s="34" t="s">
        <v>262</v>
      </c>
      <c r="G774" s="31"/>
      <c r="H774" s="31"/>
      <c r="I774" s="31" t="e">
        <f t="shared" si="28"/>
        <v>#DIV/0!</v>
      </c>
    </row>
    <row r="775" spans="1:9" ht="18.75" customHeight="1">
      <c r="A775" s="49" t="s">
        <v>807</v>
      </c>
      <c r="B775" s="36"/>
      <c r="C775" s="67" t="s">
        <v>726</v>
      </c>
      <c r="D775" s="67" t="s">
        <v>703</v>
      </c>
      <c r="E775" s="67" t="s">
        <v>183</v>
      </c>
      <c r="F775" s="34" t="s">
        <v>808</v>
      </c>
      <c r="G775" s="31">
        <v>2500</v>
      </c>
      <c r="H775" s="31"/>
      <c r="I775" s="31">
        <f t="shared" si="28"/>
        <v>0</v>
      </c>
    </row>
    <row r="776" spans="1:9" ht="18.75" customHeight="1">
      <c r="A776" s="32" t="s">
        <v>881</v>
      </c>
      <c r="B776" s="66"/>
      <c r="C776" s="67" t="s">
        <v>726</v>
      </c>
      <c r="D776" s="67" t="s">
        <v>703</v>
      </c>
      <c r="E776" s="45" t="s">
        <v>882</v>
      </c>
      <c r="F776" s="34"/>
      <c r="G776" s="31">
        <f>SUM(G777)</f>
        <v>14127.7</v>
      </c>
      <c r="H776" s="31">
        <f>SUM(H777)</f>
        <v>9549.8</v>
      </c>
      <c r="I776" s="31">
        <f t="shared" si="28"/>
        <v>67.59628248051699</v>
      </c>
    </row>
    <row r="777" spans="1:9" ht="63" customHeight="1">
      <c r="A777" s="32" t="s">
        <v>184</v>
      </c>
      <c r="B777" s="66"/>
      <c r="C777" s="67" t="s">
        <v>726</v>
      </c>
      <c r="D777" s="67" t="s">
        <v>703</v>
      </c>
      <c r="E777" s="45" t="s">
        <v>185</v>
      </c>
      <c r="F777" s="34"/>
      <c r="G777" s="31">
        <f>SUM(G778)</f>
        <v>14127.7</v>
      </c>
      <c r="H777" s="31">
        <f>SUM(H778)</f>
        <v>9549.8</v>
      </c>
      <c r="I777" s="31">
        <f t="shared" si="28"/>
        <v>67.59628248051699</v>
      </c>
    </row>
    <row r="778" spans="1:9" ht="18.75" customHeight="1">
      <c r="A778" s="49" t="s">
        <v>807</v>
      </c>
      <c r="B778" s="66"/>
      <c r="C778" s="67" t="s">
        <v>726</v>
      </c>
      <c r="D778" s="67" t="s">
        <v>703</v>
      </c>
      <c r="E778" s="45" t="s">
        <v>185</v>
      </c>
      <c r="F778" s="34" t="s">
        <v>808</v>
      </c>
      <c r="G778" s="31">
        <v>14127.7</v>
      </c>
      <c r="H778" s="31">
        <v>9549.8</v>
      </c>
      <c r="I778" s="31">
        <f t="shared" si="28"/>
        <v>67.59628248051699</v>
      </c>
    </row>
    <row r="779" spans="1:9" ht="19.5" customHeight="1">
      <c r="A779" s="32" t="s">
        <v>186</v>
      </c>
      <c r="B779" s="118"/>
      <c r="C779" s="45" t="s">
        <v>726</v>
      </c>
      <c r="D779" s="45" t="s">
        <v>705</v>
      </c>
      <c r="E779" s="45"/>
      <c r="F779" s="33"/>
      <c r="G779" s="31">
        <f>SUM(G785+G806+G816+G829)+G825+G780</f>
        <v>480263.49999999994</v>
      </c>
      <c r="H779" s="31">
        <f>SUM(H785+H806+H816+H829)+H825+H780</f>
        <v>322040.1</v>
      </c>
      <c r="I779" s="31">
        <f t="shared" si="28"/>
        <v>67.05487716638888</v>
      </c>
    </row>
    <row r="780" spans="1:9" ht="18.75" customHeight="1" hidden="1">
      <c r="A780" s="32" t="s">
        <v>794</v>
      </c>
      <c r="B780" s="118"/>
      <c r="C780" s="45" t="s">
        <v>726</v>
      </c>
      <c r="D780" s="45" t="s">
        <v>705</v>
      </c>
      <c r="E780" s="45" t="s">
        <v>796</v>
      </c>
      <c r="F780" s="33"/>
      <c r="G780" s="31">
        <f>SUM(G781+G783)</f>
        <v>0</v>
      </c>
      <c r="H780" s="31">
        <f>SUM(H781+H783)</f>
        <v>0</v>
      </c>
      <c r="I780" s="31" t="e">
        <f aca="true" t="shared" si="30" ref="I780:I843">SUM(H780/G780*100)</f>
        <v>#DIV/0!</v>
      </c>
    </row>
    <row r="781" spans="1:9" ht="20.25" customHeight="1" hidden="1">
      <c r="A781" s="94" t="s">
        <v>187</v>
      </c>
      <c r="B781" s="118"/>
      <c r="C781" s="45" t="s">
        <v>726</v>
      </c>
      <c r="D781" s="45" t="s">
        <v>705</v>
      </c>
      <c r="E781" s="45" t="s">
        <v>188</v>
      </c>
      <c r="F781" s="33"/>
      <c r="G781" s="31">
        <f>SUM(G782)</f>
        <v>0</v>
      </c>
      <c r="H781" s="31">
        <f>SUM(H782)</f>
        <v>0</v>
      </c>
      <c r="I781" s="31" t="e">
        <f t="shared" si="30"/>
        <v>#DIV/0!</v>
      </c>
    </row>
    <row r="782" spans="1:9" ht="20.25" customHeight="1" hidden="1">
      <c r="A782" s="49" t="s">
        <v>807</v>
      </c>
      <c r="B782" s="118"/>
      <c r="C782" s="45" t="s">
        <v>726</v>
      </c>
      <c r="D782" s="45" t="s">
        <v>705</v>
      </c>
      <c r="E782" s="45" t="s">
        <v>188</v>
      </c>
      <c r="F782" s="33" t="s">
        <v>808</v>
      </c>
      <c r="G782" s="31"/>
      <c r="H782" s="31"/>
      <c r="I782" s="31" t="e">
        <f t="shared" si="30"/>
        <v>#DIV/0!</v>
      </c>
    </row>
    <row r="783" spans="1:9" ht="20.25" customHeight="1" hidden="1">
      <c r="A783" s="27" t="s">
        <v>765</v>
      </c>
      <c r="B783" s="28"/>
      <c r="C783" s="45" t="s">
        <v>726</v>
      </c>
      <c r="D783" s="45" t="s">
        <v>705</v>
      </c>
      <c r="E783" s="29" t="s">
        <v>766</v>
      </c>
      <c r="F783" s="33"/>
      <c r="G783" s="31">
        <f>SUM(G784)</f>
        <v>0</v>
      </c>
      <c r="H783" s="31">
        <f>SUM(H784)</f>
        <v>0</v>
      </c>
      <c r="I783" s="31" t="e">
        <f t="shared" si="30"/>
        <v>#DIV/0!</v>
      </c>
    </row>
    <row r="784" spans="1:9" ht="20.25" customHeight="1" hidden="1">
      <c r="A784" s="49" t="s">
        <v>807</v>
      </c>
      <c r="B784" s="118"/>
      <c r="C784" s="45" t="s">
        <v>726</v>
      </c>
      <c r="D784" s="45" t="s">
        <v>705</v>
      </c>
      <c r="E784" s="45" t="s">
        <v>766</v>
      </c>
      <c r="F784" s="33" t="s">
        <v>808</v>
      </c>
      <c r="G784" s="31"/>
      <c r="H784" s="31"/>
      <c r="I784" s="31" t="e">
        <f t="shared" si="30"/>
        <v>#DIV/0!</v>
      </c>
    </row>
    <row r="785" spans="1:9" ht="27.75" customHeight="1">
      <c r="A785" s="32" t="s">
        <v>189</v>
      </c>
      <c r="B785" s="118"/>
      <c r="C785" s="45" t="s">
        <v>726</v>
      </c>
      <c r="D785" s="45" t="s">
        <v>705</v>
      </c>
      <c r="E785" s="45" t="s">
        <v>190</v>
      </c>
      <c r="F785" s="33"/>
      <c r="G785" s="31">
        <f>SUM(G786)</f>
        <v>395277.39999999997</v>
      </c>
      <c r="H785" s="31">
        <f>SUM(H786)</f>
        <v>260775.1</v>
      </c>
      <c r="I785" s="31">
        <f t="shared" si="30"/>
        <v>65.97268146370119</v>
      </c>
    </row>
    <row r="786" spans="1:9" ht="37.5" customHeight="1">
      <c r="A786" s="32" t="s">
        <v>805</v>
      </c>
      <c r="B786" s="118"/>
      <c r="C786" s="45" t="s">
        <v>726</v>
      </c>
      <c r="D786" s="45" t="s">
        <v>705</v>
      </c>
      <c r="E786" s="45" t="s">
        <v>191</v>
      </c>
      <c r="F786" s="33"/>
      <c r="G786" s="31">
        <f>SUM(G787+G795+G797+G804)+G799+G789+G793+G802</f>
        <v>395277.39999999997</v>
      </c>
      <c r="H786" s="31">
        <f>SUM(H787+H795+H797+H804)+H799+H789+H793+H802</f>
        <v>260775.1</v>
      </c>
      <c r="I786" s="31">
        <f t="shared" si="30"/>
        <v>65.97268146370119</v>
      </c>
    </row>
    <row r="787" spans="1:9" ht="19.5" customHeight="1">
      <c r="A787" s="49" t="s">
        <v>807</v>
      </c>
      <c r="B787" s="66"/>
      <c r="C787" s="45" t="s">
        <v>726</v>
      </c>
      <c r="D787" s="45" t="s">
        <v>705</v>
      </c>
      <c r="E787" s="45" t="s">
        <v>191</v>
      </c>
      <c r="F787" s="34" t="s">
        <v>808</v>
      </c>
      <c r="G787" s="31">
        <v>94633.1</v>
      </c>
      <c r="H787" s="31">
        <v>53118.9</v>
      </c>
      <c r="I787" s="31">
        <f t="shared" si="30"/>
        <v>56.131417020049014</v>
      </c>
    </row>
    <row r="788" spans="1:9" ht="75.75" customHeight="1">
      <c r="A788" s="49" t="s">
        <v>174</v>
      </c>
      <c r="B788" s="66"/>
      <c r="C788" s="45" t="s">
        <v>726</v>
      </c>
      <c r="D788" s="45" t="s">
        <v>705</v>
      </c>
      <c r="E788" s="45" t="s">
        <v>194</v>
      </c>
      <c r="F788" s="34"/>
      <c r="G788" s="31">
        <f>SUM(G789)</f>
        <v>656.3</v>
      </c>
      <c r="H788" s="31">
        <f>SUM(H789)</f>
        <v>392.5</v>
      </c>
      <c r="I788" s="31">
        <f t="shared" si="30"/>
        <v>59.8049672405912</v>
      </c>
    </row>
    <row r="789" spans="1:9" ht="31.5" customHeight="1">
      <c r="A789" s="49" t="s">
        <v>176</v>
      </c>
      <c r="B789" s="66"/>
      <c r="C789" s="45" t="s">
        <v>726</v>
      </c>
      <c r="D789" s="45" t="s">
        <v>705</v>
      </c>
      <c r="E789" s="45" t="s">
        <v>194</v>
      </c>
      <c r="F789" s="34" t="s">
        <v>177</v>
      </c>
      <c r="G789" s="31">
        <v>656.3</v>
      </c>
      <c r="H789" s="31">
        <v>392.5</v>
      </c>
      <c r="I789" s="31">
        <f t="shared" si="30"/>
        <v>59.8049672405912</v>
      </c>
    </row>
    <row r="790" spans="1:9" ht="28.5" customHeight="1" hidden="1">
      <c r="A790" s="49" t="s">
        <v>172</v>
      </c>
      <c r="B790" s="66"/>
      <c r="C790" s="45" t="s">
        <v>726</v>
      </c>
      <c r="D790" s="45" t="s">
        <v>705</v>
      </c>
      <c r="E790" s="45" t="s">
        <v>191</v>
      </c>
      <c r="F790" s="33" t="s">
        <v>173</v>
      </c>
      <c r="G790" s="31"/>
      <c r="H790" s="31"/>
      <c r="I790" s="31" t="e">
        <f t="shared" si="30"/>
        <v>#DIV/0!</v>
      </c>
    </row>
    <row r="791" spans="1:9" ht="22.5" customHeight="1" hidden="1">
      <c r="A791" s="49" t="s">
        <v>807</v>
      </c>
      <c r="B791" s="66"/>
      <c r="C791" s="45" t="s">
        <v>726</v>
      </c>
      <c r="D791" s="45" t="s">
        <v>705</v>
      </c>
      <c r="E791" s="67" t="s">
        <v>196</v>
      </c>
      <c r="F791" s="34" t="s">
        <v>808</v>
      </c>
      <c r="G791" s="31"/>
      <c r="H791" s="31"/>
      <c r="I791" s="31" t="e">
        <f t="shared" si="30"/>
        <v>#DIV/0!</v>
      </c>
    </row>
    <row r="792" spans="1:9" ht="30" customHeight="1" hidden="1">
      <c r="A792" s="49" t="s">
        <v>192</v>
      </c>
      <c r="B792" s="66"/>
      <c r="C792" s="45" t="s">
        <v>726</v>
      </c>
      <c r="D792" s="45" t="s">
        <v>705</v>
      </c>
      <c r="E792" s="45" t="s">
        <v>191</v>
      </c>
      <c r="F792" s="34" t="s">
        <v>193</v>
      </c>
      <c r="G792" s="31"/>
      <c r="H792" s="31"/>
      <c r="I792" s="31" t="e">
        <f t="shared" si="30"/>
        <v>#DIV/0!</v>
      </c>
    </row>
    <row r="793" spans="1:9" ht="23.25" customHeight="1" hidden="1">
      <c r="A793" s="49" t="s">
        <v>195</v>
      </c>
      <c r="B793" s="66"/>
      <c r="C793" s="45" t="s">
        <v>726</v>
      </c>
      <c r="D793" s="45" t="s">
        <v>705</v>
      </c>
      <c r="E793" s="67" t="s">
        <v>196</v>
      </c>
      <c r="F793" s="34"/>
      <c r="G793" s="31">
        <f>SUM(G794)</f>
        <v>0</v>
      </c>
      <c r="H793" s="31">
        <f>SUM(H794)</f>
        <v>0</v>
      </c>
      <c r="I793" s="31" t="e">
        <f t="shared" si="30"/>
        <v>#DIV/0!</v>
      </c>
    </row>
    <row r="794" spans="1:9" ht="22.5" customHeight="1" hidden="1">
      <c r="A794" s="49" t="s">
        <v>807</v>
      </c>
      <c r="B794" s="66"/>
      <c r="C794" s="45" t="s">
        <v>726</v>
      </c>
      <c r="D794" s="45" t="s">
        <v>705</v>
      </c>
      <c r="E794" s="67" t="s">
        <v>196</v>
      </c>
      <c r="F794" s="34" t="s">
        <v>808</v>
      </c>
      <c r="G794" s="31"/>
      <c r="H794" s="31"/>
      <c r="I794" s="31" t="e">
        <f t="shared" si="30"/>
        <v>#DIV/0!</v>
      </c>
    </row>
    <row r="795" spans="1:9" ht="76.5" customHeight="1">
      <c r="A795" s="49" t="s">
        <v>197</v>
      </c>
      <c r="B795" s="66"/>
      <c r="C795" s="45" t="s">
        <v>726</v>
      </c>
      <c r="D795" s="45" t="s">
        <v>705</v>
      </c>
      <c r="E795" s="45" t="s">
        <v>198</v>
      </c>
      <c r="F795" s="34"/>
      <c r="G795" s="31">
        <f>SUM(G796)</f>
        <v>9564.4</v>
      </c>
      <c r="H795" s="31">
        <f>SUM(H796)</f>
        <v>5014</v>
      </c>
      <c r="I795" s="31">
        <f t="shared" si="30"/>
        <v>52.423570741499724</v>
      </c>
    </row>
    <row r="796" spans="1:9" ht="17.25" customHeight="1">
      <c r="A796" s="49" t="s">
        <v>807</v>
      </c>
      <c r="B796" s="66"/>
      <c r="C796" s="45" t="s">
        <v>726</v>
      </c>
      <c r="D796" s="45" t="s">
        <v>705</v>
      </c>
      <c r="E796" s="45" t="s">
        <v>198</v>
      </c>
      <c r="F796" s="34" t="s">
        <v>808</v>
      </c>
      <c r="G796" s="31">
        <v>9564.4</v>
      </c>
      <c r="H796" s="31">
        <v>5014</v>
      </c>
      <c r="I796" s="31">
        <f t="shared" si="30"/>
        <v>52.423570741499724</v>
      </c>
    </row>
    <row r="797" spans="1:9" ht="19.5" customHeight="1" hidden="1">
      <c r="A797" s="32" t="s">
        <v>199</v>
      </c>
      <c r="B797" s="36"/>
      <c r="C797" s="45" t="s">
        <v>726</v>
      </c>
      <c r="D797" s="45" t="s">
        <v>705</v>
      </c>
      <c r="E797" s="45" t="s">
        <v>200</v>
      </c>
      <c r="F797" s="34"/>
      <c r="G797" s="31">
        <f>SUM(G798)</f>
        <v>0</v>
      </c>
      <c r="H797" s="31">
        <f>SUM(H798)</f>
        <v>0</v>
      </c>
      <c r="I797" s="31" t="e">
        <f t="shared" si="30"/>
        <v>#DIV/0!</v>
      </c>
    </row>
    <row r="798" spans="1:9" ht="16.5" customHeight="1" hidden="1">
      <c r="A798" s="49" t="s">
        <v>807</v>
      </c>
      <c r="B798" s="36"/>
      <c r="C798" s="45" t="s">
        <v>726</v>
      </c>
      <c r="D798" s="45" t="s">
        <v>705</v>
      </c>
      <c r="E798" s="45" t="s">
        <v>200</v>
      </c>
      <c r="F798" s="34" t="s">
        <v>808</v>
      </c>
      <c r="G798" s="31"/>
      <c r="H798" s="31"/>
      <c r="I798" s="31" t="e">
        <f t="shared" si="30"/>
        <v>#DIV/0!</v>
      </c>
    </row>
    <row r="799" spans="1:9" ht="60.75" customHeight="1">
      <c r="A799" s="49" t="s">
        <v>201</v>
      </c>
      <c r="B799" s="66"/>
      <c r="C799" s="45" t="s">
        <v>726</v>
      </c>
      <c r="D799" s="45" t="s">
        <v>705</v>
      </c>
      <c r="E799" s="45" t="s">
        <v>202</v>
      </c>
      <c r="F799" s="34"/>
      <c r="G799" s="31">
        <f>SUM(G801)</f>
        <v>799</v>
      </c>
      <c r="H799" s="31">
        <f>SUM(H801)</f>
        <v>454</v>
      </c>
      <c r="I799" s="31">
        <f t="shared" si="30"/>
        <v>56.82102628285357</v>
      </c>
    </row>
    <row r="800" spans="1:9" ht="20.25" customHeight="1" hidden="1">
      <c r="A800" s="32" t="s">
        <v>261</v>
      </c>
      <c r="B800" s="66"/>
      <c r="C800" s="45" t="s">
        <v>726</v>
      </c>
      <c r="D800" s="45" t="s">
        <v>705</v>
      </c>
      <c r="E800" s="45" t="s">
        <v>191</v>
      </c>
      <c r="F800" s="34" t="s">
        <v>262</v>
      </c>
      <c r="G800" s="31"/>
      <c r="H800" s="31"/>
      <c r="I800" s="31" t="e">
        <f t="shared" si="30"/>
        <v>#DIV/0!</v>
      </c>
    </row>
    <row r="801" spans="1:9" ht="20.25" customHeight="1">
      <c r="A801" s="49" t="s">
        <v>807</v>
      </c>
      <c r="B801" s="66"/>
      <c r="C801" s="45" t="s">
        <v>726</v>
      </c>
      <c r="D801" s="45" t="s">
        <v>705</v>
      </c>
      <c r="E801" s="45" t="s">
        <v>202</v>
      </c>
      <c r="F801" s="34" t="s">
        <v>808</v>
      </c>
      <c r="G801" s="31">
        <f>772.3+26.7</f>
        <v>799</v>
      </c>
      <c r="H801" s="31">
        <v>454</v>
      </c>
      <c r="I801" s="31">
        <f t="shared" si="30"/>
        <v>56.82102628285357</v>
      </c>
    </row>
    <row r="802" spans="1:9" ht="75.75" customHeight="1" hidden="1">
      <c r="A802" s="49" t="s">
        <v>263</v>
      </c>
      <c r="B802" s="66"/>
      <c r="C802" s="45" t="s">
        <v>726</v>
      </c>
      <c r="D802" s="45" t="s">
        <v>705</v>
      </c>
      <c r="E802" s="45" t="s">
        <v>264</v>
      </c>
      <c r="F802" s="34"/>
      <c r="G802" s="31">
        <f>SUM(G803)</f>
        <v>0</v>
      </c>
      <c r="H802" s="31">
        <f>SUM(H803)</f>
        <v>0</v>
      </c>
      <c r="I802" s="31" t="e">
        <f t="shared" si="30"/>
        <v>#DIV/0!</v>
      </c>
    </row>
    <row r="803" spans="1:9" ht="21" customHeight="1" hidden="1">
      <c r="A803" s="49" t="s">
        <v>265</v>
      </c>
      <c r="B803" s="66"/>
      <c r="C803" s="45" t="s">
        <v>726</v>
      </c>
      <c r="D803" s="45" t="s">
        <v>705</v>
      </c>
      <c r="E803" s="45" t="s">
        <v>264</v>
      </c>
      <c r="F803" s="34" t="s">
        <v>266</v>
      </c>
      <c r="G803" s="31"/>
      <c r="H803" s="31"/>
      <c r="I803" s="31" t="e">
        <f t="shared" si="30"/>
        <v>#DIV/0!</v>
      </c>
    </row>
    <row r="804" spans="1:9" ht="62.25" customHeight="1">
      <c r="A804" s="49" t="s">
        <v>267</v>
      </c>
      <c r="B804" s="66"/>
      <c r="C804" s="45" t="s">
        <v>726</v>
      </c>
      <c r="D804" s="45" t="s">
        <v>705</v>
      </c>
      <c r="E804" s="45" t="s">
        <v>268</v>
      </c>
      <c r="F804" s="34"/>
      <c r="G804" s="31">
        <f>SUM(G805)</f>
        <v>289624.6</v>
      </c>
      <c r="H804" s="31">
        <f>SUM(H805)</f>
        <v>201795.7</v>
      </c>
      <c r="I804" s="31">
        <f t="shared" si="30"/>
        <v>69.67491711684713</v>
      </c>
    </row>
    <row r="805" spans="1:9" ht="15.75">
      <c r="A805" s="49" t="s">
        <v>807</v>
      </c>
      <c r="B805" s="66"/>
      <c r="C805" s="45" t="s">
        <v>726</v>
      </c>
      <c r="D805" s="45" t="s">
        <v>705</v>
      </c>
      <c r="E805" s="45" t="s">
        <v>268</v>
      </c>
      <c r="F805" s="34" t="s">
        <v>808</v>
      </c>
      <c r="G805" s="31">
        <f>280453.5+9171.1</f>
        <v>289624.6</v>
      </c>
      <c r="H805" s="31">
        <v>201795.7</v>
      </c>
      <c r="I805" s="31">
        <f t="shared" si="30"/>
        <v>69.67491711684713</v>
      </c>
    </row>
    <row r="806" spans="1:9" ht="15" customHeight="1">
      <c r="A806" s="27" t="s">
        <v>269</v>
      </c>
      <c r="B806" s="28"/>
      <c r="C806" s="45" t="s">
        <v>726</v>
      </c>
      <c r="D806" s="45" t="s">
        <v>705</v>
      </c>
      <c r="E806" s="45" t="s">
        <v>270</v>
      </c>
      <c r="F806" s="33"/>
      <c r="G806" s="31">
        <f>SUM(G807)</f>
        <v>50765</v>
      </c>
      <c r="H806" s="31">
        <f>SUM(H807)</f>
        <v>39140.2</v>
      </c>
      <c r="I806" s="31">
        <f t="shared" si="30"/>
        <v>77.10075839653304</v>
      </c>
    </row>
    <row r="807" spans="1:9" ht="32.25" customHeight="1">
      <c r="A807" s="32" t="s">
        <v>805</v>
      </c>
      <c r="B807" s="118"/>
      <c r="C807" s="45" t="s">
        <v>726</v>
      </c>
      <c r="D807" s="45" t="s">
        <v>705</v>
      </c>
      <c r="E807" s="45" t="s">
        <v>271</v>
      </c>
      <c r="F807" s="33"/>
      <c r="G807" s="31">
        <f>SUM(G808+G813+G809)</f>
        <v>50765</v>
      </c>
      <c r="H807" s="31">
        <f>SUM(H808+H813+H809)</f>
        <v>39140.2</v>
      </c>
      <c r="I807" s="31">
        <f t="shared" si="30"/>
        <v>77.10075839653304</v>
      </c>
    </row>
    <row r="808" spans="1:9" ht="19.5" customHeight="1">
      <c r="A808" s="49" t="s">
        <v>807</v>
      </c>
      <c r="B808" s="66"/>
      <c r="C808" s="45" t="s">
        <v>726</v>
      </c>
      <c r="D808" s="45" t="s">
        <v>705</v>
      </c>
      <c r="E808" s="45" t="s">
        <v>271</v>
      </c>
      <c r="F808" s="34" t="s">
        <v>808</v>
      </c>
      <c r="G808" s="31">
        <v>50626.4</v>
      </c>
      <c r="H808" s="31">
        <v>39061.6</v>
      </c>
      <c r="I808" s="31">
        <f t="shared" si="30"/>
        <v>77.15658233648847</v>
      </c>
    </row>
    <row r="809" spans="1:9" ht="78" customHeight="1">
      <c r="A809" s="49" t="s">
        <v>174</v>
      </c>
      <c r="B809" s="66"/>
      <c r="C809" s="45" t="s">
        <v>726</v>
      </c>
      <c r="D809" s="45" t="s">
        <v>705</v>
      </c>
      <c r="E809" s="45" t="s">
        <v>274</v>
      </c>
      <c r="F809" s="34"/>
      <c r="G809" s="31">
        <f>SUM(G810)</f>
        <v>138.6</v>
      </c>
      <c r="H809" s="31">
        <f>SUM(H810)</f>
        <v>78.6</v>
      </c>
      <c r="I809" s="31">
        <f t="shared" si="30"/>
        <v>56.709956709956714</v>
      </c>
    </row>
    <row r="810" spans="1:9" ht="37.5" customHeight="1">
      <c r="A810" s="49" t="s">
        <v>176</v>
      </c>
      <c r="B810" s="66"/>
      <c r="C810" s="45" t="s">
        <v>726</v>
      </c>
      <c r="D810" s="45" t="s">
        <v>705</v>
      </c>
      <c r="E810" s="45" t="s">
        <v>274</v>
      </c>
      <c r="F810" s="34" t="s">
        <v>177</v>
      </c>
      <c r="G810" s="31">
        <v>138.6</v>
      </c>
      <c r="H810" s="31">
        <v>78.6</v>
      </c>
      <c r="I810" s="31">
        <f t="shared" si="30"/>
        <v>56.709956709956714</v>
      </c>
    </row>
    <row r="811" spans="1:9" ht="27" customHeight="1" hidden="1">
      <c r="A811" s="49" t="s">
        <v>272</v>
      </c>
      <c r="B811" s="66"/>
      <c r="C811" s="45" t="s">
        <v>726</v>
      </c>
      <c r="D811" s="45" t="s">
        <v>705</v>
      </c>
      <c r="E811" s="45" t="s">
        <v>271</v>
      </c>
      <c r="F811" s="34" t="s">
        <v>273</v>
      </c>
      <c r="G811" s="31"/>
      <c r="H811" s="31"/>
      <c r="I811" s="31" t="e">
        <f t="shared" si="30"/>
        <v>#DIV/0!</v>
      </c>
    </row>
    <row r="812" spans="1:9" ht="32.25" customHeight="1" hidden="1">
      <c r="A812" s="49" t="s">
        <v>172</v>
      </c>
      <c r="B812" s="66"/>
      <c r="C812" s="45" t="s">
        <v>726</v>
      </c>
      <c r="D812" s="45" t="s">
        <v>705</v>
      </c>
      <c r="E812" s="45" t="s">
        <v>271</v>
      </c>
      <c r="F812" s="33" t="s">
        <v>173</v>
      </c>
      <c r="G812" s="31"/>
      <c r="H812" s="31"/>
      <c r="I812" s="31" t="e">
        <f t="shared" si="30"/>
        <v>#DIV/0!</v>
      </c>
    </row>
    <row r="813" spans="1:9" s="129" customFormat="1" ht="57" customHeight="1" hidden="1">
      <c r="A813" s="32" t="s">
        <v>199</v>
      </c>
      <c r="B813" s="66"/>
      <c r="C813" s="45" t="s">
        <v>726</v>
      </c>
      <c r="D813" s="45" t="s">
        <v>705</v>
      </c>
      <c r="E813" s="45" t="s">
        <v>275</v>
      </c>
      <c r="F813" s="34"/>
      <c r="G813" s="31">
        <f>SUM(G815)</f>
        <v>0</v>
      </c>
      <c r="H813" s="31">
        <f>SUM(H815)</f>
        <v>0</v>
      </c>
      <c r="I813" s="31" t="e">
        <f t="shared" si="30"/>
        <v>#DIV/0!</v>
      </c>
    </row>
    <row r="814" spans="1:9" ht="42.75" customHeight="1" hidden="1">
      <c r="A814" s="32" t="s">
        <v>261</v>
      </c>
      <c r="B814" s="66"/>
      <c r="C814" s="45" t="s">
        <v>726</v>
      </c>
      <c r="D814" s="45" t="s">
        <v>705</v>
      </c>
      <c r="E814" s="45" t="s">
        <v>271</v>
      </c>
      <c r="F814" s="34" t="s">
        <v>262</v>
      </c>
      <c r="G814" s="31"/>
      <c r="H814" s="31"/>
      <c r="I814" s="31" t="e">
        <f t="shared" si="30"/>
        <v>#DIV/0!</v>
      </c>
    </row>
    <row r="815" spans="1:9" ht="21.75" customHeight="1" hidden="1">
      <c r="A815" s="49" t="s">
        <v>807</v>
      </c>
      <c r="B815" s="66"/>
      <c r="C815" s="45" t="s">
        <v>726</v>
      </c>
      <c r="D815" s="45" t="s">
        <v>705</v>
      </c>
      <c r="E815" s="45" t="s">
        <v>275</v>
      </c>
      <c r="F815" s="34" t="s">
        <v>808</v>
      </c>
      <c r="G815" s="31"/>
      <c r="H815" s="31"/>
      <c r="I815" s="31" t="e">
        <f t="shared" si="30"/>
        <v>#DIV/0!</v>
      </c>
    </row>
    <row r="816" spans="1:9" ht="19.5" customHeight="1">
      <c r="A816" s="32" t="s">
        <v>283</v>
      </c>
      <c r="B816" s="45"/>
      <c r="C816" s="45" t="s">
        <v>726</v>
      </c>
      <c r="D816" s="45" t="s">
        <v>705</v>
      </c>
      <c r="E816" s="45" t="s">
        <v>284</v>
      </c>
      <c r="F816" s="33"/>
      <c r="G816" s="31">
        <f>SUM(G817)</f>
        <v>21611.8</v>
      </c>
      <c r="H816" s="31">
        <f>SUM(H817)</f>
        <v>13916.300000000001</v>
      </c>
      <c r="I816" s="31">
        <f t="shared" si="30"/>
        <v>64.39213762851776</v>
      </c>
    </row>
    <row r="817" spans="1:9" ht="27" customHeight="1">
      <c r="A817" s="32" t="s">
        <v>805</v>
      </c>
      <c r="B817" s="118"/>
      <c r="C817" s="45" t="s">
        <v>726</v>
      </c>
      <c r="D817" s="45" t="s">
        <v>705</v>
      </c>
      <c r="E817" s="45" t="s">
        <v>285</v>
      </c>
      <c r="F817" s="33"/>
      <c r="G817" s="31">
        <f>SUM(G819+G821+G823)</f>
        <v>21611.8</v>
      </c>
      <c r="H817" s="31">
        <f>SUM(H819+H821+H823)</f>
        <v>13916.300000000001</v>
      </c>
      <c r="I817" s="31">
        <f t="shared" si="30"/>
        <v>64.39213762851776</v>
      </c>
    </row>
    <row r="818" spans="1:9" ht="21.75" customHeight="1" hidden="1">
      <c r="A818" s="49" t="s">
        <v>807</v>
      </c>
      <c r="B818" s="66"/>
      <c r="C818" s="45" t="s">
        <v>726</v>
      </c>
      <c r="D818" s="45" t="s">
        <v>705</v>
      </c>
      <c r="E818" s="45" t="s">
        <v>285</v>
      </c>
      <c r="F818" s="34" t="s">
        <v>808</v>
      </c>
      <c r="G818" s="31"/>
      <c r="H818" s="31"/>
      <c r="I818" s="31" t="e">
        <f t="shared" si="30"/>
        <v>#DIV/0!</v>
      </c>
    </row>
    <row r="819" spans="1:9" ht="78" customHeight="1">
      <c r="A819" s="49" t="s">
        <v>174</v>
      </c>
      <c r="B819" s="66"/>
      <c r="C819" s="45" t="s">
        <v>726</v>
      </c>
      <c r="D819" s="45" t="s">
        <v>705</v>
      </c>
      <c r="E819" s="45" t="s">
        <v>666</v>
      </c>
      <c r="F819" s="34"/>
      <c r="G819" s="31">
        <f>SUM(G820)</f>
        <v>62</v>
      </c>
      <c r="H819" s="31">
        <f>SUM(H820)</f>
        <v>40.9</v>
      </c>
      <c r="I819" s="31">
        <f t="shared" si="30"/>
        <v>65.96774193548387</v>
      </c>
    </row>
    <row r="820" spans="1:9" ht="37.5" customHeight="1">
      <c r="A820" s="49" t="s">
        <v>176</v>
      </c>
      <c r="B820" s="66"/>
      <c r="C820" s="45" t="s">
        <v>726</v>
      </c>
      <c r="D820" s="45" t="s">
        <v>705</v>
      </c>
      <c r="E820" s="45" t="s">
        <v>666</v>
      </c>
      <c r="F820" s="34" t="s">
        <v>177</v>
      </c>
      <c r="G820" s="31">
        <v>62</v>
      </c>
      <c r="H820" s="31">
        <v>40.9</v>
      </c>
      <c r="I820" s="31">
        <f t="shared" si="30"/>
        <v>65.96774193548387</v>
      </c>
    </row>
    <row r="821" spans="1:9" ht="63.75" customHeight="1">
      <c r="A821" s="49" t="s">
        <v>201</v>
      </c>
      <c r="B821" s="66"/>
      <c r="C821" s="45" t="s">
        <v>726</v>
      </c>
      <c r="D821" s="45" t="s">
        <v>705</v>
      </c>
      <c r="E821" s="45" t="s">
        <v>286</v>
      </c>
      <c r="F821" s="34"/>
      <c r="G821" s="31">
        <f>SUM(G822)</f>
        <v>27.6</v>
      </c>
      <c r="H821" s="31">
        <f>SUM(H822)</f>
        <v>12.8</v>
      </c>
      <c r="I821" s="31">
        <f t="shared" si="30"/>
        <v>46.3768115942029</v>
      </c>
    </row>
    <row r="822" spans="1:9" ht="19.5" customHeight="1">
      <c r="A822" s="49" t="s">
        <v>807</v>
      </c>
      <c r="B822" s="66"/>
      <c r="C822" s="45" t="s">
        <v>726</v>
      </c>
      <c r="D822" s="45" t="s">
        <v>705</v>
      </c>
      <c r="E822" s="45" t="s">
        <v>286</v>
      </c>
      <c r="F822" s="34" t="s">
        <v>808</v>
      </c>
      <c r="G822" s="31">
        <v>27.6</v>
      </c>
      <c r="H822" s="31">
        <v>12.8</v>
      </c>
      <c r="I822" s="31">
        <f t="shared" si="30"/>
        <v>46.3768115942029</v>
      </c>
    </row>
    <row r="823" spans="1:9" ht="100.5">
      <c r="A823" s="49" t="s">
        <v>287</v>
      </c>
      <c r="B823" s="66"/>
      <c r="C823" s="45" t="s">
        <v>726</v>
      </c>
      <c r="D823" s="45" t="s">
        <v>705</v>
      </c>
      <c r="E823" s="45" t="s">
        <v>288</v>
      </c>
      <c r="F823" s="34"/>
      <c r="G823" s="31">
        <f>SUM(G824)</f>
        <v>21522.2</v>
      </c>
      <c r="H823" s="31">
        <f>SUM(H824)</f>
        <v>13862.6</v>
      </c>
      <c r="I823" s="31">
        <f t="shared" si="30"/>
        <v>64.41070150821012</v>
      </c>
    </row>
    <row r="824" spans="1:9" ht="19.5" customHeight="1">
      <c r="A824" s="49" t="s">
        <v>807</v>
      </c>
      <c r="B824" s="66"/>
      <c r="C824" s="45" t="s">
        <v>726</v>
      </c>
      <c r="D824" s="45" t="s">
        <v>705</v>
      </c>
      <c r="E824" s="45" t="s">
        <v>288</v>
      </c>
      <c r="F824" s="34" t="s">
        <v>808</v>
      </c>
      <c r="G824" s="31">
        <v>21522.2</v>
      </c>
      <c r="H824" s="31">
        <v>13862.6</v>
      </c>
      <c r="I824" s="31">
        <f t="shared" si="30"/>
        <v>64.41070150821012</v>
      </c>
    </row>
    <row r="825" spans="1:9" ht="32.25" customHeight="1" hidden="1">
      <c r="A825" s="49" t="s">
        <v>293</v>
      </c>
      <c r="B825" s="66"/>
      <c r="C825" s="45" t="s">
        <v>726</v>
      </c>
      <c r="D825" s="45" t="s">
        <v>705</v>
      </c>
      <c r="E825" s="45" t="s">
        <v>294</v>
      </c>
      <c r="F825" s="34"/>
      <c r="G825" s="31">
        <f aca="true" t="shared" si="31" ref="G825:H827">SUM(G826)</f>
        <v>0</v>
      </c>
      <c r="H825" s="31">
        <f t="shared" si="31"/>
        <v>0</v>
      </c>
      <c r="I825" s="31" t="e">
        <f t="shared" si="30"/>
        <v>#DIV/0!</v>
      </c>
    </row>
    <row r="826" spans="1:9" ht="35.25" customHeight="1" hidden="1">
      <c r="A826" s="49" t="s">
        <v>195</v>
      </c>
      <c r="B826" s="66"/>
      <c r="C826" s="45" t="s">
        <v>726</v>
      </c>
      <c r="D826" s="45" t="s">
        <v>705</v>
      </c>
      <c r="E826" s="45" t="s">
        <v>295</v>
      </c>
      <c r="F826" s="34"/>
      <c r="G826" s="31">
        <f t="shared" si="31"/>
        <v>0</v>
      </c>
      <c r="H826" s="31">
        <f t="shared" si="31"/>
        <v>0</v>
      </c>
      <c r="I826" s="31" t="e">
        <f t="shared" si="30"/>
        <v>#DIV/0!</v>
      </c>
    </row>
    <row r="827" spans="1:9" s="106" customFormat="1" ht="45.75" customHeight="1" hidden="1">
      <c r="A827" s="49" t="s">
        <v>296</v>
      </c>
      <c r="B827" s="66"/>
      <c r="C827" s="45" t="s">
        <v>726</v>
      </c>
      <c r="D827" s="45" t="s">
        <v>705</v>
      </c>
      <c r="E827" s="45" t="s">
        <v>297</v>
      </c>
      <c r="F827" s="34"/>
      <c r="G827" s="31">
        <f t="shared" si="31"/>
        <v>0</v>
      </c>
      <c r="H827" s="31">
        <f t="shared" si="31"/>
        <v>0</v>
      </c>
      <c r="I827" s="31" t="e">
        <f t="shared" si="30"/>
        <v>#DIV/0!</v>
      </c>
    </row>
    <row r="828" spans="1:9" s="126" customFormat="1" ht="25.5" customHeight="1" hidden="1">
      <c r="A828" s="49" t="s">
        <v>807</v>
      </c>
      <c r="B828" s="66"/>
      <c r="C828" s="45" t="s">
        <v>726</v>
      </c>
      <c r="D828" s="45" t="s">
        <v>705</v>
      </c>
      <c r="E828" s="45" t="s">
        <v>297</v>
      </c>
      <c r="F828" s="34" t="s">
        <v>808</v>
      </c>
      <c r="G828" s="31"/>
      <c r="H828" s="31"/>
      <c r="I828" s="31" t="e">
        <f t="shared" si="30"/>
        <v>#DIV/0!</v>
      </c>
    </row>
    <row r="829" spans="1:9" s="126" customFormat="1" ht="27.75" customHeight="1">
      <c r="A829" s="32" t="s">
        <v>165</v>
      </c>
      <c r="B829" s="45"/>
      <c r="C829" s="45" t="s">
        <v>726</v>
      </c>
      <c r="D829" s="45" t="s">
        <v>705</v>
      </c>
      <c r="E829" s="45" t="s">
        <v>298</v>
      </c>
      <c r="F829" s="33"/>
      <c r="G829" s="31">
        <f>SUM(G830)+G832</f>
        <v>12609.3</v>
      </c>
      <c r="H829" s="31">
        <f>SUM(H830)+H832</f>
        <v>8208.5</v>
      </c>
      <c r="I829" s="31">
        <f t="shared" si="30"/>
        <v>65.09877630003253</v>
      </c>
    </row>
    <row r="830" spans="1:9" s="126" customFormat="1" ht="28.5">
      <c r="A830" s="46" t="s">
        <v>299</v>
      </c>
      <c r="B830" s="45"/>
      <c r="C830" s="45" t="s">
        <v>726</v>
      </c>
      <c r="D830" s="45" t="s">
        <v>705</v>
      </c>
      <c r="E830" s="45" t="s">
        <v>300</v>
      </c>
      <c r="F830" s="33"/>
      <c r="G830" s="31">
        <f>SUM(G831)</f>
        <v>11615.1</v>
      </c>
      <c r="H830" s="31">
        <f>SUM(H831)</f>
        <v>7214.3</v>
      </c>
      <c r="I830" s="31">
        <f t="shared" si="30"/>
        <v>62.1113894843781</v>
      </c>
    </row>
    <row r="831" spans="1:9" s="126" customFormat="1" ht="25.5" customHeight="1">
      <c r="A831" s="49" t="s">
        <v>807</v>
      </c>
      <c r="B831" s="45"/>
      <c r="C831" s="45" t="s">
        <v>726</v>
      </c>
      <c r="D831" s="45" t="s">
        <v>705</v>
      </c>
      <c r="E831" s="45" t="s">
        <v>300</v>
      </c>
      <c r="F831" s="33" t="s">
        <v>808</v>
      </c>
      <c r="G831" s="31">
        <f>9628.2+1986.9</f>
        <v>11615.1</v>
      </c>
      <c r="H831" s="31">
        <v>7214.3</v>
      </c>
      <c r="I831" s="31">
        <f t="shared" si="30"/>
        <v>62.1113894843781</v>
      </c>
    </row>
    <row r="832" spans="1:9" s="119" customFormat="1" ht="46.5" customHeight="1">
      <c r="A832" s="46" t="s">
        <v>301</v>
      </c>
      <c r="B832" s="45"/>
      <c r="C832" s="45" t="s">
        <v>726</v>
      </c>
      <c r="D832" s="45" t="s">
        <v>705</v>
      </c>
      <c r="E832" s="45" t="s">
        <v>302</v>
      </c>
      <c r="F832" s="33"/>
      <c r="G832" s="31">
        <f>SUM(G833)</f>
        <v>994.1999999999998</v>
      </c>
      <c r="H832" s="31">
        <f>SUM(H833)</f>
        <v>994.1999999999998</v>
      </c>
      <c r="I832" s="31">
        <f t="shared" si="30"/>
        <v>100</v>
      </c>
    </row>
    <row r="833" spans="1:9" ht="15">
      <c r="A833" s="49" t="s">
        <v>807</v>
      </c>
      <c r="B833" s="45"/>
      <c r="C833" s="45" t="s">
        <v>726</v>
      </c>
      <c r="D833" s="45" t="s">
        <v>705</v>
      </c>
      <c r="E833" s="45" t="s">
        <v>302</v>
      </c>
      <c r="F833" s="33" t="s">
        <v>808</v>
      </c>
      <c r="G833" s="31">
        <f>2981.1-1986.9</f>
        <v>994.1999999999998</v>
      </c>
      <c r="H833" s="31">
        <f>2981.1-1986.9</f>
        <v>994.1999999999998</v>
      </c>
      <c r="I833" s="31">
        <f t="shared" si="30"/>
        <v>100</v>
      </c>
    </row>
    <row r="834" spans="1:9" ht="20.25" customHeight="1">
      <c r="A834" s="32" t="s">
        <v>727</v>
      </c>
      <c r="B834" s="36"/>
      <c r="C834" s="29" t="s">
        <v>726</v>
      </c>
      <c r="D834" s="29" t="s">
        <v>726</v>
      </c>
      <c r="E834" s="29"/>
      <c r="F834" s="30"/>
      <c r="G834" s="31">
        <f>SUM(G839+G848+G835)</f>
        <v>30738.4</v>
      </c>
      <c r="H834" s="31">
        <f>SUM(H839+H848+H835)</f>
        <v>30590.8</v>
      </c>
      <c r="I834" s="31">
        <f t="shared" si="30"/>
        <v>99.5198188584962</v>
      </c>
    </row>
    <row r="835" spans="1:9" ht="17.25" customHeight="1">
      <c r="A835" s="27" t="s">
        <v>794</v>
      </c>
      <c r="B835" s="28"/>
      <c r="C835" s="29" t="s">
        <v>726</v>
      </c>
      <c r="D835" s="29" t="s">
        <v>726</v>
      </c>
      <c r="E835" s="29" t="s">
        <v>796</v>
      </c>
      <c r="F835" s="30"/>
      <c r="G835" s="31">
        <f>SUM(G836)</f>
        <v>1335.9</v>
      </c>
      <c r="H835" s="31">
        <f>SUM(H836)</f>
        <v>1335.9</v>
      </c>
      <c r="I835" s="31">
        <f t="shared" si="30"/>
        <v>100</v>
      </c>
    </row>
    <row r="836" spans="1:9" ht="15.75" customHeight="1">
      <c r="A836" s="27" t="s">
        <v>765</v>
      </c>
      <c r="B836" s="28"/>
      <c r="C836" s="29" t="s">
        <v>726</v>
      </c>
      <c r="D836" s="29" t="s">
        <v>726</v>
      </c>
      <c r="E836" s="29" t="s">
        <v>766</v>
      </c>
      <c r="F836" s="30"/>
      <c r="G836" s="31">
        <f>SUM(G837+G838)</f>
        <v>1335.9</v>
      </c>
      <c r="H836" s="31">
        <f>SUM(H837+H838)</f>
        <v>1335.9</v>
      </c>
      <c r="I836" s="31">
        <f t="shared" si="30"/>
        <v>100</v>
      </c>
    </row>
    <row r="837" spans="1:9" ht="17.25" customHeight="1">
      <c r="A837" s="49" t="s">
        <v>807</v>
      </c>
      <c r="B837" s="44"/>
      <c r="C837" s="29" t="s">
        <v>726</v>
      </c>
      <c r="D837" s="29" t="s">
        <v>726</v>
      </c>
      <c r="E837" s="29" t="s">
        <v>766</v>
      </c>
      <c r="F837" s="33" t="s">
        <v>808</v>
      </c>
      <c r="G837" s="31">
        <f>1000-36</f>
        <v>964</v>
      </c>
      <c r="H837" s="31">
        <v>964</v>
      </c>
      <c r="I837" s="31">
        <f t="shared" si="30"/>
        <v>100</v>
      </c>
    </row>
    <row r="838" spans="1:9" ht="17.25" customHeight="1">
      <c r="A838" s="49" t="s">
        <v>305</v>
      </c>
      <c r="B838" s="44"/>
      <c r="C838" s="29" t="s">
        <v>726</v>
      </c>
      <c r="D838" s="29" t="s">
        <v>726</v>
      </c>
      <c r="E838" s="29" t="s">
        <v>766</v>
      </c>
      <c r="F838" s="33" t="s">
        <v>306</v>
      </c>
      <c r="G838" s="31">
        <v>371.9</v>
      </c>
      <c r="H838" s="31">
        <v>371.9</v>
      </c>
      <c r="I838" s="31">
        <f t="shared" si="30"/>
        <v>100</v>
      </c>
    </row>
    <row r="839" spans="1:9" ht="28.5">
      <c r="A839" s="43" t="s">
        <v>307</v>
      </c>
      <c r="B839" s="44"/>
      <c r="C839" s="45" t="s">
        <v>726</v>
      </c>
      <c r="D839" s="45" t="s">
        <v>726</v>
      </c>
      <c r="E839" s="45" t="s">
        <v>308</v>
      </c>
      <c r="F839" s="33"/>
      <c r="G839" s="31">
        <f>SUM(G840+G846+G844)</f>
        <v>1960.4</v>
      </c>
      <c r="H839" s="31">
        <f>SUM(H840+H846+H844)</f>
        <v>1812.7999999999997</v>
      </c>
      <c r="I839" s="31">
        <f t="shared" si="30"/>
        <v>92.47092430116301</v>
      </c>
    </row>
    <row r="840" spans="1:9" ht="20.25" customHeight="1">
      <c r="A840" s="43" t="s">
        <v>309</v>
      </c>
      <c r="B840" s="45"/>
      <c r="C840" s="45" t="s">
        <v>726</v>
      </c>
      <c r="D840" s="45" t="s">
        <v>726</v>
      </c>
      <c r="E840" s="45" t="s">
        <v>310</v>
      </c>
      <c r="F840" s="33"/>
      <c r="G840" s="31">
        <f>SUM(G841+G842)</f>
        <v>351.90000000000003</v>
      </c>
      <c r="H840" s="31">
        <f>SUM(H841+H842)</f>
        <v>341.9</v>
      </c>
      <c r="I840" s="31">
        <f t="shared" si="30"/>
        <v>97.15828360329638</v>
      </c>
    </row>
    <row r="841" spans="1:9" ht="18.75" customHeight="1">
      <c r="A841" s="49" t="s">
        <v>807</v>
      </c>
      <c r="B841" s="44"/>
      <c r="C841" s="45" t="s">
        <v>726</v>
      </c>
      <c r="D841" s="45" t="s">
        <v>726</v>
      </c>
      <c r="E841" s="45" t="s">
        <v>310</v>
      </c>
      <c r="F841" s="33" t="s">
        <v>808</v>
      </c>
      <c r="G841" s="31">
        <f>372.8-20.9</f>
        <v>351.90000000000003</v>
      </c>
      <c r="H841" s="31">
        <v>341.9</v>
      </c>
      <c r="I841" s="31">
        <f t="shared" si="30"/>
        <v>97.15828360329638</v>
      </c>
    </row>
    <row r="842" spans="1:9" ht="28.5" hidden="1">
      <c r="A842" s="27" t="s">
        <v>805</v>
      </c>
      <c r="B842" s="44"/>
      <c r="C842" s="45" t="s">
        <v>726</v>
      </c>
      <c r="D842" s="45" t="s">
        <v>726</v>
      </c>
      <c r="E842" s="45" t="s">
        <v>311</v>
      </c>
      <c r="F842" s="33"/>
      <c r="G842" s="31">
        <f>SUM(G843)</f>
        <v>0</v>
      </c>
      <c r="H842" s="31">
        <f>SUM(H843)</f>
        <v>0</v>
      </c>
      <c r="I842" s="31" t="e">
        <f t="shared" si="30"/>
        <v>#DIV/0!</v>
      </c>
    </row>
    <row r="843" spans="1:9" ht="15" hidden="1">
      <c r="A843" s="49" t="s">
        <v>807</v>
      </c>
      <c r="B843" s="44"/>
      <c r="C843" s="45" t="s">
        <v>726</v>
      </c>
      <c r="D843" s="45" t="s">
        <v>726</v>
      </c>
      <c r="E843" s="45" t="s">
        <v>311</v>
      </c>
      <c r="F843" s="33" t="s">
        <v>808</v>
      </c>
      <c r="G843" s="31"/>
      <c r="H843" s="31"/>
      <c r="I843" s="31" t="e">
        <f t="shared" si="30"/>
        <v>#DIV/0!</v>
      </c>
    </row>
    <row r="844" spans="1:9" ht="55.5" customHeight="1">
      <c r="A844" s="49" t="s">
        <v>312</v>
      </c>
      <c r="B844" s="44"/>
      <c r="C844" s="45" t="s">
        <v>726</v>
      </c>
      <c r="D844" s="45" t="s">
        <v>726</v>
      </c>
      <c r="E844" s="45" t="s">
        <v>313</v>
      </c>
      <c r="F844" s="33"/>
      <c r="G844" s="31">
        <f>SUM(G845)</f>
        <v>444.6</v>
      </c>
      <c r="H844" s="31">
        <f>SUM(H845)</f>
        <v>444.6</v>
      </c>
      <c r="I844" s="31">
        <f aca="true" t="shared" si="32" ref="I844:I911">SUM(H844/G844*100)</f>
        <v>100</v>
      </c>
    </row>
    <row r="845" spans="1:9" ht="24" customHeight="1">
      <c r="A845" s="49" t="s">
        <v>807</v>
      </c>
      <c r="B845" s="44"/>
      <c r="C845" s="45" t="s">
        <v>726</v>
      </c>
      <c r="D845" s="45" t="s">
        <v>726</v>
      </c>
      <c r="E845" s="45" t="s">
        <v>313</v>
      </c>
      <c r="F845" s="33" t="s">
        <v>808</v>
      </c>
      <c r="G845" s="31">
        <f>530-85.4</f>
        <v>444.6</v>
      </c>
      <c r="H845" s="31">
        <v>444.6</v>
      </c>
      <c r="I845" s="31">
        <f t="shared" si="32"/>
        <v>100</v>
      </c>
    </row>
    <row r="846" spans="1:9" ht="28.5">
      <c r="A846" s="27" t="s">
        <v>805</v>
      </c>
      <c r="B846" s="44"/>
      <c r="C846" s="45" t="s">
        <v>726</v>
      </c>
      <c r="D846" s="45" t="s">
        <v>726</v>
      </c>
      <c r="E846" s="45" t="s">
        <v>314</v>
      </c>
      <c r="F846" s="33"/>
      <c r="G846" s="31">
        <f>SUM(G847)</f>
        <v>1163.9</v>
      </c>
      <c r="H846" s="31">
        <f>SUM(H847)</f>
        <v>1026.3</v>
      </c>
      <c r="I846" s="31">
        <f t="shared" si="32"/>
        <v>88.17767849471603</v>
      </c>
    </row>
    <row r="847" spans="1:9" ht="18" customHeight="1">
      <c r="A847" s="49" t="s">
        <v>807</v>
      </c>
      <c r="B847" s="44"/>
      <c r="C847" s="45" t="s">
        <v>726</v>
      </c>
      <c r="D847" s="45" t="s">
        <v>726</v>
      </c>
      <c r="E847" s="45" t="s">
        <v>314</v>
      </c>
      <c r="F847" s="33" t="s">
        <v>808</v>
      </c>
      <c r="G847" s="31">
        <f>1428.5-0.6-273.3+9.3</f>
        <v>1163.9</v>
      </c>
      <c r="H847" s="31">
        <v>1026.3</v>
      </c>
      <c r="I847" s="31">
        <f t="shared" si="32"/>
        <v>88.17767849471603</v>
      </c>
    </row>
    <row r="848" spans="1:9" ht="28.5">
      <c r="A848" s="46" t="s">
        <v>315</v>
      </c>
      <c r="B848" s="36"/>
      <c r="C848" s="29" t="s">
        <v>726</v>
      </c>
      <c r="D848" s="29" t="s">
        <v>726</v>
      </c>
      <c r="E848" s="29" t="s">
        <v>729</v>
      </c>
      <c r="F848" s="30"/>
      <c r="G848" s="31">
        <f>SUM(G850+G852+G854)</f>
        <v>27442.1</v>
      </c>
      <c r="H848" s="31">
        <f>SUM(H850+H852+H854)</f>
        <v>27442.1</v>
      </c>
      <c r="I848" s="31">
        <f t="shared" si="32"/>
        <v>100</v>
      </c>
    </row>
    <row r="849" spans="1:9" ht="15">
      <c r="A849" s="46" t="s">
        <v>316</v>
      </c>
      <c r="B849" s="36"/>
      <c r="C849" s="29" t="s">
        <v>726</v>
      </c>
      <c r="D849" s="29" t="s">
        <v>726</v>
      </c>
      <c r="E849" s="29" t="s">
        <v>317</v>
      </c>
      <c r="F849" s="30"/>
      <c r="G849" s="31">
        <f>SUM(G850)</f>
        <v>2757.3</v>
      </c>
      <c r="H849" s="31">
        <f>SUM(H850)</f>
        <v>2757.3</v>
      </c>
      <c r="I849" s="31">
        <f t="shared" si="32"/>
        <v>100</v>
      </c>
    </row>
    <row r="850" spans="1:9" ht="15.75" customHeight="1">
      <c r="A850" s="49" t="s">
        <v>807</v>
      </c>
      <c r="B850" s="36"/>
      <c r="C850" s="29" t="s">
        <v>726</v>
      </c>
      <c r="D850" s="29" t="s">
        <v>726</v>
      </c>
      <c r="E850" s="29" t="s">
        <v>317</v>
      </c>
      <c r="F850" s="30" t="s">
        <v>808</v>
      </c>
      <c r="G850" s="31">
        <f>2818.4-61.1</f>
        <v>2757.3</v>
      </c>
      <c r="H850" s="31">
        <v>2757.3</v>
      </c>
      <c r="I850" s="31">
        <f t="shared" si="32"/>
        <v>100</v>
      </c>
    </row>
    <row r="851" spans="1:9" ht="75.75" customHeight="1">
      <c r="A851" s="49" t="s">
        <v>263</v>
      </c>
      <c r="B851" s="66"/>
      <c r="C851" s="29" t="s">
        <v>726</v>
      </c>
      <c r="D851" s="29" t="s">
        <v>726</v>
      </c>
      <c r="E851" s="45" t="s">
        <v>318</v>
      </c>
      <c r="F851" s="34"/>
      <c r="G851" s="31">
        <f>SUM(G852)</f>
        <v>6986.3</v>
      </c>
      <c r="H851" s="31">
        <f>SUM(H852)</f>
        <v>6986.3</v>
      </c>
      <c r="I851" s="31">
        <f t="shared" si="32"/>
        <v>100</v>
      </c>
    </row>
    <row r="852" spans="1:9" ht="21" customHeight="1">
      <c r="A852" s="49" t="s">
        <v>265</v>
      </c>
      <c r="B852" s="66"/>
      <c r="C852" s="29" t="s">
        <v>726</v>
      </c>
      <c r="D852" s="29" t="s">
        <v>726</v>
      </c>
      <c r="E852" s="45" t="s">
        <v>318</v>
      </c>
      <c r="F852" s="34" t="s">
        <v>266</v>
      </c>
      <c r="G852" s="31">
        <v>6986.3</v>
      </c>
      <c r="H852" s="31">
        <v>6986.3</v>
      </c>
      <c r="I852" s="31">
        <f t="shared" si="32"/>
        <v>100</v>
      </c>
    </row>
    <row r="853" spans="1:9" ht="60.75" customHeight="1">
      <c r="A853" s="49" t="s">
        <v>319</v>
      </c>
      <c r="B853" s="36"/>
      <c r="C853" s="45" t="s">
        <v>726</v>
      </c>
      <c r="D853" s="29" t="s">
        <v>726</v>
      </c>
      <c r="E853" s="45" t="s">
        <v>320</v>
      </c>
      <c r="F853" s="30"/>
      <c r="G853" s="31">
        <f>SUM(G854)</f>
        <v>17698.5</v>
      </c>
      <c r="H853" s="31">
        <f>SUM(H854)</f>
        <v>17698.5</v>
      </c>
      <c r="I853" s="31">
        <f t="shared" si="32"/>
        <v>100</v>
      </c>
    </row>
    <row r="854" spans="1:9" ht="18" customHeight="1">
      <c r="A854" s="49" t="s">
        <v>4</v>
      </c>
      <c r="B854" s="36"/>
      <c r="C854" s="45" t="s">
        <v>726</v>
      </c>
      <c r="D854" s="29" t="s">
        <v>726</v>
      </c>
      <c r="E854" s="45" t="s">
        <v>320</v>
      </c>
      <c r="F854" s="30" t="s">
        <v>5</v>
      </c>
      <c r="G854" s="31">
        <v>17698.5</v>
      </c>
      <c r="H854" s="31">
        <v>17698.5</v>
      </c>
      <c r="I854" s="31">
        <f t="shared" si="32"/>
        <v>100</v>
      </c>
    </row>
    <row r="855" spans="1:9" ht="14.25" customHeight="1" hidden="1">
      <c r="A855" s="49" t="s">
        <v>327</v>
      </c>
      <c r="B855" s="36"/>
      <c r="C855" s="45" t="s">
        <v>726</v>
      </c>
      <c r="D855" s="29" t="s">
        <v>726</v>
      </c>
      <c r="E855" s="45" t="s">
        <v>326</v>
      </c>
      <c r="F855" s="30" t="s">
        <v>328</v>
      </c>
      <c r="G855" s="31"/>
      <c r="H855" s="31"/>
      <c r="I855" s="31" t="e">
        <f t="shared" si="32"/>
        <v>#DIV/0!</v>
      </c>
    </row>
    <row r="856" spans="1:9" ht="15">
      <c r="A856" s="27" t="s">
        <v>329</v>
      </c>
      <c r="B856" s="28"/>
      <c r="C856" s="45" t="s">
        <v>726</v>
      </c>
      <c r="D856" s="45" t="s">
        <v>861</v>
      </c>
      <c r="E856" s="45"/>
      <c r="F856" s="33"/>
      <c r="G856" s="31">
        <f>SUM(G857+G861+G868+G886+G881)</f>
        <v>57945.2</v>
      </c>
      <c r="H856" s="31">
        <f>SUM(H857+H861+H868+H886+H881)</f>
        <v>39045.399999999994</v>
      </c>
      <c r="I856" s="31">
        <f t="shared" si="32"/>
        <v>67.383320792749</v>
      </c>
    </row>
    <row r="857" spans="1:9" ht="15">
      <c r="A857" s="92" t="s">
        <v>289</v>
      </c>
      <c r="B857" s="79"/>
      <c r="C857" s="45" t="s">
        <v>726</v>
      </c>
      <c r="D857" s="45" t="s">
        <v>861</v>
      </c>
      <c r="E857" s="45" t="s">
        <v>290</v>
      </c>
      <c r="F857" s="33"/>
      <c r="G857" s="31">
        <f aca="true" t="shared" si="33" ref="G857:H859">SUM(G858)</f>
        <v>2757.6</v>
      </c>
      <c r="H857" s="31">
        <f t="shared" si="33"/>
        <v>1869.7</v>
      </c>
      <c r="I857" s="31">
        <f t="shared" si="32"/>
        <v>67.80171163330434</v>
      </c>
    </row>
    <row r="858" spans="1:9" ht="15">
      <c r="A858" s="32" t="s">
        <v>331</v>
      </c>
      <c r="B858" s="79"/>
      <c r="C858" s="45" t="s">
        <v>726</v>
      </c>
      <c r="D858" s="45" t="s">
        <v>861</v>
      </c>
      <c r="E858" s="45" t="s">
        <v>332</v>
      </c>
      <c r="F858" s="33"/>
      <c r="G858" s="31">
        <f t="shared" si="33"/>
        <v>2757.6</v>
      </c>
      <c r="H858" s="31">
        <f t="shared" si="33"/>
        <v>1869.7</v>
      </c>
      <c r="I858" s="31">
        <f t="shared" si="32"/>
        <v>67.80171163330434</v>
      </c>
    </row>
    <row r="859" spans="1:9" ht="30.75" customHeight="1">
      <c r="A859" s="49" t="s">
        <v>333</v>
      </c>
      <c r="B859" s="79"/>
      <c r="C859" s="45" t="s">
        <v>726</v>
      </c>
      <c r="D859" s="45" t="s">
        <v>861</v>
      </c>
      <c r="E859" s="45" t="s">
        <v>334</v>
      </c>
      <c r="F859" s="33"/>
      <c r="G859" s="31">
        <f t="shared" si="33"/>
        <v>2757.6</v>
      </c>
      <c r="H859" s="31">
        <f t="shared" si="33"/>
        <v>1869.7</v>
      </c>
      <c r="I859" s="31">
        <f t="shared" si="32"/>
        <v>67.80171163330434</v>
      </c>
    </row>
    <row r="860" spans="1:9" ht="28.5">
      <c r="A860" s="49" t="s">
        <v>710</v>
      </c>
      <c r="B860" s="79"/>
      <c r="C860" s="45" t="s">
        <v>726</v>
      </c>
      <c r="D860" s="45" t="s">
        <v>861</v>
      </c>
      <c r="E860" s="45" t="s">
        <v>334</v>
      </c>
      <c r="F860" s="33" t="s">
        <v>711</v>
      </c>
      <c r="G860" s="31">
        <f>2671+86.6</f>
        <v>2757.6</v>
      </c>
      <c r="H860" s="31">
        <v>1869.7</v>
      </c>
      <c r="I860" s="31">
        <f t="shared" si="32"/>
        <v>67.80171163330434</v>
      </c>
    </row>
    <row r="861" spans="1:9" ht="72" customHeight="1">
      <c r="A861" s="46" t="s">
        <v>335</v>
      </c>
      <c r="B861" s="28"/>
      <c r="C861" s="45" t="s">
        <v>726</v>
      </c>
      <c r="D861" s="45" t="s">
        <v>861</v>
      </c>
      <c r="E861" s="45" t="s">
        <v>336</v>
      </c>
      <c r="F861" s="33"/>
      <c r="G861" s="31">
        <f>SUM(G862)</f>
        <v>25654.8</v>
      </c>
      <c r="H861" s="31">
        <f>SUM(H862)</f>
        <v>17823.6</v>
      </c>
      <c r="I861" s="31">
        <f t="shared" si="32"/>
        <v>69.47471818139294</v>
      </c>
    </row>
    <row r="862" spans="1:9" ht="28.5">
      <c r="A862" s="32" t="s">
        <v>805</v>
      </c>
      <c r="B862" s="79"/>
      <c r="C862" s="45" t="s">
        <v>726</v>
      </c>
      <c r="D862" s="45" t="s">
        <v>861</v>
      </c>
      <c r="E862" s="45" t="s">
        <v>337</v>
      </c>
      <c r="F862" s="33"/>
      <c r="G862" s="31">
        <f>SUM(G863+G864+G866)</f>
        <v>25654.8</v>
      </c>
      <c r="H862" s="31">
        <f>SUM(H863+H864+H866)</f>
        <v>17823.6</v>
      </c>
      <c r="I862" s="31">
        <f t="shared" si="32"/>
        <v>69.47471818139294</v>
      </c>
    </row>
    <row r="863" spans="1:9" ht="15">
      <c r="A863" s="49" t="s">
        <v>807</v>
      </c>
      <c r="B863" s="79"/>
      <c r="C863" s="45" t="s">
        <v>726</v>
      </c>
      <c r="D863" s="45" t="s">
        <v>861</v>
      </c>
      <c r="E863" s="45" t="s">
        <v>337</v>
      </c>
      <c r="F863" s="33" t="s">
        <v>808</v>
      </c>
      <c r="G863" s="31">
        <f>25758.5-27.4-197.8</f>
        <v>25533.3</v>
      </c>
      <c r="H863" s="31">
        <v>17823.6</v>
      </c>
      <c r="I863" s="31">
        <f t="shared" si="32"/>
        <v>69.8053130617664</v>
      </c>
    </row>
    <row r="864" spans="1:9" ht="28.5">
      <c r="A864" s="49" t="s">
        <v>667</v>
      </c>
      <c r="B864" s="79"/>
      <c r="C864" s="45" t="s">
        <v>726</v>
      </c>
      <c r="D864" s="45" t="s">
        <v>861</v>
      </c>
      <c r="E864" s="45" t="s">
        <v>342</v>
      </c>
      <c r="F864" s="33"/>
      <c r="G864" s="31">
        <f>SUM(G865)</f>
        <v>121.5</v>
      </c>
      <c r="H864" s="31">
        <f>SUM(H865)</f>
        <v>0</v>
      </c>
      <c r="I864" s="31">
        <f t="shared" si="32"/>
        <v>0</v>
      </c>
    </row>
    <row r="865" spans="1:9" ht="18.75" customHeight="1">
      <c r="A865" s="49" t="s">
        <v>807</v>
      </c>
      <c r="B865" s="79"/>
      <c r="C865" s="45" t="s">
        <v>726</v>
      </c>
      <c r="D865" s="45" t="s">
        <v>861</v>
      </c>
      <c r="E865" s="45" t="s">
        <v>342</v>
      </c>
      <c r="F865" s="33" t="s">
        <v>808</v>
      </c>
      <c r="G865" s="31">
        <v>121.5</v>
      </c>
      <c r="H865" s="31"/>
      <c r="I865" s="31">
        <f t="shared" si="32"/>
        <v>0</v>
      </c>
    </row>
    <row r="866" spans="1:9" ht="0.75" customHeight="1" hidden="1">
      <c r="A866" s="32" t="s">
        <v>199</v>
      </c>
      <c r="B866" s="66"/>
      <c r="C866" s="45" t="s">
        <v>726</v>
      </c>
      <c r="D866" s="45" t="s">
        <v>861</v>
      </c>
      <c r="E866" s="45" t="s">
        <v>343</v>
      </c>
      <c r="F866" s="34"/>
      <c r="G866" s="31">
        <f>SUM(G867)</f>
        <v>0</v>
      </c>
      <c r="H866" s="31">
        <f>SUM(H867)</f>
        <v>0</v>
      </c>
      <c r="I866" s="31" t="e">
        <f t="shared" si="32"/>
        <v>#DIV/0!</v>
      </c>
    </row>
    <row r="867" spans="1:9" ht="15.75" hidden="1">
      <c r="A867" s="49" t="s">
        <v>807</v>
      </c>
      <c r="B867" s="66"/>
      <c r="C867" s="45" t="s">
        <v>726</v>
      </c>
      <c r="D867" s="45" t="s">
        <v>861</v>
      </c>
      <c r="E867" s="45" t="s">
        <v>343</v>
      </c>
      <c r="F867" s="34" t="s">
        <v>808</v>
      </c>
      <c r="G867" s="31"/>
      <c r="H867" s="31"/>
      <c r="I867" s="31" t="e">
        <f t="shared" si="32"/>
        <v>#DIV/0!</v>
      </c>
    </row>
    <row r="868" spans="1:9" ht="15" customHeight="1">
      <c r="A868" s="32" t="s">
        <v>881</v>
      </c>
      <c r="B868" s="66"/>
      <c r="C868" s="45" t="s">
        <v>726</v>
      </c>
      <c r="D868" s="45" t="s">
        <v>861</v>
      </c>
      <c r="E868" s="45" t="s">
        <v>882</v>
      </c>
      <c r="F868" s="34"/>
      <c r="G868" s="31">
        <f>SUM(G871+G875+G879+G873+G877+G869)</f>
        <v>1045.2</v>
      </c>
      <c r="H868" s="31">
        <f>SUM(H871+H875+H879+H873+H877)+H869</f>
        <v>3.5</v>
      </c>
      <c r="I868" s="31">
        <f t="shared" si="32"/>
        <v>0.33486414083429006</v>
      </c>
    </row>
    <row r="869" spans="1:9" ht="62.25" customHeight="1">
      <c r="A869" s="32" t="s">
        <v>344</v>
      </c>
      <c r="B869" s="66"/>
      <c r="C869" s="45" t="s">
        <v>726</v>
      </c>
      <c r="D869" s="45" t="s">
        <v>861</v>
      </c>
      <c r="E869" s="45" t="s">
        <v>345</v>
      </c>
      <c r="F869" s="34"/>
      <c r="G869" s="31">
        <f>SUM(G870)</f>
        <v>346</v>
      </c>
      <c r="H869" s="31">
        <f>SUM(H870)</f>
        <v>3.5</v>
      </c>
      <c r="I869" s="31"/>
    </row>
    <row r="870" spans="1:9" ht="15" customHeight="1">
      <c r="A870" s="49" t="s">
        <v>807</v>
      </c>
      <c r="B870" s="66"/>
      <c r="C870" s="45" t="s">
        <v>726</v>
      </c>
      <c r="D870" s="45" t="s">
        <v>861</v>
      </c>
      <c r="E870" s="45" t="s">
        <v>345</v>
      </c>
      <c r="F870" s="34" t="s">
        <v>808</v>
      </c>
      <c r="G870" s="31">
        <v>346</v>
      </c>
      <c r="H870" s="31">
        <v>3.5</v>
      </c>
      <c r="I870" s="31"/>
    </row>
    <row r="871" spans="1:9" ht="57.75" hidden="1">
      <c r="A871" s="32" t="s">
        <v>668</v>
      </c>
      <c r="B871" s="66"/>
      <c r="C871" s="45" t="s">
        <v>726</v>
      </c>
      <c r="D871" s="45" t="s">
        <v>861</v>
      </c>
      <c r="E871" s="45" t="s">
        <v>669</v>
      </c>
      <c r="F871" s="34"/>
      <c r="G871" s="31">
        <f>SUM(G872)</f>
        <v>0</v>
      </c>
      <c r="H871" s="31">
        <f>SUM(H872)</f>
        <v>0</v>
      </c>
      <c r="I871" s="31" t="e">
        <f t="shared" si="32"/>
        <v>#DIV/0!</v>
      </c>
    </row>
    <row r="872" spans="1:9" ht="15.75" hidden="1">
      <c r="A872" s="32" t="s">
        <v>549</v>
      </c>
      <c r="B872" s="66"/>
      <c r="C872" s="45" t="s">
        <v>726</v>
      </c>
      <c r="D872" s="45" t="s">
        <v>861</v>
      </c>
      <c r="E872" s="45" t="s">
        <v>669</v>
      </c>
      <c r="F872" s="34" t="s">
        <v>560</v>
      </c>
      <c r="G872" s="31"/>
      <c r="H872" s="31"/>
      <c r="I872" s="31" t="e">
        <f t="shared" si="32"/>
        <v>#DIV/0!</v>
      </c>
    </row>
    <row r="873" spans="1:9" ht="72" hidden="1">
      <c r="A873" s="32" t="s">
        <v>346</v>
      </c>
      <c r="B873" s="66"/>
      <c r="C873" s="45" t="s">
        <v>726</v>
      </c>
      <c r="D873" s="45" t="s">
        <v>861</v>
      </c>
      <c r="E873" s="45" t="s">
        <v>347</v>
      </c>
      <c r="F873" s="34"/>
      <c r="G873" s="31">
        <f>SUM(G874)</f>
        <v>0</v>
      </c>
      <c r="H873" s="31">
        <f>SUM(H874)</f>
        <v>0</v>
      </c>
      <c r="I873" s="31" t="e">
        <f t="shared" si="32"/>
        <v>#DIV/0!</v>
      </c>
    </row>
    <row r="874" spans="1:9" ht="29.25" hidden="1">
      <c r="A874" s="32" t="s">
        <v>195</v>
      </c>
      <c r="B874" s="66"/>
      <c r="C874" s="45" t="s">
        <v>726</v>
      </c>
      <c r="D874" s="45" t="s">
        <v>861</v>
      </c>
      <c r="E874" s="45" t="s">
        <v>347</v>
      </c>
      <c r="F874" s="34" t="s">
        <v>348</v>
      </c>
      <c r="G874" s="31"/>
      <c r="H874" s="31"/>
      <c r="I874" s="31" t="e">
        <f t="shared" si="32"/>
        <v>#DIV/0!</v>
      </c>
    </row>
    <row r="875" spans="1:9" ht="57.75" hidden="1">
      <c r="A875" s="32" t="s">
        <v>184</v>
      </c>
      <c r="B875" s="66"/>
      <c r="C875" s="45" t="s">
        <v>726</v>
      </c>
      <c r="D875" s="45" t="s">
        <v>861</v>
      </c>
      <c r="E875" s="45" t="s">
        <v>185</v>
      </c>
      <c r="F875" s="34"/>
      <c r="G875" s="31">
        <f>SUM(G876)</f>
        <v>0</v>
      </c>
      <c r="H875" s="31">
        <f>SUM(H876)</f>
        <v>0</v>
      </c>
      <c r="I875" s="31" t="e">
        <f t="shared" si="32"/>
        <v>#DIV/0!</v>
      </c>
    </row>
    <row r="876" spans="1:9" ht="15.75" hidden="1">
      <c r="A876" s="49" t="s">
        <v>807</v>
      </c>
      <c r="B876" s="66"/>
      <c r="C876" s="45" t="s">
        <v>726</v>
      </c>
      <c r="D876" s="45" t="s">
        <v>861</v>
      </c>
      <c r="E876" s="45" t="s">
        <v>185</v>
      </c>
      <c r="F876" s="34" t="s">
        <v>808</v>
      </c>
      <c r="G876" s="31"/>
      <c r="H876" s="31"/>
      <c r="I876" s="31" t="e">
        <f t="shared" si="32"/>
        <v>#DIV/0!</v>
      </c>
    </row>
    <row r="877" spans="1:9" ht="43.5" hidden="1">
      <c r="A877" s="49" t="s">
        <v>349</v>
      </c>
      <c r="B877" s="66"/>
      <c r="C877" s="45" t="s">
        <v>726</v>
      </c>
      <c r="D877" s="45" t="s">
        <v>861</v>
      </c>
      <c r="E877" s="45" t="s">
        <v>350</v>
      </c>
      <c r="F877" s="34"/>
      <c r="G877" s="31">
        <f>SUM(G878)</f>
        <v>0</v>
      </c>
      <c r="H877" s="31">
        <f>SUM(H878)</f>
        <v>0</v>
      </c>
      <c r="I877" s="31" t="e">
        <f t="shared" si="32"/>
        <v>#DIV/0!</v>
      </c>
    </row>
    <row r="878" spans="1:9" ht="10.5" customHeight="1" hidden="1">
      <c r="A878" s="32" t="s">
        <v>195</v>
      </c>
      <c r="B878" s="66"/>
      <c r="C878" s="45" t="s">
        <v>726</v>
      </c>
      <c r="D878" s="45" t="s">
        <v>861</v>
      </c>
      <c r="E878" s="45" t="s">
        <v>350</v>
      </c>
      <c r="F878" s="34" t="s">
        <v>348</v>
      </c>
      <c r="G878" s="31"/>
      <c r="H878" s="31"/>
      <c r="I878" s="31" t="e">
        <f t="shared" si="32"/>
        <v>#DIV/0!</v>
      </c>
    </row>
    <row r="879" spans="1:9" ht="18" customHeight="1">
      <c r="A879" s="32" t="s">
        <v>351</v>
      </c>
      <c r="B879" s="66"/>
      <c r="C879" s="45" t="s">
        <v>726</v>
      </c>
      <c r="D879" s="45" t="s">
        <v>861</v>
      </c>
      <c r="E879" s="45" t="s">
        <v>352</v>
      </c>
      <c r="F879" s="34"/>
      <c r="G879" s="31">
        <f>SUM(G882)</f>
        <v>699.2</v>
      </c>
      <c r="H879" s="31">
        <f>SUM(H880)</f>
        <v>0</v>
      </c>
      <c r="I879" s="31">
        <f t="shared" si="32"/>
        <v>0</v>
      </c>
    </row>
    <row r="880" spans="1:9" ht="12.75" customHeight="1" hidden="1">
      <c r="A880" s="32" t="s">
        <v>353</v>
      </c>
      <c r="B880" s="66"/>
      <c r="C880" s="45" t="s">
        <v>726</v>
      </c>
      <c r="D880" s="45" t="s">
        <v>861</v>
      </c>
      <c r="E880" s="45" t="s">
        <v>352</v>
      </c>
      <c r="F880" s="34" t="s">
        <v>177</v>
      </c>
      <c r="G880" s="31"/>
      <c r="H880" s="31"/>
      <c r="I880" s="31" t="e">
        <f t="shared" si="32"/>
        <v>#DIV/0!</v>
      </c>
    </row>
    <row r="881" spans="1:9" ht="15.75" hidden="1">
      <c r="A881" s="32" t="s">
        <v>881</v>
      </c>
      <c r="B881" s="66"/>
      <c r="C881" s="45" t="s">
        <v>726</v>
      </c>
      <c r="D881" s="45" t="s">
        <v>861</v>
      </c>
      <c r="E881" s="45" t="s">
        <v>882</v>
      </c>
      <c r="F881" s="34"/>
      <c r="G881" s="31"/>
      <c r="H881" s="31">
        <f>SUM(H882)</f>
        <v>568.5</v>
      </c>
      <c r="I881" s="31" t="e">
        <f t="shared" si="32"/>
        <v>#DIV/0!</v>
      </c>
    </row>
    <row r="882" spans="1:9" ht="45" customHeight="1">
      <c r="A882" s="32" t="s">
        <v>670</v>
      </c>
      <c r="B882" s="66"/>
      <c r="C882" s="45" t="s">
        <v>726</v>
      </c>
      <c r="D882" s="45" t="s">
        <v>861</v>
      </c>
      <c r="E882" s="45" t="s">
        <v>352</v>
      </c>
      <c r="F882" s="34"/>
      <c r="G882" s="31">
        <f>SUM(G884+G883)</f>
        <v>699.2</v>
      </c>
      <c r="H882" s="31">
        <f>SUM(H884)</f>
        <v>568.5</v>
      </c>
      <c r="I882" s="31">
        <f t="shared" si="32"/>
        <v>81.30720823798626</v>
      </c>
    </row>
    <row r="883" spans="1:9" ht="30.75" customHeight="1">
      <c r="A883" s="49" t="s">
        <v>856</v>
      </c>
      <c r="B883" s="66"/>
      <c r="C883" s="45" t="s">
        <v>726</v>
      </c>
      <c r="D883" s="45" t="s">
        <v>861</v>
      </c>
      <c r="E883" s="45" t="s">
        <v>352</v>
      </c>
      <c r="F883" s="34" t="s">
        <v>177</v>
      </c>
      <c r="G883" s="31">
        <v>73.2</v>
      </c>
      <c r="H883" s="31"/>
      <c r="I883" s="31"/>
    </row>
    <row r="884" spans="1:9" ht="89.25" customHeight="1">
      <c r="A884" s="122" t="s">
        <v>354</v>
      </c>
      <c r="B884" s="66"/>
      <c r="C884" s="45" t="s">
        <v>726</v>
      </c>
      <c r="D884" s="45" t="s">
        <v>861</v>
      </c>
      <c r="E884" s="45" t="s">
        <v>355</v>
      </c>
      <c r="F884" s="34"/>
      <c r="G884" s="31">
        <f>SUM(G885)</f>
        <v>626</v>
      </c>
      <c r="H884" s="31">
        <f>SUM(H885)</f>
        <v>568.5</v>
      </c>
      <c r="I884" s="31">
        <f t="shared" si="32"/>
        <v>90.814696485623</v>
      </c>
    </row>
    <row r="885" spans="1:9" ht="15.75">
      <c r="A885" s="49" t="s">
        <v>807</v>
      </c>
      <c r="B885" s="66"/>
      <c r="C885" s="45" t="s">
        <v>726</v>
      </c>
      <c r="D885" s="45" t="s">
        <v>861</v>
      </c>
      <c r="E885" s="45" t="s">
        <v>355</v>
      </c>
      <c r="F885" s="34" t="s">
        <v>808</v>
      </c>
      <c r="G885" s="31">
        <v>626</v>
      </c>
      <c r="H885" s="31">
        <v>568.5</v>
      </c>
      <c r="I885" s="31">
        <f t="shared" si="32"/>
        <v>90.814696485623</v>
      </c>
    </row>
    <row r="886" spans="1:9" ht="21" customHeight="1">
      <c r="A886" s="103" t="s">
        <v>767</v>
      </c>
      <c r="B886" s="123"/>
      <c r="C886" s="45" t="s">
        <v>726</v>
      </c>
      <c r="D886" s="45" t="s">
        <v>861</v>
      </c>
      <c r="E886" s="45" t="s">
        <v>768</v>
      </c>
      <c r="F886" s="34"/>
      <c r="G886" s="31">
        <f>SUM(G887)</f>
        <v>28487.6</v>
      </c>
      <c r="H886" s="31">
        <f>SUM(H887)</f>
        <v>18780.1</v>
      </c>
      <c r="I886" s="31">
        <f t="shared" si="32"/>
        <v>65.92377034218396</v>
      </c>
    </row>
    <row r="887" spans="1:9" ht="19.5" customHeight="1">
      <c r="A887" s="103" t="s">
        <v>305</v>
      </c>
      <c r="B887" s="123"/>
      <c r="C887" s="45" t="s">
        <v>726</v>
      </c>
      <c r="D887" s="45" t="s">
        <v>861</v>
      </c>
      <c r="E887" s="45" t="s">
        <v>768</v>
      </c>
      <c r="F887" s="34" t="s">
        <v>306</v>
      </c>
      <c r="G887" s="31">
        <f>SUM(G888:G893)</f>
        <v>28487.6</v>
      </c>
      <c r="H887" s="31">
        <f>SUM(H889:H893)</f>
        <v>18780.1</v>
      </c>
      <c r="I887" s="31">
        <f t="shared" si="32"/>
        <v>65.92377034218396</v>
      </c>
    </row>
    <row r="888" spans="1:9" ht="60" customHeight="1" hidden="1">
      <c r="A888" s="103" t="s">
        <v>854</v>
      </c>
      <c r="B888" s="123"/>
      <c r="C888" s="45" t="s">
        <v>857</v>
      </c>
      <c r="D888" s="45" t="s">
        <v>861</v>
      </c>
      <c r="E888" s="45" t="s">
        <v>855</v>
      </c>
      <c r="F888" s="34" t="s">
        <v>306</v>
      </c>
      <c r="G888" s="31">
        <f>2030-2030</f>
        <v>0</v>
      </c>
      <c r="H888" s="31"/>
      <c r="I888" s="31"/>
    </row>
    <row r="889" spans="1:9" ht="46.5" customHeight="1">
      <c r="A889" s="80" t="s">
        <v>356</v>
      </c>
      <c r="B889" s="123"/>
      <c r="C889" s="45" t="s">
        <v>726</v>
      </c>
      <c r="D889" s="45" t="s">
        <v>861</v>
      </c>
      <c r="E889" s="45" t="s">
        <v>357</v>
      </c>
      <c r="F889" s="34" t="s">
        <v>306</v>
      </c>
      <c r="G889" s="31">
        <f>250-55.1</f>
        <v>194.9</v>
      </c>
      <c r="H889" s="31">
        <v>179.9</v>
      </c>
      <c r="I889" s="31">
        <f t="shared" si="32"/>
        <v>92.30374551051821</v>
      </c>
    </row>
    <row r="890" spans="1:9" ht="17.25" customHeight="1">
      <c r="A890" s="80" t="s">
        <v>358</v>
      </c>
      <c r="B890" s="28"/>
      <c r="C890" s="45" t="s">
        <v>726</v>
      </c>
      <c r="D890" s="45" t="s">
        <v>861</v>
      </c>
      <c r="E890" s="45" t="s">
        <v>359</v>
      </c>
      <c r="F890" s="34" t="s">
        <v>306</v>
      </c>
      <c r="G890" s="64">
        <f>20953-672.2</f>
        <v>20280.8</v>
      </c>
      <c r="H890" s="64">
        <v>14959.3</v>
      </c>
      <c r="I890" s="31">
        <f t="shared" si="32"/>
        <v>73.76089700603526</v>
      </c>
    </row>
    <row r="891" spans="1:9" ht="73.5" customHeight="1">
      <c r="A891" s="80" t="s">
        <v>360</v>
      </c>
      <c r="B891" s="28"/>
      <c r="C891" s="45" t="s">
        <v>726</v>
      </c>
      <c r="D891" s="45" t="s">
        <v>861</v>
      </c>
      <c r="E891" s="45" t="s">
        <v>361</v>
      </c>
      <c r="F891" s="34" t="s">
        <v>306</v>
      </c>
      <c r="G891" s="64">
        <f>5042.9-265.3</f>
        <v>4777.599999999999</v>
      </c>
      <c r="H891" s="64">
        <v>2979.3</v>
      </c>
      <c r="I891" s="31">
        <f t="shared" si="32"/>
        <v>62.35976222371066</v>
      </c>
    </row>
    <row r="892" spans="1:9" ht="32.25" customHeight="1">
      <c r="A892" s="80" t="s">
        <v>362</v>
      </c>
      <c r="B892" s="28"/>
      <c r="C892" s="45" t="s">
        <v>726</v>
      </c>
      <c r="D892" s="45" t="s">
        <v>861</v>
      </c>
      <c r="E892" s="45" t="s">
        <v>363</v>
      </c>
      <c r="F892" s="34" t="s">
        <v>306</v>
      </c>
      <c r="G892" s="64">
        <f>2545-12.7</f>
        <v>2532.3</v>
      </c>
      <c r="H892" s="64">
        <v>20.5</v>
      </c>
      <c r="I892" s="31">
        <f t="shared" si="32"/>
        <v>0.8095407337203332</v>
      </c>
    </row>
    <row r="893" spans="1:9" ht="18.75" customHeight="1">
      <c r="A893" s="80" t="s">
        <v>364</v>
      </c>
      <c r="B893" s="28"/>
      <c r="C893" s="45" t="s">
        <v>726</v>
      </c>
      <c r="D893" s="45" t="s">
        <v>861</v>
      </c>
      <c r="E893" s="45" t="s">
        <v>365</v>
      </c>
      <c r="F893" s="34" t="s">
        <v>306</v>
      </c>
      <c r="G893" s="64">
        <v>702</v>
      </c>
      <c r="H893" s="64">
        <v>641.1</v>
      </c>
      <c r="I893" s="31">
        <f t="shared" si="32"/>
        <v>91.32478632478633</v>
      </c>
    </row>
    <row r="894" spans="1:9" ht="18" customHeight="1">
      <c r="A894" s="38" t="s">
        <v>445</v>
      </c>
      <c r="B894" s="28"/>
      <c r="C894" s="105" t="s">
        <v>1</v>
      </c>
      <c r="D894" s="105" t="s">
        <v>446</v>
      </c>
      <c r="E894" s="45"/>
      <c r="F894" s="34"/>
      <c r="G894" s="64">
        <f>SUM(G899)+G895</f>
        <v>20719.199999999997</v>
      </c>
      <c r="H894" s="64">
        <f>SUM(H899)+H895</f>
        <v>13626.699999999999</v>
      </c>
      <c r="I894" s="31">
        <f t="shared" si="32"/>
        <v>65.76846596393683</v>
      </c>
    </row>
    <row r="895" spans="1:9" ht="18" customHeight="1">
      <c r="A895" s="46" t="s">
        <v>463</v>
      </c>
      <c r="B895" s="28"/>
      <c r="C895" s="40" t="s">
        <v>1</v>
      </c>
      <c r="D895" s="105" t="s">
        <v>713</v>
      </c>
      <c r="E895" s="105" t="s">
        <v>603</v>
      </c>
      <c r="F895" s="34"/>
      <c r="G895" s="64">
        <f aca="true" t="shared" si="34" ref="G895:H897">SUM(G896)</f>
        <v>3335.6</v>
      </c>
      <c r="H895" s="64">
        <f t="shared" si="34"/>
        <v>2256.4</v>
      </c>
      <c r="I895" s="31">
        <f t="shared" si="32"/>
        <v>67.64600071951074</v>
      </c>
    </row>
    <row r="896" spans="1:9" ht="18" customHeight="1">
      <c r="A896" s="80" t="s">
        <v>464</v>
      </c>
      <c r="B896" s="28"/>
      <c r="C896" s="40" t="s">
        <v>1</v>
      </c>
      <c r="D896" s="105" t="s">
        <v>713</v>
      </c>
      <c r="E896" s="45" t="s">
        <v>465</v>
      </c>
      <c r="F896" s="34"/>
      <c r="G896" s="64">
        <f t="shared" si="34"/>
        <v>3335.6</v>
      </c>
      <c r="H896" s="64">
        <f t="shared" si="34"/>
        <v>2256.4</v>
      </c>
      <c r="I896" s="31">
        <f t="shared" si="32"/>
        <v>67.64600071951074</v>
      </c>
    </row>
    <row r="897" spans="1:9" ht="18" customHeight="1">
      <c r="A897" s="80" t="s">
        <v>545</v>
      </c>
      <c r="B897" s="28"/>
      <c r="C897" s="40" t="s">
        <v>1</v>
      </c>
      <c r="D897" s="105" t="s">
        <v>713</v>
      </c>
      <c r="E897" s="45" t="s">
        <v>546</v>
      </c>
      <c r="F897" s="34"/>
      <c r="G897" s="64">
        <f t="shared" si="34"/>
        <v>3335.6</v>
      </c>
      <c r="H897" s="64">
        <f t="shared" si="34"/>
        <v>2256.4</v>
      </c>
      <c r="I897" s="31">
        <f t="shared" si="32"/>
        <v>67.64600071951074</v>
      </c>
    </row>
    <row r="898" spans="1:9" ht="18" customHeight="1">
      <c r="A898" s="80" t="s">
        <v>849</v>
      </c>
      <c r="B898" s="28"/>
      <c r="C898" s="40" t="s">
        <v>1</v>
      </c>
      <c r="D898" s="105" t="s">
        <v>713</v>
      </c>
      <c r="E898" s="45" t="s">
        <v>546</v>
      </c>
      <c r="F898" s="34" t="s">
        <v>850</v>
      </c>
      <c r="G898" s="64">
        <f>3155.5+180.1</f>
        <v>3335.6</v>
      </c>
      <c r="H898" s="64">
        <v>2256.4</v>
      </c>
      <c r="I898" s="31">
        <f t="shared" si="32"/>
        <v>67.64600071951074</v>
      </c>
    </row>
    <row r="899" spans="1:9" ht="17.25" customHeight="1">
      <c r="A899" s="46" t="s">
        <v>564</v>
      </c>
      <c r="B899" s="28"/>
      <c r="C899" s="40" t="s">
        <v>1</v>
      </c>
      <c r="D899" s="105" t="s">
        <v>737</v>
      </c>
      <c r="E899" s="105" t="s">
        <v>603</v>
      </c>
      <c r="F899" s="34"/>
      <c r="G899" s="64">
        <f aca="true" t="shared" si="35" ref="G899:H902">SUM(G900)</f>
        <v>17383.6</v>
      </c>
      <c r="H899" s="64">
        <f t="shared" si="35"/>
        <v>11370.3</v>
      </c>
      <c r="I899" s="31">
        <f t="shared" si="32"/>
        <v>65.40820083296902</v>
      </c>
    </row>
    <row r="900" spans="1:9" ht="28.5">
      <c r="A900" s="80" t="s">
        <v>165</v>
      </c>
      <c r="B900" s="28"/>
      <c r="C900" s="40" t="s">
        <v>1</v>
      </c>
      <c r="D900" s="105" t="s">
        <v>737</v>
      </c>
      <c r="E900" s="45" t="s">
        <v>166</v>
      </c>
      <c r="F900" s="34"/>
      <c r="G900" s="64">
        <f t="shared" si="35"/>
        <v>17383.6</v>
      </c>
      <c r="H900" s="64">
        <f t="shared" si="35"/>
        <v>11370.3</v>
      </c>
      <c r="I900" s="31">
        <f t="shared" si="32"/>
        <v>65.40820083296902</v>
      </c>
    </row>
    <row r="901" spans="1:9" ht="71.25">
      <c r="A901" s="80" t="s">
        <v>568</v>
      </c>
      <c r="B901" s="28"/>
      <c r="C901" s="40" t="s">
        <v>1</v>
      </c>
      <c r="D901" s="105" t="s">
        <v>737</v>
      </c>
      <c r="E901" s="45" t="s">
        <v>569</v>
      </c>
      <c r="F901" s="34"/>
      <c r="G901" s="64">
        <f t="shared" si="35"/>
        <v>17383.6</v>
      </c>
      <c r="H901" s="64">
        <f t="shared" si="35"/>
        <v>11370.3</v>
      </c>
      <c r="I901" s="31">
        <f t="shared" si="32"/>
        <v>65.40820083296902</v>
      </c>
    </row>
    <row r="902" spans="1:9" ht="85.5">
      <c r="A902" s="80" t="s">
        <v>570</v>
      </c>
      <c r="B902" s="28"/>
      <c r="C902" s="40" t="s">
        <v>1</v>
      </c>
      <c r="D902" s="105" t="s">
        <v>737</v>
      </c>
      <c r="E902" s="45" t="s">
        <v>571</v>
      </c>
      <c r="F902" s="34"/>
      <c r="G902" s="64">
        <f t="shared" si="35"/>
        <v>17383.6</v>
      </c>
      <c r="H902" s="64">
        <f t="shared" si="35"/>
        <v>11370.3</v>
      </c>
      <c r="I902" s="31">
        <f t="shared" si="32"/>
        <v>65.40820083296902</v>
      </c>
    </row>
    <row r="903" spans="1:9" ht="15">
      <c r="A903" s="80" t="s">
        <v>849</v>
      </c>
      <c r="B903" s="28"/>
      <c r="C903" s="40" t="s">
        <v>1</v>
      </c>
      <c r="D903" s="105" t="s">
        <v>737</v>
      </c>
      <c r="E903" s="45" t="s">
        <v>571</v>
      </c>
      <c r="F903" s="34" t="s">
        <v>711</v>
      </c>
      <c r="G903" s="64">
        <v>17383.6</v>
      </c>
      <c r="H903" s="64">
        <v>11370.3</v>
      </c>
      <c r="I903" s="31">
        <f t="shared" si="32"/>
        <v>65.40820083296902</v>
      </c>
    </row>
    <row r="904" spans="1:9" ht="15.75">
      <c r="A904" s="200" t="s">
        <v>671</v>
      </c>
      <c r="B904" s="118" t="s">
        <v>672</v>
      </c>
      <c r="C904" s="45"/>
      <c r="D904" s="45"/>
      <c r="E904" s="45"/>
      <c r="F904" s="33"/>
      <c r="G904" s="199">
        <f>SUM(G905+G921)</f>
        <v>77906.40000000001</v>
      </c>
      <c r="H904" s="199">
        <f>SUM(H905+H921)</f>
        <v>52074.100000000006</v>
      </c>
      <c r="I904" s="54">
        <f t="shared" si="32"/>
        <v>66.84187691896943</v>
      </c>
    </row>
    <row r="905" spans="1:9" ht="15">
      <c r="A905" s="27" t="s">
        <v>725</v>
      </c>
      <c r="B905" s="28"/>
      <c r="C905" s="45" t="s">
        <v>726</v>
      </c>
      <c r="D905" s="45"/>
      <c r="E905" s="45"/>
      <c r="F905" s="33"/>
      <c r="G905" s="31">
        <f>SUM(G906)+G912</f>
        <v>25784.800000000003</v>
      </c>
      <c r="H905" s="31">
        <f>SUM(H906)+H912</f>
        <v>17967.800000000003</v>
      </c>
      <c r="I905" s="31">
        <f t="shared" si="32"/>
        <v>69.68368961558748</v>
      </c>
    </row>
    <row r="906" spans="1:9" ht="15.75">
      <c r="A906" s="32" t="s">
        <v>186</v>
      </c>
      <c r="B906" s="118"/>
      <c r="C906" s="45" t="s">
        <v>726</v>
      </c>
      <c r="D906" s="45" t="s">
        <v>705</v>
      </c>
      <c r="E906" s="45"/>
      <c r="F906" s="33"/>
      <c r="G906" s="31">
        <f>SUM(G907)</f>
        <v>25477.4</v>
      </c>
      <c r="H906" s="31">
        <f>SUM(H907)</f>
        <v>17660.4</v>
      </c>
      <c r="I906" s="31">
        <f t="shared" si="32"/>
        <v>69.31790528075864</v>
      </c>
    </row>
    <row r="907" spans="1:9" ht="15.75">
      <c r="A907" s="27" t="s">
        <v>269</v>
      </c>
      <c r="B907" s="118"/>
      <c r="C907" s="45" t="s">
        <v>726</v>
      </c>
      <c r="D907" s="45" t="s">
        <v>705</v>
      </c>
      <c r="E907" s="45" t="s">
        <v>270</v>
      </c>
      <c r="F907" s="33"/>
      <c r="G907" s="31">
        <f>SUM(G908)</f>
        <v>25477.4</v>
      </c>
      <c r="H907" s="31">
        <f>SUM(H908)</f>
        <v>17660.4</v>
      </c>
      <c r="I907" s="31">
        <f t="shared" si="32"/>
        <v>69.31790528075864</v>
      </c>
    </row>
    <row r="908" spans="1:9" ht="29.25">
      <c r="A908" s="32" t="s">
        <v>805</v>
      </c>
      <c r="B908" s="118"/>
      <c r="C908" s="45" t="s">
        <v>726</v>
      </c>
      <c r="D908" s="45" t="s">
        <v>705</v>
      </c>
      <c r="E908" s="45" t="s">
        <v>271</v>
      </c>
      <c r="F908" s="33"/>
      <c r="G908" s="31">
        <f>SUM(G909:G910)</f>
        <v>25477.4</v>
      </c>
      <c r="H908" s="31">
        <f>SUM(H909:H910)</f>
        <v>17660.4</v>
      </c>
      <c r="I908" s="31">
        <f t="shared" si="32"/>
        <v>69.31790528075864</v>
      </c>
    </row>
    <row r="909" spans="1:9" ht="15.75">
      <c r="A909" s="49" t="s">
        <v>807</v>
      </c>
      <c r="B909" s="66"/>
      <c r="C909" s="45" t="s">
        <v>726</v>
      </c>
      <c r="D909" s="45" t="s">
        <v>705</v>
      </c>
      <c r="E909" s="45" t="s">
        <v>271</v>
      </c>
      <c r="F909" s="34" t="s">
        <v>808</v>
      </c>
      <c r="G909" s="31">
        <v>25477.4</v>
      </c>
      <c r="H909" s="31">
        <v>17660.4</v>
      </c>
      <c r="I909" s="31">
        <f t="shared" si="32"/>
        <v>69.31790528075864</v>
      </c>
    </row>
    <row r="910" spans="1:9" ht="55.5" customHeight="1" hidden="1">
      <c r="A910" s="32" t="s">
        <v>199</v>
      </c>
      <c r="B910" s="36"/>
      <c r="C910" s="45" t="s">
        <v>726</v>
      </c>
      <c r="D910" s="45" t="s">
        <v>705</v>
      </c>
      <c r="E910" s="45" t="s">
        <v>275</v>
      </c>
      <c r="F910" s="34"/>
      <c r="G910" s="31">
        <f>SUM(G911)</f>
        <v>0</v>
      </c>
      <c r="H910" s="31">
        <f>SUM(H911)</f>
        <v>0</v>
      </c>
      <c r="I910" s="31" t="e">
        <f t="shared" si="32"/>
        <v>#DIV/0!</v>
      </c>
    </row>
    <row r="911" spans="1:9" ht="15.75" hidden="1">
      <c r="A911" s="49" t="s">
        <v>807</v>
      </c>
      <c r="B911" s="66"/>
      <c r="C911" s="45" t="s">
        <v>726</v>
      </c>
      <c r="D911" s="45" t="s">
        <v>705</v>
      </c>
      <c r="E911" s="45" t="s">
        <v>275</v>
      </c>
      <c r="F911" s="34" t="s">
        <v>808</v>
      </c>
      <c r="G911" s="31"/>
      <c r="H911" s="31"/>
      <c r="I911" s="31" t="e">
        <f t="shared" si="32"/>
        <v>#DIV/0!</v>
      </c>
    </row>
    <row r="912" spans="1:9" ht="20.25" customHeight="1">
      <c r="A912" s="32" t="s">
        <v>727</v>
      </c>
      <c r="B912" s="36"/>
      <c r="C912" s="29" t="s">
        <v>726</v>
      </c>
      <c r="D912" s="29" t="s">
        <v>726</v>
      </c>
      <c r="E912" s="45"/>
      <c r="F912" s="34"/>
      <c r="G912" s="31">
        <f>SUM(G918+G913+G916)</f>
        <v>307.4</v>
      </c>
      <c r="H912" s="31">
        <f>SUM(H918+H913+H916)</f>
        <v>307.4</v>
      </c>
      <c r="I912" s="31">
        <f aca="true" t="shared" si="36" ref="I912:I976">SUM(H912/G912*100)</f>
        <v>100</v>
      </c>
    </row>
    <row r="913" spans="1:9" ht="28.5" customHeight="1" hidden="1">
      <c r="A913" s="43" t="s">
        <v>307</v>
      </c>
      <c r="B913" s="44"/>
      <c r="C913" s="45" t="s">
        <v>726</v>
      </c>
      <c r="D913" s="45" t="s">
        <v>726</v>
      </c>
      <c r="E913" s="45" t="s">
        <v>308</v>
      </c>
      <c r="F913" s="33"/>
      <c r="G913" s="31">
        <f>SUM(G914)</f>
        <v>0</v>
      </c>
      <c r="H913" s="31">
        <f>SUM(H914)</f>
        <v>0</v>
      </c>
      <c r="I913" s="31" t="e">
        <f t="shared" si="36"/>
        <v>#DIV/0!</v>
      </c>
    </row>
    <row r="914" spans="1:9" ht="21" customHeight="1" hidden="1">
      <c r="A914" s="43" t="s">
        <v>309</v>
      </c>
      <c r="B914" s="45"/>
      <c r="C914" s="45" t="s">
        <v>726</v>
      </c>
      <c r="D914" s="45" t="s">
        <v>726</v>
      </c>
      <c r="E914" s="45" t="s">
        <v>310</v>
      </c>
      <c r="F914" s="33"/>
      <c r="G914" s="31">
        <f>SUM(G915)</f>
        <v>0</v>
      </c>
      <c r="H914" s="31">
        <f>SUM(H915)</f>
        <v>0</v>
      </c>
      <c r="I914" s="31" t="e">
        <f t="shared" si="36"/>
        <v>#DIV/0!</v>
      </c>
    </row>
    <row r="915" spans="1:9" ht="21" customHeight="1" hidden="1">
      <c r="A915" s="49" t="s">
        <v>807</v>
      </c>
      <c r="B915" s="44"/>
      <c r="C915" s="45" t="s">
        <v>726</v>
      </c>
      <c r="D915" s="45" t="s">
        <v>726</v>
      </c>
      <c r="E915" s="45" t="s">
        <v>310</v>
      </c>
      <c r="F915" s="33" t="s">
        <v>808</v>
      </c>
      <c r="G915" s="31"/>
      <c r="H915" s="31"/>
      <c r="I915" s="31" t="e">
        <f t="shared" si="36"/>
        <v>#DIV/0!</v>
      </c>
    </row>
    <row r="916" spans="1:9" ht="21" customHeight="1">
      <c r="A916" s="49" t="s">
        <v>765</v>
      </c>
      <c r="B916" s="44"/>
      <c r="C916" s="45" t="s">
        <v>726</v>
      </c>
      <c r="D916" s="45" t="s">
        <v>726</v>
      </c>
      <c r="E916" s="45" t="s">
        <v>766</v>
      </c>
      <c r="F916" s="33"/>
      <c r="G916" s="31">
        <f>SUM(G917)</f>
        <v>108.1</v>
      </c>
      <c r="H916" s="31">
        <f>SUM(H917)</f>
        <v>108.1</v>
      </c>
      <c r="I916" s="31">
        <f t="shared" si="36"/>
        <v>100</v>
      </c>
    </row>
    <row r="917" spans="1:9" ht="21" customHeight="1">
      <c r="A917" s="49" t="s">
        <v>305</v>
      </c>
      <c r="B917" s="44"/>
      <c r="C917" s="45" t="s">
        <v>726</v>
      </c>
      <c r="D917" s="45" t="s">
        <v>726</v>
      </c>
      <c r="E917" s="45" t="s">
        <v>766</v>
      </c>
      <c r="F917" s="33" t="s">
        <v>306</v>
      </c>
      <c r="G917" s="31">
        <v>108.1</v>
      </c>
      <c r="H917" s="31">
        <v>108.1</v>
      </c>
      <c r="I917" s="31">
        <f t="shared" si="36"/>
        <v>100</v>
      </c>
    </row>
    <row r="918" spans="1:9" ht="29.25" customHeight="1">
      <c r="A918" s="46" t="s">
        <v>315</v>
      </c>
      <c r="B918" s="36"/>
      <c r="C918" s="29" t="s">
        <v>726</v>
      </c>
      <c r="D918" s="29" t="s">
        <v>726</v>
      </c>
      <c r="E918" s="29" t="s">
        <v>729</v>
      </c>
      <c r="F918" s="30"/>
      <c r="G918" s="31">
        <f>SUM(G919)</f>
        <v>199.3</v>
      </c>
      <c r="H918" s="31">
        <f>SUM(H919)</f>
        <v>199.3</v>
      </c>
      <c r="I918" s="31">
        <f t="shared" si="36"/>
        <v>100</v>
      </c>
    </row>
    <row r="919" spans="1:9" ht="23.25" customHeight="1">
      <c r="A919" s="46" t="s">
        <v>316</v>
      </c>
      <c r="B919" s="36"/>
      <c r="C919" s="29" t="s">
        <v>726</v>
      </c>
      <c r="D919" s="29" t="s">
        <v>726</v>
      </c>
      <c r="E919" s="29" t="s">
        <v>317</v>
      </c>
      <c r="F919" s="30"/>
      <c r="G919" s="31">
        <f>SUM(G920)</f>
        <v>199.3</v>
      </c>
      <c r="H919" s="31">
        <f>SUM(H920)</f>
        <v>199.3</v>
      </c>
      <c r="I919" s="31">
        <f t="shared" si="36"/>
        <v>100</v>
      </c>
    </row>
    <row r="920" spans="1:9" ht="24.75" customHeight="1">
      <c r="A920" s="49" t="s">
        <v>807</v>
      </c>
      <c r="B920" s="36"/>
      <c r="C920" s="29" t="s">
        <v>726</v>
      </c>
      <c r="D920" s="29" t="s">
        <v>726</v>
      </c>
      <c r="E920" s="29" t="s">
        <v>317</v>
      </c>
      <c r="F920" s="30" t="s">
        <v>808</v>
      </c>
      <c r="G920" s="31">
        <f>200-0.7</f>
        <v>199.3</v>
      </c>
      <c r="H920" s="31">
        <v>199.3</v>
      </c>
      <c r="I920" s="31">
        <f t="shared" si="36"/>
        <v>100</v>
      </c>
    </row>
    <row r="921" spans="1:9" ht="28.5">
      <c r="A921" s="27" t="s">
        <v>366</v>
      </c>
      <c r="B921" s="28"/>
      <c r="C921" s="45" t="s">
        <v>739</v>
      </c>
      <c r="D921" s="45"/>
      <c r="E921" s="45"/>
      <c r="F921" s="33"/>
      <c r="G921" s="31">
        <f>SUM(G922+G947)</f>
        <v>52121.600000000006</v>
      </c>
      <c r="H921" s="31">
        <f>SUM(H922+H947)</f>
        <v>34106.3</v>
      </c>
      <c r="I921" s="31">
        <f t="shared" si="36"/>
        <v>65.43601884823183</v>
      </c>
    </row>
    <row r="922" spans="1:9" ht="15">
      <c r="A922" s="27" t="s">
        <v>367</v>
      </c>
      <c r="B922" s="28"/>
      <c r="C922" s="45" t="s">
        <v>739</v>
      </c>
      <c r="D922" s="45" t="s">
        <v>703</v>
      </c>
      <c r="E922" s="45"/>
      <c r="F922" s="33"/>
      <c r="G922" s="31">
        <f>SUM(G935+G929+G923+G943)</f>
        <v>41037.100000000006</v>
      </c>
      <c r="H922" s="31">
        <f>SUM(H935+H929+H923+H943)</f>
        <v>27050.9</v>
      </c>
      <c r="I922" s="31">
        <f t="shared" si="36"/>
        <v>65.91815698477718</v>
      </c>
    </row>
    <row r="923" spans="1:9" ht="28.5">
      <c r="A923" s="27" t="s">
        <v>817</v>
      </c>
      <c r="B923" s="28"/>
      <c r="C923" s="45" t="s">
        <v>739</v>
      </c>
      <c r="D923" s="45" t="s">
        <v>703</v>
      </c>
      <c r="E923" s="45" t="s">
        <v>818</v>
      </c>
      <c r="F923" s="33"/>
      <c r="G923" s="31">
        <f>SUM(G924)</f>
        <v>20828.9</v>
      </c>
      <c r="H923" s="31">
        <f>SUM(H924)</f>
        <v>14679.5</v>
      </c>
      <c r="I923" s="31">
        <f t="shared" si="36"/>
        <v>70.47659741993095</v>
      </c>
    </row>
    <row r="924" spans="1:9" ht="29.25">
      <c r="A924" s="32" t="s">
        <v>805</v>
      </c>
      <c r="B924" s="118"/>
      <c r="C924" s="45" t="s">
        <v>739</v>
      </c>
      <c r="D924" s="45" t="s">
        <v>703</v>
      </c>
      <c r="E924" s="45" t="s">
        <v>819</v>
      </c>
      <c r="F924" s="33"/>
      <c r="G924" s="31">
        <f>SUM(G925:G927)</f>
        <v>20828.9</v>
      </c>
      <c r="H924" s="31">
        <f>SUM(H925:H927)</f>
        <v>14679.5</v>
      </c>
      <c r="I924" s="31">
        <f t="shared" si="36"/>
        <v>70.47659741993095</v>
      </c>
    </row>
    <row r="925" spans="1:9" ht="18.75" customHeight="1">
      <c r="A925" s="49" t="s">
        <v>807</v>
      </c>
      <c r="B925" s="66"/>
      <c r="C925" s="45" t="s">
        <v>739</v>
      </c>
      <c r="D925" s="45" t="s">
        <v>703</v>
      </c>
      <c r="E925" s="45" t="s">
        <v>819</v>
      </c>
      <c r="F925" s="34" t="s">
        <v>808</v>
      </c>
      <c r="G925" s="31">
        <v>20828.9</v>
      </c>
      <c r="H925" s="31">
        <v>14679.5</v>
      </c>
      <c r="I925" s="31">
        <f t="shared" si="36"/>
        <v>70.47659741993095</v>
      </c>
    </row>
    <row r="926" spans="1:9" ht="43.5" customHeight="1" hidden="1">
      <c r="A926" s="49" t="s">
        <v>368</v>
      </c>
      <c r="B926" s="66"/>
      <c r="C926" s="45" t="s">
        <v>739</v>
      </c>
      <c r="D926" s="45" t="s">
        <v>703</v>
      </c>
      <c r="E926" s="45" t="s">
        <v>819</v>
      </c>
      <c r="F926" s="34" t="s">
        <v>369</v>
      </c>
      <c r="G926" s="31"/>
      <c r="H926" s="31"/>
      <c r="I926" s="31" t="e">
        <f t="shared" si="36"/>
        <v>#DIV/0!</v>
      </c>
    </row>
    <row r="927" spans="1:9" ht="55.5" customHeight="1" hidden="1">
      <c r="A927" s="32" t="s">
        <v>199</v>
      </c>
      <c r="B927" s="36"/>
      <c r="C927" s="45" t="s">
        <v>739</v>
      </c>
      <c r="D927" s="45" t="s">
        <v>703</v>
      </c>
      <c r="E927" s="45" t="s">
        <v>370</v>
      </c>
      <c r="F927" s="34"/>
      <c r="G927" s="31">
        <f>SUM(G928)</f>
        <v>0</v>
      </c>
      <c r="H927" s="31">
        <f>SUM(H928)</f>
        <v>0</v>
      </c>
      <c r="I927" s="31" t="e">
        <f t="shared" si="36"/>
        <v>#DIV/0!</v>
      </c>
    </row>
    <row r="928" spans="1:9" ht="0.75" customHeight="1" hidden="1">
      <c r="A928" s="49" t="s">
        <v>807</v>
      </c>
      <c r="B928" s="66"/>
      <c r="C928" s="45" t="s">
        <v>739</v>
      </c>
      <c r="D928" s="45" t="s">
        <v>703</v>
      </c>
      <c r="E928" s="45" t="s">
        <v>370</v>
      </c>
      <c r="F928" s="34" t="s">
        <v>808</v>
      </c>
      <c r="G928" s="31"/>
      <c r="H928" s="31"/>
      <c r="I928" s="31" t="e">
        <f t="shared" si="36"/>
        <v>#DIV/0!</v>
      </c>
    </row>
    <row r="929" spans="1:9" ht="15">
      <c r="A929" s="27" t="s">
        <v>371</v>
      </c>
      <c r="B929" s="28"/>
      <c r="C929" s="45" t="s">
        <v>739</v>
      </c>
      <c r="D929" s="45" t="s">
        <v>703</v>
      </c>
      <c r="E929" s="45" t="s">
        <v>372</v>
      </c>
      <c r="F929" s="33"/>
      <c r="G929" s="31">
        <f>SUM(G930)</f>
        <v>3218.7</v>
      </c>
      <c r="H929" s="31">
        <f>SUM(H930)</f>
        <v>2102.5</v>
      </c>
      <c r="I929" s="31">
        <f t="shared" si="36"/>
        <v>65.32140305092118</v>
      </c>
    </row>
    <row r="930" spans="1:9" ht="29.25">
      <c r="A930" s="32" t="s">
        <v>805</v>
      </c>
      <c r="B930" s="118"/>
      <c r="C930" s="45" t="s">
        <v>739</v>
      </c>
      <c r="D930" s="45" t="s">
        <v>703</v>
      </c>
      <c r="E930" s="45" t="s">
        <v>373</v>
      </c>
      <c r="F930" s="33"/>
      <c r="G930" s="31">
        <f>SUM(G931:G933)</f>
        <v>3218.7</v>
      </c>
      <c r="H930" s="31">
        <f>SUM(H931:H933)</f>
        <v>2102.5</v>
      </c>
      <c r="I930" s="31">
        <f t="shared" si="36"/>
        <v>65.32140305092118</v>
      </c>
    </row>
    <row r="931" spans="1:9" ht="15" customHeight="1">
      <c r="A931" s="49" t="s">
        <v>807</v>
      </c>
      <c r="B931" s="66"/>
      <c r="C931" s="45" t="s">
        <v>739</v>
      </c>
      <c r="D931" s="45" t="s">
        <v>703</v>
      </c>
      <c r="E931" s="45" t="s">
        <v>373</v>
      </c>
      <c r="F931" s="34" t="s">
        <v>808</v>
      </c>
      <c r="G931" s="31">
        <v>3218.7</v>
      </c>
      <c r="H931" s="31">
        <v>2102.5</v>
      </c>
      <c r="I931" s="31">
        <f t="shared" si="36"/>
        <v>65.32140305092118</v>
      </c>
    </row>
    <row r="932" spans="1:9" ht="47.25" customHeight="1" hidden="1">
      <c r="A932" s="49" t="s">
        <v>368</v>
      </c>
      <c r="B932" s="66"/>
      <c r="C932" s="45" t="s">
        <v>739</v>
      </c>
      <c r="D932" s="45" t="s">
        <v>703</v>
      </c>
      <c r="E932" s="45" t="s">
        <v>373</v>
      </c>
      <c r="F932" s="34" t="s">
        <v>369</v>
      </c>
      <c r="G932" s="31"/>
      <c r="H932" s="31"/>
      <c r="I932" s="31" t="e">
        <f t="shared" si="36"/>
        <v>#DIV/0!</v>
      </c>
    </row>
    <row r="933" spans="1:9" ht="0.75" customHeight="1" hidden="1">
      <c r="A933" s="32" t="s">
        <v>199</v>
      </c>
      <c r="B933" s="36"/>
      <c r="C933" s="45" t="s">
        <v>739</v>
      </c>
      <c r="D933" s="45" t="s">
        <v>703</v>
      </c>
      <c r="E933" s="45" t="s">
        <v>374</v>
      </c>
      <c r="F933" s="34"/>
      <c r="G933" s="31">
        <f>SUM(G934)</f>
        <v>0</v>
      </c>
      <c r="H933" s="31">
        <f>SUM(H934)</f>
        <v>0</v>
      </c>
      <c r="I933" s="31" t="e">
        <f t="shared" si="36"/>
        <v>#DIV/0!</v>
      </c>
    </row>
    <row r="934" spans="1:9" ht="15.75" hidden="1">
      <c r="A934" s="49" t="s">
        <v>807</v>
      </c>
      <c r="B934" s="66"/>
      <c r="C934" s="45" t="s">
        <v>739</v>
      </c>
      <c r="D934" s="45" t="s">
        <v>703</v>
      </c>
      <c r="E934" s="45" t="s">
        <v>374</v>
      </c>
      <c r="F934" s="34" t="s">
        <v>808</v>
      </c>
      <c r="G934" s="31"/>
      <c r="H934" s="31"/>
      <c r="I934" s="31" t="e">
        <f t="shared" si="36"/>
        <v>#DIV/0!</v>
      </c>
    </row>
    <row r="935" spans="1:9" ht="15">
      <c r="A935" s="27" t="s">
        <v>375</v>
      </c>
      <c r="B935" s="28"/>
      <c r="C935" s="45" t="s">
        <v>739</v>
      </c>
      <c r="D935" s="45" t="s">
        <v>703</v>
      </c>
      <c r="E935" s="45" t="s">
        <v>376</v>
      </c>
      <c r="F935" s="33"/>
      <c r="G935" s="31">
        <f>SUM(G936)</f>
        <v>16619.5</v>
      </c>
      <c r="H935" s="31">
        <f>SUM(H936)</f>
        <v>10268.9</v>
      </c>
      <c r="I935" s="31">
        <f t="shared" si="36"/>
        <v>61.78826077800175</v>
      </c>
    </row>
    <row r="936" spans="1:9" ht="29.25">
      <c r="A936" s="32" t="s">
        <v>805</v>
      </c>
      <c r="B936" s="118"/>
      <c r="C936" s="45" t="s">
        <v>739</v>
      </c>
      <c r="D936" s="45" t="s">
        <v>703</v>
      </c>
      <c r="E936" s="45" t="s">
        <v>377</v>
      </c>
      <c r="F936" s="33"/>
      <c r="G936" s="31">
        <f>SUM(G937+G940+G942)</f>
        <v>16619.5</v>
      </c>
      <c r="H936" s="31">
        <f>SUM(H937+H940+H942)</f>
        <v>10268.9</v>
      </c>
      <c r="I936" s="31">
        <f t="shared" si="36"/>
        <v>61.78826077800175</v>
      </c>
    </row>
    <row r="937" spans="1:9" ht="15" customHeight="1">
      <c r="A937" s="49" t="s">
        <v>807</v>
      </c>
      <c r="B937" s="66"/>
      <c r="C937" s="45" t="s">
        <v>739</v>
      </c>
      <c r="D937" s="45" t="s">
        <v>703</v>
      </c>
      <c r="E937" s="45" t="s">
        <v>377</v>
      </c>
      <c r="F937" s="34" t="s">
        <v>808</v>
      </c>
      <c r="G937" s="31">
        <v>14521.8</v>
      </c>
      <c r="H937" s="31">
        <v>8963.8</v>
      </c>
      <c r="I937" s="31">
        <f t="shared" si="36"/>
        <v>61.72650773320112</v>
      </c>
    </row>
    <row r="938" spans="1:9" ht="45.75" customHeight="1" hidden="1">
      <c r="A938" s="49" t="s">
        <v>368</v>
      </c>
      <c r="B938" s="66"/>
      <c r="C938" s="45" t="s">
        <v>739</v>
      </c>
      <c r="D938" s="45" t="s">
        <v>703</v>
      </c>
      <c r="E938" s="45" t="s">
        <v>377</v>
      </c>
      <c r="F938" s="34" t="s">
        <v>369</v>
      </c>
      <c r="G938" s="31"/>
      <c r="H938" s="31"/>
      <c r="I938" s="31" t="e">
        <f t="shared" si="36"/>
        <v>#DIV/0!</v>
      </c>
    </row>
    <row r="939" spans="1:9" ht="54.75" customHeight="1" hidden="1">
      <c r="A939" s="32" t="s">
        <v>199</v>
      </c>
      <c r="B939" s="36"/>
      <c r="C939" s="45" t="s">
        <v>739</v>
      </c>
      <c r="D939" s="45" t="s">
        <v>703</v>
      </c>
      <c r="E939" s="45" t="s">
        <v>378</v>
      </c>
      <c r="F939" s="34"/>
      <c r="G939" s="31">
        <f>SUM(G940)</f>
        <v>0</v>
      </c>
      <c r="H939" s="31">
        <f>SUM(H940)</f>
        <v>0</v>
      </c>
      <c r="I939" s="31" t="e">
        <f t="shared" si="36"/>
        <v>#DIV/0!</v>
      </c>
    </row>
    <row r="940" spans="1:9" ht="15.75" hidden="1">
      <c r="A940" s="49" t="s">
        <v>807</v>
      </c>
      <c r="B940" s="66"/>
      <c r="C940" s="45" t="s">
        <v>739</v>
      </c>
      <c r="D940" s="45" t="s">
        <v>703</v>
      </c>
      <c r="E940" s="45" t="s">
        <v>378</v>
      </c>
      <c r="F940" s="34" t="s">
        <v>808</v>
      </c>
      <c r="G940" s="31"/>
      <c r="H940" s="31"/>
      <c r="I940" s="31" t="e">
        <f t="shared" si="36"/>
        <v>#DIV/0!</v>
      </c>
    </row>
    <row r="941" spans="1:9" ht="72">
      <c r="A941" s="49" t="s">
        <v>379</v>
      </c>
      <c r="B941" s="66"/>
      <c r="C941" s="45" t="s">
        <v>739</v>
      </c>
      <c r="D941" s="45" t="s">
        <v>703</v>
      </c>
      <c r="E941" s="45" t="s">
        <v>380</v>
      </c>
      <c r="F941" s="34"/>
      <c r="G941" s="31">
        <f>SUM(G942)</f>
        <v>2097.7</v>
      </c>
      <c r="H941" s="31">
        <f>SUM(H942)</f>
        <v>1305.1</v>
      </c>
      <c r="I941" s="31">
        <f t="shared" si="36"/>
        <v>62.21576011822473</v>
      </c>
    </row>
    <row r="942" spans="1:9" ht="15.75">
      <c r="A942" s="49" t="s">
        <v>807</v>
      </c>
      <c r="B942" s="66"/>
      <c r="C942" s="45" t="s">
        <v>739</v>
      </c>
      <c r="D942" s="45" t="s">
        <v>703</v>
      </c>
      <c r="E942" s="45" t="s">
        <v>380</v>
      </c>
      <c r="F942" s="34" t="s">
        <v>808</v>
      </c>
      <c r="G942" s="31">
        <f>2030+67.7</f>
        <v>2097.7</v>
      </c>
      <c r="H942" s="31">
        <v>1305.1</v>
      </c>
      <c r="I942" s="31">
        <f t="shared" si="36"/>
        <v>62.21576011822473</v>
      </c>
    </row>
    <row r="943" spans="1:9" ht="29.25">
      <c r="A943" s="49" t="s">
        <v>381</v>
      </c>
      <c r="B943" s="66"/>
      <c r="C943" s="45" t="s">
        <v>739</v>
      </c>
      <c r="D943" s="45" t="s">
        <v>703</v>
      </c>
      <c r="E943" s="45" t="s">
        <v>382</v>
      </c>
      <c r="F943" s="34"/>
      <c r="G943" s="31">
        <f>SUM(G946+G944)</f>
        <v>370</v>
      </c>
      <c r="H943" s="31">
        <f>SUM(H946+H944)</f>
        <v>0</v>
      </c>
      <c r="I943" s="31">
        <f t="shared" si="36"/>
        <v>0</v>
      </c>
    </row>
    <row r="944" spans="1:9" ht="15.75">
      <c r="A944" s="49" t="s">
        <v>807</v>
      </c>
      <c r="B944" s="66"/>
      <c r="C944" s="45" t="s">
        <v>739</v>
      </c>
      <c r="D944" s="45" t="s">
        <v>703</v>
      </c>
      <c r="E944" s="45" t="s">
        <v>382</v>
      </c>
      <c r="F944" s="34" t="s">
        <v>808</v>
      </c>
      <c r="G944" s="31">
        <v>268</v>
      </c>
      <c r="H944" s="31"/>
      <c r="I944" s="31">
        <f t="shared" si="36"/>
        <v>0</v>
      </c>
    </row>
    <row r="945" spans="1:9" ht="42" customHeight="1">
      <c r="A945" s="49" t="s">
        <v>383</v>
      </c>
      <c r="B945" s="66"/>
      <c r="C945" s="45" t="s">
        <v>739</v>
      </c>
      <c r="D945" s="45" t="s">
        <v>703</v>
      </c>
      <c r="E945" s="45" t="s">
        <v>384</v>
      </c>
      <c r="F945" s="34"/>
      <c r="G945" s="31">
        <f>SUM(G946)</f>
        <v>102</v>
      </c>
      <c r="H945" s="31">
        <f>SUM(H946)</f>
        <v>0</v>
      </c>
      <c r="I945" s="31">
        <f t="shared" si="36"/>
        <v>0</v>
      </c>
    </row>
    <row r="946" spans="1:9" ht="15.75">
      <c r="A946" s="49" t="s">
        <v>807</v>
      </c>
      <c r="B946" s="66"/>
      <c r="C946" s="45" t="s">
        <v>739</v>
      </c>
      <c r="D946" s="45" t="s">
        <v>703</v>
      </c>
      <c r="E946" s="45" t="s">
        <v>384</v>
      </c>
      <c r="F946" s="34" t="s">
        <v>808</v>
      </c>
      <c r="G946" s="31">
        <v>102</v>
      </c>
      <c r="H946" s="31"/>
      <c r="I946" s="31">
        <f t="shared" si="36"/>
        <v>0</v>
      </c>
    </row>
    <row r="947" spans="1:9" ht="29.25">
      <c r="A947" s="46" t="s">
        <v>385</v>
      </c>
      <c r="B947" s="51"/>
      <c r="C947" s="40" t="s">
        <v>739</v>
      </c>
      <c r="D947" s="40" t="s">
        <v>776</v>
      </c>
      <c r="E947" s="40"/>
      <c r="F947" s="125"/>
      <c r="G947" s="31">
        <f>SUM(G951+G954+G949)</f>
        <v>11084.5</v>
      </c>
      <c r="H947" s="31">
        <f>SUM(H951+H954+H949)</f>
        <v>7055.4</v>
      </c>
      <c r="I947" s="31">
        <f t="shared" si="36"/>
        <v>63.651044250981094</v>
      </c>
    </row>
    <row r="948" spans="1:9" ht="15.75">
      <c r="A948" s="27" t="s">
        <v>794</v>
      </c>
      <c r="B948" s="51"/>
      <c r="C948" s="45" t="s">
        <v>739</v>
      </c>
      <c r="D948" s="45" t="s">
        <v>776</v>
      </c>
      <c r="E948" s="45" t="s">
        <v>796</v>
      </c>
      <c r="F948" s="125"/>
      <c r="G948" s="31">
        <f>SUM(G949)</f>
        <v>900</v>
      </c>
      <c r="H948" s="31">
        <f>SUM(H949)</f>
        <v>900</v>
      </c>
      <c r="I948" s="31">
        <f t="shared" si="36"/>
        <v>100</v>
      </c>
    </row>
    <row r="949" spans="1:9" ht="15.75">
      <c r="A949" s="27" t="s">
        <v>765</v>
      </c>
      <c r="B949" s="51"/>
      <c r="C949" s="45" t="s">
        <v>739</v>
      </c>
      <c r="D949" s="45" t="s">
        <v>776</v>
      </c>
      <c r="E949" s="45" t="s">
        <v>766</v>
      </c>
      <c r="F949" s="125"/>
      <c r="G949" s="31">
        <f>SUM(G950)</f>
        <v>900</v>
      </c>
      <c r="H949" s="31">
        <f>SUM(H950)</f>
        <v>900</v>
      </c>
      <c r="I949" s="31">
        <f t="shared" si="36"/>
        <v>100</v>
      </c>
    </row>
    <row r="950" spans="1:9" ht="42.75">
      <c r="A950" s="27" t="s">
        <v>386</v>
      </c>
      <c r="B950" s="51"/>
      <c r="C950" s="45" t="s">
        <v>739</v>
      </c>
      <c r="D950" s="45" t="s">
        <v>776</v>
      </c>
      <c r="E950" s="45" t="s">
        <v>766</v>
      </c>
      <c r="F950" s="125" t="s">
        <v>387</v>
      </c>
      <c r="G950" s="31">
        <v>900</v>
      </c>
      <c r="H950" s="31">
        <v>900</v>
      </c>
      <c r="I950" s="31">
        <f t="shared" si="36"/>
        <v>100</v>
      </c>
    </row>
    <row r="951" spans="1:9" ht="71.25" customHeight="1">
      <c r="A951" s="46" t="s">
        <v>335</v>
      </c>
      <c r="B951" s="118"/>
      <c r="C951" s="45" t="s">
        <v>739</v>
      </c>
      <c r="D951" s="45" t="s">
        <v>776</v>
      </c>
      <c r="E951" s="45" t="s">
        <v>336</v>
      </c>
      <c r="F951" s="33"/>
      <c r="G951" s="31">
        <f>SUM(G952)</f>
        <v>5467.5</v>
      </c>
      <c r="H951" s="31">
        <f>SUM(H952)</f>
        <v>3733.8</v>
      </c>
      <c r="I951" s="31">
        <f t="shared" si="36"/>
        <v>68.29080932784638</v>
      </c>
    </row>
    <row r="952" spans="1:9" ht="29.25">
      <c r="A952" s="32" t="s">
        <v>805</v>
      </c>
      <c r="B952" s="118"/>
      <c r="C952" s="45" t="s">
        <v>739</v>
      </c>
      <c r="D952" s="45" t="s">
        <v>776</v>
      </c>
      <c r="E952" s="45" t="s">
        <v>337</v>
      </c>
      <c r="F952" s="33"/>
      <c r="G952" s="31">
        <f>SUM(G953)</f>
        <v>5467.5</v>
      </c>
      <c r="H952" s="31">
        <f>SUM(H953)</f>
        <v>3733.8</v>
      </c>
      <c r="I952" s="31">
        <f t="shared" si="36"/>
        <v>68.29080932784638</v>
      </c>
    </row>
    <row r="953" spans="1:9" ht="15.75">
      <c r="A953" s="49" t="s">
        <v>807</v>
      </c>
      <c r="B953" s="66"/>
      <c r="C953" s="45" t="s">
        <v>739</v>
      </c>
      <c r="D953" s="45" t="s">
        <v>776</v>
      </c>
      <c r="E953" s="45" t="s">
        <v>337</v>
      </c>
      <c r="F953" s="34" t="s">
        <v>808</v>
      </c>
      <c r="G953" s="31">
        <f>4914+405.5+148</f>
        <v>5467.5</v>
      </c>
      <c r="H953" s="31">
        <v>3733.8</v>
      </c>
      <c r="I953" s="31">
        <f t="shared" si="36"/>
        <v>68.29080932784638</v>
      </c>
    </row>
    <row r="954" spans="1:9" ht="15.75">
      <c r="A954" s="103" t="s">
        <v>767</v>
      </c>
      <c r="B954" s="51"/>
      <c r="C954" s="40" t="s">
        <v>739</v>
      </c>
      <c r="D954" s="40" t="s">
        <v>776</v>
      </c>
      <c r="E954" s="40" t="s">
        <v>768</v>
      </c>
      <c r="F954" s="125"/>
      <c r="G954" s="31">
        <f>SUM(G955)</f>
        <v>4717</v>
      </c>
      <c r="H954" s="31">
        <f>SUM(H955)</f>
        <v>2421.6</v>
      </c>
      <c r="I954" s="31">
        <f t="shared" si="36"/>
        <v>51.3377146491414</v>
      </c>
    </row>
    <row r="955" spans="1:9" ht="41.25" customHeight="1">
      <c r="A955" s="27" t="s">
        <v>386</v>
      </c>
      <c r="B955" s="51"/>
      <c r="C955" s="40" t="s">
        <v>739</v>
      </c>
      <c r="D955" s="40" t="s">
        <v>776</v>
      </c>
      <c r="E955" s="40" t="s">
        <v>768</v>
      </c>
      <c r="F955" s="125" t="s">
        <v>387</v>
      </c>
      <c r="G955" s="31">
        <f>SUM(G956:G960)</f>
        <v>4717</v>
      </c>
      <c r="H955" s="31">
        <f>SUM(H956:H960)</f>
        <v>2421.6</v>
      </c>
      <c r="I955" s="31">
        <f t="shared" si="36"/>
        <v>51.3377146491414</v>
      </c>
    </row>
    <row r="956" spans="1:9" ht="42.75" hidden="1">
      <c r="A956" s="80" t="s">
        <v>356</v>
      </c>
      <c r="B956" s="51"/>
      <c r="C956" s="40" t="s">
        <v>739</v>
      </c>
      <c r="D956" s="40" t="s">
        <v>776</v>
      </c>
      <c r="E956" s="40" t="s">
        <v>357</v>
      </c>
      <c r="F956" s="125" t="s">
        <v>387</v>
      </c>
      <c r="G956" s="31"/>
      <c r="H956" s="31"/>
      <c r="I956" s="31" t="e">
        <f t="shared" si="36"/>
        <v>#DIV/0!</v>
      </c>
    </row>
    <row r="957" spans="1:9" ht="28.5" hidden="1">
      <c r="A957" s="38" t="s">
        <v>388</v>
      </c>
      <c r="B957" s="51"/>
      <c r="C957" s="40" t="s">
        <v>739</v>
      </c>
      <c r="D957" s="40" t="s">
        <v>776</v>
      </c>
      <c r="E957" s="40" t="s">
        <v>389</v>
      </c>
      <c r="F957" s="125" t="s">
        <v>387</v>
      </c>
      <c r="G957" s="64"/>
      <c r="H957" s="64"/>
      <c r="I957" s="31" t="e">
        <f t="shared" si="36"/>
        <v>#DIV/0!</v>
      </c>
    </row>
    <row r="958" spans="1:9" ht="60.75" customHeight="1" hidden="1">
      <c r="A958" s="38" t="s">
        <v>854</v>
      </c>
      <c r="B958" s="51"/>
      <c r="C958" s="40" t="s">
        <v>739</v>
      </c>
      <c r="D958" s="40" t="s">
        <v>776</v>
      </c>
      <c r="E958" s="40" t="s">
        <v>855</v>
      </c>
      <c r="F958" s="125" t="s">
        <v>387</v>
      </c>
      <c r="G958" s="64">
        <f>305-305</f>
        <v>0</v>
      </c>
      <c r="H958" s="64"/>
      <c r="I958" s="31"/>
    </row>
    <row r="959" spans="1:9" ht="28.5">
      <c r="A959" s="38" t="s">
        <v>673</v>
      </c>
      <c r="B959" s="51"/>
      <c r="C959" s="40" t="s">
        <v>739</v>
      </c>
      <c r="D959" s="40" t="s">
        <v>776</v>
      </c>
      <c r="E959" s="40" t="s">
        <v>391</v>
      </c>
      <c r="F959" s="125" t="s">
        <v>387</v>
      </c>
      <c r="G959" s="64">
        <v>495</v>
      </c>
      <c r="H959" s="64"/>
      <c r="I959" s="31">
        <f t="shared" si="36"/>
        <v>0</v>
      </c>
    </row>
    <row r="960" spans="1:9" ht="28.5">
      <c r="A960" s="38" t="s">
        <v>392</v>
      </c>
      <c r="B960" s="51"/>
      <c r="C960" s="40" t="s">
        <v>739</v>
      </c>
      <c r="D960" s="40" t="s">
        <v>776</v>
      </c>
      <c r="E960" s="40" t="s">
        <v>393</v>
      </c>
      <c r="F960" s="125" t="s">
        <v>387</v>
      </c>
      <c r="G960" s="64">
        <v>4222</v>
      </c>
      <c r="H960" s="64">
        <v>2421.6</v>
      </c>
      <c r="I960" s="31">
        <f t="shared" si="36"/>
        <v>57.356702984367594</v>
      </c>
    </row>
    <row r="961" spans="1:9" ht="15" customHeight="1">
      <c r="A961" s="200" t="s">
        <v>674</v>
      </c>
      <c r="B961" s="118" t="s">
        <v>675</v>
      </c>
      <c r="C961" s="45"/>
      <c r="D961" s="45"/>
      <c r="E961" s="45"/>
      <c r="F961" s="33"/>
      <c r="G961" s="199">
        <f>SUM(G962+G970)</f>
        <v>203498.7</v>
      </c>
      <c r="H961" s="199">
        <f>SUM(H962+H970)</f>
        <v>135647</v>
      </c>
      <c r="I961" s="54">
        <f t="shared" si="36"/>
        <v>66.6574282784116</v>
      </c>
    </row>
    <row r="962" spans="1:9" ht="15.75" hidden="1">
      <c r="A962" s="27" t="s">
        <v>725</v>
      </c>
      <c r="B962" s="118"/>
      <c r="C962" s="45" t="s">
        <v>726</v>
      </c>
      <c r="D962" s="45"/>
      <c r="E962" s="45"/>
      <c r="F962" s="33"/>
      <c r="G962" s="31">
        <f>SUM(G963)+G967</f>
        <v>0</v>
      </c>
      <c r="H962" s="31">
        <f>SUM(H963)+H967</f>
        <v>0</v>
      </c>
      <c r="I962" s="31" t="e">
        <f t="shared" si="36"/>
        <v>#DIV/0!</v>
      </c>
    </row>
    <row r="963" spans="1:9" ht="15" hidden="1">
      <c r="A963" s="32" t="s">
        <v>727</v>
      </c>
      <c r="B963" s="36"/>
      <c r="C963" s="29" t="s">
        <v>726</v>
      </c>
      <c r="D963" s="29" t="s">
        <v>726</v>
      </c>
      <c r="E963" s="29"/>
      <c r="F963" s="30"/>
      <c r="G963" s="31">
        <f aca="true" t="shared" si="37" ref="G963:H965">SUM(G964)</f>
        <v>0</v>
      </c>
      <c r="H963" s="31">
        <f t="shared" si="37"/>
        <v>0</v>
      </c>
      <c r="I963" s="31" t="e">
        <f t="shared" si="36"/>
        <v>#DIV/0!</v>
      </c>
    </row>
    <row r="964" spans="1:9" ht="28.5" hidden="1">
      <c r="A964" s="46" t="s">
        <v>315</v>
      </c>
      <c r="B964" s="36"/>
      <c r="C964" s="29" t="s">
        <v>726</v>
      </c>
      <c r="D964" s="29" t="s">
        <v>726</v>
      </c>
      <c r="E964" s="29" t="s">
        <v>729</v>
      </c>
      <c r="F964" s="30"/>
      <c r="G964" s="31">
        <f t="shared" si="37"/>
        <v>0</v>
      </c>
      <c r="H964" s="31">
        <f t="shared" si="37"/>
        <v>0</v>
      </c>
      <c r="I964" s="31" t="e">
        <f t="shared" si="36"/>
        <v>#DIV/0!</v>
      </c>
    </row>
    <row r="965" spans="1:9" ht="15" hidden="1">
      <c r="A965" s="46" t="s">
        <v>316</v>
      </c>
      <c r="B965" s="36"/>
      <c r="C965" s="29" t="s">
        <v>726</v>
      </c>
      <c r="D965" s="29" t="s">
        <v>726</v>
      </c>
      <c r="E965" s="29" t="s">
        <v>317</v>
      </c>
      <c r="F965" s="30"/>
      <c r="G965" s="31">
        <f t="shared" si="37"/>
        <v>0</v>
      </c>
      <c r="H965" s="31">
        <f t="shared" si="37"/>
        <v>0</v>
      </c>
      <c r="I965" s="31" t="e">
        <f t="shared" si="36"/>
        <v>#DIV/0!</v>
      </c>
    </row>
    <row r="966" spans="1:9" ht="14.25" customHeight="1" hidden="1">
      <c r="A966" s="49" t="s">
        <v>807</v>
      </c>
      <c r="B966" s="36"/>
      <c r="C966" s="29" t="s">
        <v>726</v>
      </c>
      <c r="D966" s="29" t="s">
        <v>726</v>
      </c>
      <c r="E966" s="29" t="s">
        <v>317</v>
      </c>
      <c r="F966" s="30" t="s">
        <v>808</v>
      </c>
      <c r="G966" s="31"/>
      <c r="H966" s="31"/>
      <c r="I966" s="31" t="e">
        <f t="shared" si="36"/>
        <v>#DIV/0!</v>
      </c>
    </row>
    <row r="967" spans="1:9" ht="18" customHeight="1" hidden="1">
      <c r="A967" s="103" t="s">
        <v>329</v>
      </c>
      <c r="B967" s="36"/>
      <c r="C967" s="29" t="s">
        <v>726</v>
      </c>
      <c r="D967" s="29" t="s">
        <v>861</v>
      </c>
      <c r="E967" s="29"/>
      <c r="F967" s="30"/>
      <c r="G967" s="31">
        <f>SUM(G968)</f>
        <v>0</v>
      </c>
      <c r="H967" s="31">
        <f>SUM(H968)</f>
        <v>0</v>
      </c>
      <c r="I967" s="31" t="e">
        <f t="shared" si="36"/>
        <v>#DIV/0!</v>
      </c>
    </row>
    <row r="968" spans="1:9" ht="13.5" customHeight="1" hidden="1">
      <c r="A968" s="103" t="s">
        <v>767</v>
      </c>
      <c r="B968" s="36"/>
      <c r="C968" s="29" t="s">
        <v>726</v>
      </c>
      <c r="D968" s="29" t="s">
        <v>861</v>
      </c>
      <c r="E968" s="29" t="s">
        <v>768</v>
      </c>
      <c r="F968" s="30"/>
      <c r="G968" s="31">
        <f>SUM(G969)</f>
        <v>0</v>
      </c>
      <c r="H968" s="31">
        <f>SUM(H969)</f>
        <v>0</v>
      </c>
      <c r="I968" s="31" t="e">
        <f t="shared" si="36"/>
        <v>#DIV/0!</v>
      </c>
    </row>
    <row r="969" spans="1:9" ht="13.5" customHeight="1" hidden="1">
      <c r="A969" s="32" t="s">
        <v>394</v>
      </c>
      <c r="B969" s="36"/>
      <c r="C969" s="29" t="s">
        <v>726</v>
      </c>
      <c r="D969" s="29" t="s">
        <v>861</v>
      </c>
      <c r="E969" s="29" t="s">
        <v>768</v>
      </c>
      <c r="F969" s="30" t="s">
        <v>395</v>
      </c>
      <c r="G969" s="31"/>
      <c r="H969" s="31"/>
      <c r="I969" s="31" t="e">
        <f t="shared" si="36"/>
        <v>#DIV/0!</v>
      </c>
    </row>
    <row r="970" spans="1:9" ht="15">
      <c r="A970" s="27" t="s">
        <v>643</v>
      </c>
      <c r="B970" s="28"/>
      <c r="C970" s="45" t="s">
        <v>861</v>
      </c>
      <c r="D970" s="45"/>
      <c r="E970" s="45"/>
      <c r="F970" s="33"/>
      <c r="G970" s="31">
        <f>SUM(G971+G982+G1006+G1018+G1001)</f>
        <v>203498.7</v>
      </c>
      <c r="H970" s="31">
        <f>SUM(H971+H982+H1006+H1018+H1001)</f>
        <v>135647</v>
      </c>
      <c r="I970" s="31">
        <f t="shared" si="36"/>
        <v>66.6574282784116</v>
      </c>
    </row>
    <row r="971" spans="1:9" ht="13.5" customHeight="1">
      <c r="A971" s="27" t="s">
        <v>397</v>
      </c>
      <c r="B971" s="28"/>
      <c r="C971" s="45" t="s">
        <v>861</v>
      </c>
      <c r="D971" s="45" t="s">
        <v>703</v>
      </c>
      <c r="E971" s="45"/>
      <c r="F971" s="33"/>
      <c r="G971" s="31">
        <f>SUM(G972+G975)</f>
        <v>69127.2</v>
      </c>
      <c r="H971" s="31">
        <f>SUM(H972+H975)</f>
        <v>46235.5</v>
      </c>
      <c r="I971" s="31">
        <f t="shared" si="36"/>
        <v>66.88467057829625</v>
      </c>
    </row>
    <row r="972" spans="1:9" ht="17.25" customHeight="1">
      <c r="A972" s="27" t="s">
        <v>794</v>
      </c>
      <c r="B972" s="28"/>
      <c r="C972" s="45" t="s">
        <v>861</v>
      </c>
      <c r="D972" s="45" t="s">
        <v>703</v>
      </c>
      <c r="E972" s="29" t="s">
        <v>796</v>
      </c>
      <c r="F972" s="30"/>
      <c r="G972" s="31">
        <f>SUM(G973)</f>
        <v>147.2</v>
      </c>
      <c r="H972" s="31">
        <f>SUM(H973)</f>
        <v>146.8</v>
      </c>
      <c r="I972" s="31">
        <f t="shared" si="36"/>
        <v>99.72826086956523</v>
      </c>
    </row>
    <row r="973" spans="1:9" ht="15.75" customHeight="1">
      <c r="A973" s="27" t="s">
        <v>765</v>
      </c>
      <c r="B973" s="28"/>
      <c r="C973" s="45" t="s">
        <v>861</v>
      </c>
      <c r="D973" s="45" t="s">
        <v>703</v>
      </c>
      <c r="E973" s="29" t="s">
        <v>766</v>
      </c>
      <c r="F973" s="30"/>
      <c r="G973" s="31">
        <f>SUM(G974)</f>
        <v>147.2</v>
      </c>
      <c r="H973" s="31">
        <f>SUM(H974)</f>
        <v>146.8</v>
      </c>
      <c r="I973" s="31">
        <f t="shared" si="36"/>
        <v>99.72826086956523</v>
      </c>
    </row>
    <row r="974" spans="1:9" ht="17.25" customHeight="1">
      <c r="A974" s="49" t="s">
        <v>807</v>
      </c>
      <c r="B974" s="44"/>
      <c r="C974" s="45" t="s">
        <v>861</v>
      </c>
      <c r="D974" s="45" t="s">
        <v>703</v>
      </c>
      <c r="E974" s="29" t="s">
        <v>766</v>
      </c>
      <c r="F974" s="33" t="s">
        <v>808</v>
      </c>
      <c r="G974" s="31">
        <v>147.2</v>
      </c>
      <c r="H974" s="31">
        <v>146.8</v>
      </c>
      <c r="I974" s="31">
        <f t="shared" si="36"/>
        <v>99.72826086956523</v>
      </c>
    </row>
    <row r="975" spans="1:9" ht="15">
      <c r="A975" s="27" t="s">
        <v>401</v>
      </c>
      <c r="B975" s="28"/>
      <c r="C975" s="45" t="s">
        <v>861</v>
      </c>
      <c r="D975" s="45" t="s">
        <v>703</v>
      </c>
      <c r="E975" s="45" t="s">
        <v>402</v>
      </c>
      <c r="F975" s="33"/>
      <c r="G975" s="31">
        <f>SUM(G976)</f>
        <v>68980</v>
      </c>
      <c r="H975" s="31">
        <f>SUM(H976)</f>
        <v>46088.7</v>
      </c>
      <c r="I975" s="31">
        <f t="shared" si="36"/>
        <v>66.81458393737316</v>
      </c>
    </row>
    <row r="976" spans="1:9" ht="28.5">
      <c r="A976" s="32" t="s">
        <v>805</v>
      </c>
      <c r="B976" s="28"/>
      <c r="C976" s="45" t="s">
        <v>861</v>
      </c>
      <c r="D976" s="45" t="s">
        <v>703</v>
      </c>
      <c r="E976" s="45" t="s">
        <v>403</v>
      </c>
      <c r="F976" s="33"/>
      <c r="G976" s="31">
        <f>SUM(G977:G980)</f>
        <v>68980</v>
      </c>
      <c r="H976" s="31">
        <f>SUM(H977:H980)</f>
        <v>46088.7</v>
      </c>
      <c r="I976" s="31">
        <f t="shared" si="36"/>
        <v>66.81458393737316</v>
      </c>
    </row>
    <row r="977" spans="1:9" ht="15">
      <c r="A977" s="49" t="s">
        <v>807</v>
      </c>
      <c r="B977" s="28"/>
      <c r="C977" s="45" t="s">
        <v>404</v>
      </c>
      <c r="D977" s="45" t="s">
        <v>703</v>
      </c>
      <c r="E977" s="45" t="s">
        <v>403</v>
      </c>
      <c r="F977" s="33" t="s">
        <v>808</v>
      </c>
      <c r="G977" s="31">
        <v>68980</v>
      </c>
      <c r="H977" s="31">
        <v>46088.7</v>
      </c>
      <c r="I977" s="31">
        <f aca="true" t="shared" si="38" ref="I977:I1040">SUM(H977/G977*100)</f>
        <v>66.81458393737316</v>
      </c>
    </row>
    <row r="978" spans="1:9" ht="57" hidden="1">
      <c r="A978" s="49" t="s">
        <v>405</v>
      </c>
      <c r="B978" s="28"/>
      <c r="C978" s="45" t="s">
        <v>404</v>
      </c>
      <c r="D978" s="45" t="s">
        <v>703</v>
      </c>
      <c r="E978" s="45" t="s">
        <v>403</v>
      </c>
      <c r="F978" s="33" t="s">
        <v>406</v>
      </c>
      <c r="G978" s="31"/>
      <c r="H978" s="31"/>
      <c r="I978" s="31" t="e">
        <f t="shared" si="38"/>
        <v>#DIV/0!</v>
      </c>
    </row>
    <row r="979" spans="1:9" ht="46.5" customHeight="1" hidden="1">
      <c r="A979" s="49" t="s">
        <v>192</v>
      </c>
      <c r="B979" s="28"/>
      <c r="C979" s="45" t="s">
        <v>404</v>
      </c>
      <c r="D979" s="45" t="s">
        <v>703</v>
      </c>
      <c r="E979" s="45" t="s">
        <v>403</v>
      </c>
      <c r="F979" s="33" t="s">
        <v>193</v>
      </c>
      <c r="G979" s="31"/>
      <c r="H979" s="31"/>
      <c r="I979" s="31" t="e">
        <f t="shared" si="38"/>
        <v>#DIV/0!</v>
      </c>
    </row>
    <row r="980" spans="1:9" ht="60.75" customHeight="1" hidden="1">
      <c r="A980" s="32" t="s">
        <v>199</v>
      </c>
      <c r="B980" s="28"/>
      <c r="C980" s="45" t="s">
        <v>404</v>
      </c>
      <c r="D980" s="45" t="s">
        <v>703</v>
      </c>
      <c r="E980" s="45" t="s">
        <v>407</v>
      </c>
      <c r="F980" s="33"/>
      <c r="G980" s="31">
        <f>SUM(G981)</f>
        <v>0</v>
      </c>
      <c r="H980" s="31">
        <f>SUM(H981)</f>
        <v>0</v>
      </c>
      <c r="I980" s="31" t="e">
        <f t="shared" si="38"/>
        <v>#DIV/0!</v>
      </c>
    </row>
    <row r="981" spans="1:9" ht="15" hidden="1">
      <c r="A981" s="49" t="s">
        <v>807</v>
      </c>
      <c r="B981" s="28"/>
      <c r="C981" s="45" t="s">
        <v>404</v>
      </c>
      <c r="D981" s="45" t="s">
        <v>703</v>
      </c>
      <c r="E981" s="45" t="s">
        <v>407</v>
      </c>
      <c r="F981" s="33" t="s">
        <v>808</v>
      </c>
      <c r="G981" s="31"/>
      <c r="H981" s="31"/>
      <c r="I981" s="31" t="e">
        <f t="shared" si="38"/>
        <v>#DIV/0!</v>
      </c>
    </row>
    <row r="982" spans="1:9" ht="15">
      <c r="A982" s="27" t="s">
        <v>408</v>
      </c>
      <c r="B982" s="28"/>
      <c r="C982" s="45" t="s">
        <v>861</v>
      </c>
      <c r="D982" s="45" t="s">
        <v>705</v>
      </c>
      <c r="E982" s="45"/>
      <c r="F982" s="33"/>
      <c r="G982" s="31">
        <f>SUM(G983+G990+G994+G998)</f>
        <v>49884.2</v>
      </c>
      <c r="H982" s="31">
        <f>SUM(H983+H990+H994+H998)</f>
        <v>31424.600000000002</v>
      </c>
      <c r="I982" s="31">
        <f t="shared" si="38"/>
        <v>62.99509664382711</v>
      </c>
    </row>
    <row r="983" spans="1:9" ht="15">
      <c r="A983" s="27" t="s">
        <v>401</v>
      </c>
      <c r="B983" s="28"/>
      <c r="C983" s="45" t="s">
        <v>861</v>
      </c>
      <c r="D983" s="45" t="s">
        <v>705</v>
      </c>
      <c r="E983" s="45" t="s">
        <v>402</v>
      </c>
      <c r="F983" s="33"/>
      <c r="G983" s="31">
        <f>SUM(G984)</f>
        <v>35591.4</v>
      </c>
      <c r="H983" s="31">
        <f>SUM(H984)</f>
        <v>21799.8</v>
      </c>
      <c r="I983" s="31">
        <f t="shared" si="38"/>
        <v>61.25018965255651</v>
      </c>
    </row>
    <row r="984" spans="1:9" ht="28.5">
      <c r="A984" s="32" t="s">
        <v>805</v>
      </c>
      <c r="B984" s="28"/>
      <c r="C984" s="45" t="s">
        <v>861</v>
      </c>
      <c r="D984" s="45" t="s">
        <v>705</v>
      </c>
      <c r="E984" s="45" t="s">
        <v>403</v>
      </c>
      <c r="F984" s="33"/>
      <c r="G984" s="31">
        <f>SUM(G985:G988)</f>
        <v>35591.4</v>
      </c>
      <c r="H984" s="31">
        <f>SUM(H985:H988)</f>
        <v>21799.8</v>
      </c>
      <c r="I984" s="31">
        <f t="shared" si="38"/>
        <v>61.25018965255651</v>
      </c>
    </row>
    <row r="985" spans="1:9" ht="18" customHeight="1">
      <c r="A985" s="49" t="s">
        <v>807</v>
      </c>
      <c r="B985" s="28"/>
      <c r="C985" s="45" t="s">
        <v>861</v>
      </c>
      <c r="D985" s="45" t="s">
        <v>705</v>
      </c>
      <c r="E985" s="45" t="s">
        <v>403</v>
      </c>
      <c r="F985" s="33" t="s">
        <v>808</v>
      </c>
      <c r="G985" s="31">
        <v>35591.4</v>
      </c>
      <c r="H985" s="31">
        <v>21799.8</v>
      </c>
      <c r="I985" s="31">
        <f t="shared" si="38"/>
        <v>61.25018965255651</v>
      </c>
    </row>
    <row r="986" spans="1:9" ht="56.25" customHeight="1" hidden="1">
      <c r="A986" s="49" t="s">
        <v>405</v>
      </c>
      <c r="B986" s="28"/>
      <c r="C986" s="45" t="s">
        <v>861</v>
      </c>
      <c r="D986" s="45" t="s">
        <v>705</v>
      </c>
      <c r="E986" s="45" t="s">
        <v>403</v>
      </c>
      <c r="F986" s="33" t="s">
        <v>406</v>
      </c>
      <c r="G986" s="31"/>
      <c r="H986" s="31"/>
      <c r="I986" s="31" t="e">
        <f t="shared" si="38"/>
        <v>#DIV/0!</v>
      </c>
    </row>
    <row r="987" spans="1:9" ht="18.75" customHeight="1" hidden="1">
      <c r="A987" s="49" t="s">
        <v>192</v>
      </c>
      <c r="B987" s="28"/>
      <c r="C987" s="45" t="s">
        <v>861</v>
      </c>
      <c r="D987" s="45" t="s">
        <v>705</v>
      </c>
      <c r="E987" s="45" t="s">
        <v>403</v>
      </c>
      <c r="F987" s="33" t="s">
        <v>193</v>
      </c>
      <c r="G987" s="31"/>
      <c r="H987" s="31"/>
      <c r="I987" s="31" t="e">
        <f t="shared" si="38"/>
        <v>#DIV/0!</v>
      </c>
    </row>
    <row r="988" spans="1:9" ht="57.75" customHeight="1" hidden="1">
      <c r="A988" s="32" t="s">
        <v>199</v>
      </c>
      <c r="B988" s="28"/>
      <c r="C988" s="45" t="s">
        <v>861</v>
      </c>
      <c r="D988" s="45" t="s">
        <v>705</v>
      </c>
      <c r="E988" s="45" t="s">
        <v>407</v>
      </c>
      <c r="F988" s="33"/>
      <c r="G988" s="31">
        <f>SUM(G989)</f>
        <v>0</v>
      </c>
      <c r="H988" s="31">
        <f>SUM(H989)</f>
        <v>0</v>
      </c>
      <c r="I988" s="31" t="e">
        <f t="shared" si="38"/>
        <v>#DIV/0!</v>
      </c>
    </row>
    <row r="989" spans="1:9" ht="15" hidden="1">
      <c r="A989" s="49" t="s">
        <v>807</v>
      </c>
      <c r="B989" s="28"/>
      <c r="C989" s="45" t="s">
        <v>861</v>
      </c>
      <c r="D989" s="45" t="s">
        <v>705</v>
      </c>
      <c r="E989" s="45" t="s">
        <v>407</v>
      </c>
      <c r="F989" s="33" t="s">
        <v>808</v>
      </c>
      <c r="G989" s="31"/>
      <c r="H989" s="31"/>
      <c r="I989" s="31" t="e">
        <f t="shared" si="38"/>
        <v>#DIV/0!</v>
      </c>
    </row>
    <row r="990" spans="1:9" ht="28.5">
      <c r="A990" s="27" t="s">
        <v>409</v>
      </c>
      <c r="B990" s="28"/>
      <c r="C990" s="45" t="s">
        <v>861</v>
      </c>
      <c r="D990" s="45" t="s">
        <v>705</v>
      </c>
      <c r="E990" s="45" t="s">
        <v>410</v>
      </c>
      <c r="F990" s="33"/>
      <c r="G990" s="31">
        <f>SUM(G991)</f>
        <v>11057.3</v>
      </c>
      <c r="H990" s="31">
        <f>SUM(H991)</f>
        <v>7467.6</v>
      </c>
      <c r="I990" s="31">
        <f t="shared" si="38"/>
        <v>67.5354743020448</v>
      </c>
    </row>
    <row r="991" spans="1:9" ht="28.5">
      <c r="A991" s="32" t="s">
        <v>805</v>
      </c>
      <c r="B991" s="28"/>
      <c r="C991" s="45" t="s">
        <v>861</v>
      </c>
      <c r="D991" s="45" t="s">
        <v>705</v>
      </c>
      <c r="E991" s="45" t="s">
        <v>411</v>
      </c>
      <c r="F991" s="33"/>
      <c r="G991" s="31">
        <f>SUM(G992:G993)</f>
        <v>11057.3</v>
      </c>
      <c r="H991" s="31">
        <f>SUM(H992:H993)</f>
        <v>7467.6</v>
      </c>
      <c r="I991" s="31">
        <f t="shared" si="38"/>
        <v>67.5354743020448</v>
      </c>
    </row>
    <row r="992" spans="1:9" ht="16.5" customHeight="1">
      <c r="A992" s="49" t="s">
        <v>807</v>
      </c>
      <c r="B992" s="28"/>
      <c r="C992" s="45" t="s">
        <v>861</v>
      </c>
      <c r="D992" s="45" t="s">
        <v>705</v>
      </c>
      <c r="E992" s="45" t="s">
        <v>411</v>
      </c>
      <c r="F992" s="33" t="s">
        <v>808</v>
      </c>
      <c r="G992" s="31">
        <v>11057.3</v>
      </c>
      <c r="H992" s="31">
        <v>7467.6</v>
      </c>
      <c r="I992" s="31">
        <f t="shared" si="38"/>
        <v>67.5354743020448</v>
      </c>
    </row>
    <row r="993" spans="1:9" ht="0.75" customHeight="1" hidden="1">
      <c r="A993" s="32" t="s">
        <v>199</v>
      </c>
      <c r="B993" s="28"/>
      <c r="C993" s="45" t="s">
        <v>861</v>
      </c>
      <c r="D993" s="45" t="s">
        <v>705</v>
      </c>
      <c r="E993" s="45" t="s">
        <v>411</v>
      </c>
      <c r="F993" s="33" t="s">
        <v>412</v>
      </c>
      <c r="G993" s="31"/>
      <c r="H993" s="31"/>
      <c r="I993" s="31" t="e">
        <f t="shared" si="38"/>
        <v>#DIV/0!</v>
      </c>
    </row>
    <row r="994" spans="1:9" ht="15">
      <c r="A994" s="27" t="s">
        <v>413</v>
      </c>
      <c r="B994" s="28"/>
      <c r="C994" s="45" t="s">
        <v>861</v>
      </c>
      <c r="D994" s="45" t="s">
        <v>705</v>
      </c>
      <c r="E994" s="45" t="s">
        <v>414</v>
      </c>
      <c r="F994" s="33"/>
      <c r="G994" s="31">
        <f>SUM(G995)</f>
        <v>2704.3</v>
      </c>
      <c r="H994" s="31">
        <f>SUM(H995)</f>
        <v>1817.2</v>
      </c>
      <c r="I994" s="31">
        <f t="shared" si="38"/>
        <v>67.19668675812595</v>
      </c>
    </row>
    <row r="995" spans="1:9" ht="28.5">
      <c r="A995" s="32" t="s">
        <v>805</v>
      </c>
      <c r="B995" s="28"/>
      <c r="C995" s="45" t="s">
        <v>861</v>
      </c>
      <c r="D995" s="45" t="s">
        <v>705</v>
      </c>
      <c r="E995" s="45" t="s">
        <v>415</v>
      </c>
      <c r="F995" s="33"/>
      <c r="G995" s="31">
        <f>SUM(G996:G997)</f>
        <v>2704.3</v>
      </c>
      <c r="H995" s="31">
        <f>SUM(H996:H997)</f>
        <v>1817.2</v>
      </c>
      <c r="I995" s="31">
        <f t="shared" si="38"/>
        <v>67.19668675812595</v>
      </c>
    </row>
    <row r="996" spans="1:9" ht="14.25" customHeight="1">
      <c r="A996" s="49" t="s">
        <v>807</v>
      </c>
      <c r="B996" s="28"/>
      <c r="C996" s="45" t="s">
        <v>861</v>
      </c>
      <c r="D996" s="45" t="s">
        <v>705</v>
      </c>
      <c r="E996" s="45" t="s">
        <v>415</v>
      </c>
      <c r="F996" s="33" t="s">
        <v>808</v>
      </c>
      <c r="G996" s="31">
        <v>2704.3</v>
      </c>
      <c r="H996" s="31">
        <v>1817.2</v>
      </c>
      <c r="I996" s="31">
        <f t="shared" si="38"/>
        <v>67.19668675812595</v>
      </c>
    </row>
    <row r="997" spans="1:9" ht="58.5" customHeight="1" hidden="1">
      <c r="A997" s="32" t="s">
        <v>199</v>
      </c>
      <c r="B997" s="28"/>
      <c r="C997" s="45" t="s">
        <v>861</v>
      </c>
      <c r="D997" s="45" t="s">
        <v>705</v>
      </c>
      <c r="E997" s="45" t="s">
        <v>415</v>
      </c>
      <c r="F997" s="33" t="s">
        <v>412</v>
      </c>
      <c r="G997" s="31"/>
      <c r="H997" s="31"/>
      <c r="I997" s="31" t="e">
        <f t="shared" si="38"/>
        <v>#DIV/0!</v>
      </c>
    </row>
    <row r="998" spans="1:9" ht="28.5">
      <c r="A998" s="80" t="s">
        <v>165</v>
      </c>
      <c r="B998" s="28"/>
      <c r="C998" s="45" t="s">
        <v>861</v>
      </c>
      <c r="D998" s="45" t="s">
        <v>705</v>
      </c>
      <c r="E998" s="45" t="s">
        <v>166</v>
      </c>
      <c r="F998" s="33"/>
      <c r="G998" s="31">
        <f>SUM(G999)</f>
        <v>531.2</v>
      </c>
      <c r="H998" s="31">
        <f>SUM(H999)</f>
        <v>340</v>
      </c>
      <c r="I998" s="31">
        <f t="shared" si="38"/>
        <v>64.00602409638554</v>
      </c>
    </row>
    <row r="999" spans="1:9" ht="57">
      <c r="A999" s="46" t="s">
        <v>416</v>
      </c>
      <c r="B999" s="28"/>
      <c r="C999" s="45" t="s">
        <v>861</v>
      </c>
      <c r="D999" s="45" t="s">
        <v>705</v>
      </c>
      <c r="E999" s="45" t="s">
        <v>417</v>
      </c>
      <c r="F999" s="33"/>
      <c r="G999" s="31">
        <f>SUM(G1000)</f>
        <v>531.2</v>
      </c>
      <c r="H999" s="31">
        <f>SUM(H1000)</f>
        <v>340</v>
      </c>
      <c r="I999" s="31">
        <f t="shared" si="38"/>
        <v>64.00602409638554</v>
      </c>
    </row>
    <row r="1000" spans="1:9" ht="15">
      <c r="A1000" s="49" t="s">
        <v>807</v>
      </c>
      <c r="B1000" s="28"/>
      <c r="C1000" s="45" t="s">
        <v>861</v>
      </c>
      <c r="D1000" s="45" t="s">
        <v>705</v>
      </c>
      <c r="E1000" s="45" t="s">
        <v>417</v>
      </c>
      <c r="F1000" s="33" t="s">
        <v>808</v>
      </c>
      <c r="G1000" s="31">
        <v>531.2</v>
      </c>
      <c r="H1000" s="31">
        <v>340</v>
      </c>
      <c r="I1000" s="31">
        <f t="shared" si="38"/>
        <v>64.00602409638554</v>
      </c>
    </row>
    <row r="1001" spans="1:9" ht="28.5">
      <c r="A1001" s="212" t="s">
        <v>418</v>
      </c>
      <c r="B1001" s="79"/>
      <c r="C1001" s="45" t="s">
        <v>861</v>
      </c>
      <c r="D1001" s="45" t="s">
        <v>713</v>
      </c>
      <c r="E1001" s="45"/>
      <c r="F1001" s="33"/>
      <c r="G1001" s="31">
        <f>SUM(G1002)</f>
        <v>13007.2</v>
      </c>
      <c r="H1001" s="31">
        <f>SUM(H1002)</f>
        <v>9494.7</v>
      </c>
      <c r="I1001" s="31">
        <f t="shared" si="38"/>
        <v>72.99572544436927</v>
      </c>
    </row>
    <row r="1002" spans="1:9" ht="28.5">
      <c r="A1002" s="212" t="s">
        <v>419</v>
      </c>
      <c r="B1002" s="79"/>
      <c r="C1002" s="45" t="s">
        <v>861</v>
      </c>
      <c r="D1002" s="45" t="s">
        <v>713</v>
      </c>
      <c r="E1002" s="45" t="s">
        <v>402</v>
      </c>
      <c r="F1002" s="33"/>
      <c r="G1002" s="31">
        <f>SUM(G1003)</f>
        <v>13007.2</v>
      </c>
      <c r="H1002" s="31">
        <f>SUM(H1003)</f>
        <v>9494.7</v>
      </c>
      <c r="I1002" s="31">
        <f t="shared" si="38"/>
        <v>72.99572544436927</v>
      </c>
    </row>
    <row r="1003" spans="1:9" ht="28.5">
      <c r="A1003" s="213" t="s">
        <v>805</v>
      </c>
      <c r="B1003" s="79"/>
      <c r="C1003" s="45" t="s">
        <v>861</v>
      </c>
      <c r="D1003" s="45" t="s">
        <v>713</v>
      </c>
      <c r="E1003" s="45" t="s">
        <v>403</v>
      </c>
      <c r="F1003" s="33"/>
      <c r="G1003" s="31">
        <f>SUM(G1004:G1005)</f>
        <v>13007.2</v>
      </c>
      <c r="H1003" s="31">
        <f>SUM(H1004:H1005)</f>
        <v>9494.7</v>
      </c>
      <c r="I1003" s="31">
        <f t="shared" si="38"/>
        <v>72.99572544436927</v>
      </c>
    </row>
    <row r="1004" spans="1:9" ht="15">
      <c r="A1004" s="213" t="s">
        <v>807</v>
      </c>
      <c r="B1004" s="79"/>
      <c r="C1004" s="45" t="s">
        <v>861</v>
      </c>
      <c r="D1004" s="45" t="s">
        <v>713</v>
      </c>
      <c r="E1004" s="45" t="s">
        <v>403</v>
      </c>
      <c r="F1004" s="33" t="s">
        <v>808</v>
      </c>
      <c r="G1004" s="31">
        <v>13007.2</v>
      </c>
      <c r="H1004" s="31">
        <v>9494.7</v>
      </c>
      <c r="I1004" s="31">
        <f t="shared" si="38"/>
        <v>72.99572544436927</v>
      </c>
    </row>
    <row r="1005" spans="1:9" ht="58.5" customHeight="1" hidden="1">
      <c r="A1005" s="32" t="s">
        <v>199</v>
      </c>
      <c r="B1005" s="28"/>
      <c r="C1005" s="45" t="s">
        <v>861</v>
      </c>
      <c r="D1005" s="45" t="s">
        <v>713</v>
      </c>
      <c r="E1005" s="45" t="s">
        <v>411</v>
      </c>
      <c r="F1005" s="33" t="s">
        <v>412</v>
      </c>
      <c r="G1005" s="31"/>
      <c r="H1005" s="31"/>
      <c r="I1005" s="31" t="e">
        <f t="shared" si="38"/>
        <v>#DIV/0!</v>
      </c>
    </row>
    <row r="1006" spans="1:9" ht="15">
      <c r="A1006" s="49" t="s">
        <v>420</v>
      </c>
      <c r="B1006" s="28"/>
      <c r="C1006" s="45" t="s">
        <v>861</v>
      </c>
      <c r="D1006" s="45" t="s">
        <v>737</v>
      </c>
      <c r="E1006" s="45"/>
      <c r="F1006" s="33"/>
      <c r="G1006" s="31">
        <f>SUM(G1009+G1013+G1007)</f>
        <v>57769.3</v>
      </c>
      <c r="H1006" s="31">
        <f>SUM(H1009+H1013+H1007)</f>
        <v>40136</v>
      </c>
      <c r="I1006" s="31">
        <f t="shared" si="38"/>
        <v>69.47634816416331</v>
      </c>
    </row>
    <row r="1007" spans="1:9" ht="15">
      <c r="A1007" s="49" t="s">
        <v>765</v>
      </c>
      <c r="B1007" s="28"/>
      <c r="C1007" s="45" t="s">
        <v>861</v>
      </c>
      <c r="D1007" s="45" t="s">
        <v>737</v>
      </c>
      <c r="E1007" s="45" t="s">
        <v>766</v>
      </c>
      <c r="F1007" s="33"/>
      <c r="G1007" s="31">
        <f>SUM(G1008)</f>
        <v>60</v>
      </c>
      <c r="H1007" s="31">
        <f>SUM(H1008)</f>
        <v>60</v>
      </c>
      <c r="I1007" s="31">
        <f t="shared" si="38"/>
        <v>100</v>
      </c>
    </row>
    <row r="1008" spans="1:9" ht="15">
      <c r="A1008" s="49" t="s">
        <v>807</v>
      </c>
      <c r="B1008" s="28"/>
      <c r="C1008" s="45" t="s">
        <v>861</v>
      </c>
      <c r="D1008" s="45" t="s">
        <v>737</v>
      </c>
      <c r="E1008" s="45" t="s">
        <v>766</v>
      </c>
      <c r="F1008" s="33" t="s">
        <v>808</v>
      </c>
      <c r="G1008" s="31">
        <v>60</v>
      </c>
      <c r="H1008" s="31">
        <v>60</v>
      </c>
      <c r="I1008" s="31">
        <f t="shared" si="38"/>
        <v>100</v>
      </c>
    </row>
    <row r="1009" spans="1:9" ht="15">
      <c r="A1009" s="27" t="s">
        <v>421</v>
      </c>
      <c r="B1009" s="28"/>
      <c r="C1009" s="45" t="s">
        <v>861</v>
      </c>
      <c r="D1009" s="45" t="s">
        <v>737</v>
      </c>
      <c r="E1009" s="45" t="s">
        <v>422</v>
      </c>
      <c r="F1009" s="33"/>
      <c r="G1009" s="31">
        <f>SUM(G1010)</f>
        <v>49359.1</v>
      </c>
      <c r="H1009" s="31">
        <f>SUM(H1010)</f>
        <v>34637.7</v>
      </c>
      <c r="I1009" s="31">
        <f t="shared" si="38"/>
        <v>70.17490189245751</v>
      </c>
    </row>
    <row r="1010" spans="1:9" ht="28.5">
      <c r="A1010" s="32" t="s">
        <v>805</v>
      </c>
      <c r="B1010" s="28"/>
      <c r="C1010" s="45" t="s">
        <v>861</v>
      </c>
      <c r="D1010" s="45" t="s">
        <v>737</v>
      </c>
      <c r="E1010" s="45" t="s">
        <v>423</v>
      </c>
      <c r="F1010" s="33"/>
      <c r="G1010" s="31">
        <f>SUM(G1011:G1012)</f>
        <v>49359.1</v>
      </c>
      <c r="H1010" s="31">
        <f>SUM(H1011:H1012)</f>
        <v>34637.7</v>
      </c>
      <c r="I1010" s="31">
        <f t="shared" si="38"/>
        <v>70.17490189245751</v>
      </c>
    </row>
    <row r="1011" spans="1:9" ht="14.25" customHeight="1">
      <c r="A1011" s="49" t="s">
        <v>807</v>
      </c>
      <c r="B1011" s="28"/>
      <c r="C1011" s="45" t="s">
        <v>861</v>
      </c>
      <c r="D1011" s="45" t="s">
        <v>737</v>
      </c>
      <c r="E1011" s="45" t="s">
        <v>423</v>
      </c>
      <c r="F1011" s="33" t="s">
        <v>808</v>
      </c>
      <c r="G1011" s="31">
        <v>49359.1</v>
      </c>
      <c r="H1011" s="31">
        <v>34637.7</v>
      </c>
      <c r="I1011" s="31">
        <f t="shared" si="38"/>
        <v>70.17490189245751</v>
      </c>
    </row>
    <row r="1012" spans="1:9" ht="62.25" customHeight="1" hidden="1">
      <c r="A1012" s="32" t="s">
        <v>199</v>
      </c>
      <c r="B1012" s="28"/>
      <c r="C1012" s="45" t="s">
        <v>861</v>
      </c>
      <c r="D1012" s="45" t="s">
        <v>737</v>
      </c>
      <c r="E1012" s="45" t="s">
        <v>423</v>
      </c>
      <c r="F1012" s="33" t="s">
        <v>412</v>
      </c>
      <c r="G1012" s="31"/>
      <c r="H1012" s="31"/>
      <c r="I1012" s="31" t="e">
        <f t="shared" si="38"/>
        <v>#DIV/0!</v>
      </c>
    </row>
    <row r="1013" spans="1:9" ht="28.5">
      <c r="A1013" s="80" t="s">
        <v>165</v>
      </c>
      <c r="B1013" s="28"/>
      <c r="C1013" s="45" t="s">
        <v>861</v>
      </c>
      <c r="D1013" s="45" t="s">
        <v>737</v>
      </c>
      <c r="E1013" s="45" t="s">
        <v>166</v>
      </c>
      <c r="F1013" s="33"/>
      <c r="G1013" s="31">
        <f>SUM(G1014)</f>
        <v>8350.2</v>
      </c>
      <c r="H1013" s="31">
        <f>SUM(H1014)</f>
        <v>5438.3</v>
      </c>
      <c r="I1013" s="31">
        <f t="shared" si="38"/>
        <v>65.12778137050609</v>
      </c>
    </row>
    <row r="1014" spans="1:9" ht="57">
      <c r="A1014" s="46" t="s">
        <v>416</v>
      </c>
      <c r="B1014" s="28"/>
      <c r="C1014" s="45" t="s">
        <v>861</v>
      </c>
      <c r="D1014" s="45" t="s">
        <v>737</v>
      </c>
      <c r="E1014" s="45" t="s">
        <v>417</v>
      </c>
      <c r="F1014" s="33"/>
      <c r="G1014" s="31">
        <f>SUM(G1015)</f>
        <v>8350.2</v>
      </c>
      <c r="H1014" s="31">
        <f>SUM(H1015)</f>
        <v>5438.3</v>
      </c>
      <c r="I1014" s="31">
        <f t="shared" si="38"/>
        <v>65.12778137050609</v>
      </c>
    </row>
    <row r="1015" spans="1:9" ht="15">
      <c r="A1015" s="49" t="s">
        <v>807</v>
      </c>
      <c r="B1015" s="28"/>
      <c r="C1015" s="45" t="s">
        <v>861</v>
      </c>
      <c r="D1015" s="45" t="s">
        <v>737</v>
      </c>
      <c r="E1015" s="45" t="s">
        <v>417</v>
      </c>
      <c r="F1015" s="33" t="s">
        <v>808</v>
      </c>
      <c r="G1015" s="31">
        <v>8350.2</v>
      </c>
      <c r="H1015" s="31">
        <v>5438.3</v>
      </c>
      <c r="I1015" s="31">
        <f t="shared" si="38"/>
        <v>65.12778137050609</v>
      </c>
    </row>
    <row r="1016" spans="1:9" ht="15" hidden="1">
      <c r="A1016" s="46" t="s">
        <v>881</v>
      </c>
      <c r="B1016" s="28"/>
      <c r="C1016" s="45" t="s">
        <v>861</v>
      </c>
      <c r="D1016" s="45" t="s">
        <v>703</v>
      </c>
      <c r="E1016" s="45" t="s">
        <v>676</v>
      </c>
      <c r="F1016" s="30"/>
      <c r="G1016" s="31">
        <f>SUM(G1017)</f>
        <v>0</v>
      </c>
      <c r="H1016" s="31">
        <f>SUM(H1017)</f>
        <v>0</v>
      </c>
      <c r="I1016" s="31" t="e">
        <f t="shared" si="38"/>
        <v>#DIV/0!</v>
      </c>
    </row>
    <row r="1017" spans="1:9" ht="28.5" hidden="1">
      <c r="A1017" s="27" t="s">
        <v>195</v>
      </c>
      <c r="B1017" s="28"/>
      <c r="C1017" s="45" t="s">
        <v>861</v>
      </c>
      <c r="D1017" s="45" t="s">
        <v>703</v>
      </c>
      <c r="E1017" s="45" t="s">
        <v>676</v>
      </c>
      <c r="F1017" s="30" t="s">
        <v>677</v>
      </c>
      <c r="G1017" s="31"/>
      <c r="H1017" s="31"/>
      <c r="I1017" s="31" t="e">
        <f t="shared" si="38"/>
        <v>#DIV/0!</v>
      </c>
    </row>
    <row r="1018" spans="1:9" ht="28.5">
      <c r="A1018" s="214" t="s">
        <v>678</v>
      </c>
      <c r="B1018" s="44"/>
      <c r="C1018" s="45" t="s">
        <v>861</v>
      </c>
      <c r="D1018" s="45" t="s">
        <v>1</v>
      </c>
      <c r="E1018" s="45"/>
      <c r="F1018" s="33"/>
      <c r="G1018" s="31">
        <f>SUM(G1019+G1023+G1028+G1029)</f>
        <v>13710.8</v>
      </c>
      <c r="H1018" s="31">
        <f>SUM(H1019+H1023+H1028+H1029)</f>
        <v>8356.2</v>
      </c>
      <c r="I1018" s="31">
        <f t="shared" si="38"/>
        <v>60.94611547101556</v>
      </c>
    </row>
    <row r="1019" spans="1:9" ht="28.5">
      <c r="A1019" s="72" t="s">
        <v>398</v>
      </c>
      <c r="B1019" s="28"/>
      <c r="C1019" s="45" t="s">
        <v>861</v>
      </c>
      <c r="D1019" s="45" t="s">
        <v>1</v>
      </c>
      <c r="E1019" s="45" t="s">
        <v>399</v>
      </c>
      <c r="F1019" s="33"/>
      <c r="G1019" s="31">
        <f>SUM(G1020)</f>
        <v>9799.1</v>
      </c>
      <c r="H1019" s="31">
        <f>SUM(H1020)</f>
        <v>6864.8</v>
      </c>
      <c r="I1019" s="31">
        <f t="shared" si="38"/>
        <v>70.05541325223746</v>
      </c>
    </row>
    <row r="1020" spans="1:9" ht="28.5">
      <c r="A1020" s="32" t="s">
        <v>805</v>
      </c>
      <c r="B1020" s="28"/>
      <c r="C1020" s="45" t="s">
        <v>861</v>
      </c>
      <c r="D1020" s="45" t="s">
        <v>1</v>
      </c>
      <c r="E1020" s="45" t="s">
        <v>400</v>
      </c>
      <c r="F1020" s="33"/>
      <c r="G1020" s="31">
        <f>SUM(G1021:G1022)</f>
        <v>9799.1</v>
      </c>
      <c r="H1020" s="31">
        <f>SUM(H1021:H1022)</f>
        <v>6864.8</v>
      </c>
      <c r="I1020" s="31">
        <f t="shared" si="38"/>
        <v>70.05541325223746</v>
      </c>
    </row>
    <row r="1021" spans="1:9" ht="17.25" customHeight="1">
      <c r="A1021" s="49" t="s">
        <v>807</v>
      </c>
      <c r="B1021" s="28"/>
      <c r="C1021" s="45" t="s">
        <v>861</v>
      </c>
      <c r="D1021" s="45" t="s">
        <v>1</v>
      </c>
      <c r="E1021" s="45" t="s">
        <v>400</v>
      </c>
      <c r="F1021" s="33" t="s">
        <v>808</v>
      </c>
      <c r="G1021" s="31">
        <v>9799.1</v>
      </c>
      <c r="H1021" s="31">
        <v>6864.8</v>
      </c>
      <c r="I1021" s="31">
        <f t="shared" si="38"/>
        <v>70.05541325223746</v>
      </c>
    </row>
    <row r="1022" spans="1:9" ht="71.25" hidden="1">
      <c r="A1022" s="32" t="s">
        <v>199</v>
      </c>
      <c r="B1022" s="28"/>
      <c r="C1022" s="45" t="s">
        <v>861</v>
      </c>
      <c r="D1022" s="45" t="s">
        <v>1</v>
      </c>
      <c r="E1022" s="45" t="s">
        <v>400</v>
      </c>
      <c r="F1022" s="33" t="s">
        <v>412</v>
      </c>
      <c r="G1022" s="31"/>
      <c r="H1022" s="31"/>
      <c r="I1022" s="31" t="e">
        <f t="shared" si="38"/>
        <v>#DIV/0!</v>
      </c>
    </row>
    <row r="1023" spans="1:9" ht="15" hidden="1">
      <c r="A1023" s="32" t="s">
        <v>881</v>
      </c>
      <c r="B1023" s="28"/>
      <c r="C1023" s="45" t="s">
        <v>861</v>
      </c>
      <c r="D1023" s="45" t="s">
        <v>1</v>
      </c>
      <c r="E1023" s="45" t="s">
        <v>882</v>
      </c>
      <c r="F1023" s="33"/>
      <c r="G1023" s="31">
        <f>SUM(G1024+G1026)</f>
        <v>0</v>
      </c>
      <c r="H1023" s="31">
        <f>SUM(H1024+H1026)</f>
        <v>0</v>
      </c>
      <c r="I1023" s="31" t="e">
        <f t="shared" si="38"/>
        <v>#DIV/0!</v>
      </c>
    </row>
    <row r="1024" spans="1:9" ht="43.5" hidden="1">
      <c r="A1024" s="49" t="s">
        <v>349</v>
      </c>
      <c r="B1024" s="66"/>
      <c r="C1024" s="45" t="s">
        <v>861</v>
      </c>
      <c r="D1024" s="45" t="s">
        <v>1</v>
      </c>
      <c r="E1024" s="45" t="s">
        <v>350</v>
      </c>
      <c r="F1024" s="34"/>
      <c r="G1024" s="31">
        <f>SUM(G1025)</f>
        <v>0</v>
      </c>
      <c r="H1024" s="31">
        <f>SUM(H1025)</f>
        <v>0</v>
      </c>
      <c r="I1024" s="31" t="e">
        <f t="shared" si="38"/>
        <v>#DIV/0!</v>
      </c>
    </row>
    <row r="1025" spans="1:9" ht="29.25" hidden="1">
      <c r="A1025" s="32" t="s">
        <v>195</v>
      </c>
      <c r="B1025" s="66"/>
      <c r="C1025" s="45" t="s">
        <v>861</v>
      </c>
      <c r="D1025" s="45" t="s">
        <v>1</v>
      </c>
      <c r="E1025" s="45" t="s">
        <v>350</v>
      </c>
      <c r="F1025" s="34" t="s">
        <v>348</v>
      </c>
      <c r="G1025" s="31"/>
      <c r="H1025" s="31"/>
      <c r="I1025" s="31" t="e">
        <f t="shared" si="38"/>
        <v>#DIV/0!</v>
      </c>
    </row>
    <row r="1026" spans="1:9" ht="42.75" hidden="1">
      <c r="A1026" s="32" t="s">
        <v>429</v>
      </c>
      <c r="B1026" s="28"/>
      <c r="C1026" s="45" t="s">
        <v>861</v>
      </c>
      <c r="D1026" s="45" t="s">
        <v>1</v>
      </c>
      <c r="E1026" s="45" t="s">
        <v>430</v>
      </c>
      <c r="F1026" s="33"/>
      <c r="G1026" s="31">
        <f>SUM(G1027)</f>
        <v>0</v>
      </c>
      <c r="H1026" s="31">
        <f>SUM(H1027)</f>
        <v>0</v>
      </c>
      <c r="I1026" s="31" t="e">
        <f t="shared" si="38"/>
        <v>#DIV/0!</v>
      </c>
    </row>
    <row r="1027" spans="1:9" ht="28.5" hidden="1">
      <c r="A1027" s="32" t="s">
        <v>195</v>
      </c>
      <c r="B1027" s="28"/>
      <c r="C1027" s="45" t="s">
        <v>861</v>
      </c>
      <c r="D1027" s="45" t="s">
        <v>1</v>
      </c>
      <c r="E1027" s="45" t="s">
        <v>430</v>
      </c>
      <c r="F1027" s="33" t="s">
        <v>348</v>
      </c>
      <c r="G1027" s="31"/>
      <c r="H1027" s="31"/>
      <c r="I1027" s="31" t="e">
        <f t="shared" si="38"/>
        <v>#DIV/0!</v>
      </c>
    </row>
    <row r="1028" spans="1:9" ht="1.5" customHeight="1" hidden="1">
      <c r="A1028" s="103" t="s">
        <v>767</v>
      </c>
      <c r="B1028" s="44"/>
      <c r="C1028" s="45" t="s">
        <v>861</v>
      </c>
      <c r="D1028" s="45" t="s">
        <v>1</v>
      </c>
      <c r="E1028" s="45" t="s">
        <v>768</v>
      </c>
      <c r="F1028" s="33"/>
      <c r="G1028" s="31">
        <f>SUM(G1031)</f>
        <v>0</v>
      </c>
      <c r="H1028" s="31">
        <f>SUM(H1031)</f>
        <v>0</v>
      </c>
      <c r="I1028" s="31" t="e">
        <f t="shared" si="38"/>
        <v>#DIV/0!</v>
      </c>
    </row>
    <row r="1029" spans="1:9" ht="28.5">
      <c r="A1029" s="27" t="s">
        <v>195</v>
      </c>
      <c r="B1029" s="44"/>
      <c r="C1029" s="45" t="s">
        <v>861</v>
      </c>
      <c r="D1029" s="45" t="s">
        <v>1</v>
      </c>
      <c r="E1029" s="45" t="s">
        <v>768</v>
      </c>
      <c r="F1029" s="33"/>
      <c r="G1029" s="31">
        <f>SUM(G1030)</f>
        <v>3911.7</v>
      </c>
      <c r="H1029" s="31">
        <f>SUM(H1030)</f>
        <v>1491.4</v>
      </c>
      <c r="I1029" s="31">
        <f t="shared" si="38"/>
        <v>38.1266457039139</v>
      </c>
    </row>
    <row r="1030" spans="1:9" ht="27.75" customHeight="1">
      <c r="A1030" s="27" t="s">
        <v>195</v>
      </c>
      <c r="B1030" s="44"/>
      <c r="C1030" s="45" t="s">
        <v>861</v>
      </c>
      <c r="D1030" s="45" t="s">
        <v>1</v>
      </c>
      <c r="E1030" s="45" t="s">
        <v>768</v>
      </c>
      <c r="F1030" s="33" t="s">
        <v>348</v>
      </c>
      <c r="G1030" s="31">
        <f>SUM(G1032:G1039)</f>
        <v>3911.7</v>
      </c>
      <c r="H1030" s="31">
        <f>SUM(H1032:H1039)</f>
        <v>1491.4</v>
      </c>
      <c r="I1030" s="31">
        <f t="shared" si="38"/>
        <v>38.1266457039139</v>
      </c>
    </row>
    <row r="1031" spans="1:9" ht="28.5" hidden="1">
      <c r="A1031" s="27" t="s">
        <v>431</v>
      </c>
      <c r="B1031" s="130"/>
      <c r="C1031" s="45" t="s">
        <v>861</v>
      </c>
      <c r="D1031" s="45" t="s">
        <v>1</v>
      </c>
      <c r="E1031" s="45" t="s">
        <v>432</v>
      </c>
      <c r="F1031" s="33"/>
      <c r="G1031" s="31"/>
      <c r="H1031" s="31"/>
      <c r="I1031" s="31" t="e">
        <f t="shared" si="38"/>
        <v>#DIV/0!</v>
      </c>
    </row>
    <row r="1032" spans="1:9" ht="27.75" customHeight="1" hidden="1">
      <c r="A1032" s="27" t="s">
        <v>431</v>
      </c>
      <c r="B1032" s="130"/>
      <c r="C1032" s="45" t="s">
        <v>861</v>
      </c>
      <c r="D1032" s="45" t="s">
        <v>1</v>
      </c>
      <c r="E1032" s="45" t="s">
        <v>432</v>
      </c>
      <c r="F1032" s="33" t="s">
        <v>348</v>
      </c>
      <c r="G1032" s="64"/>
      <c r="H1032" s="64"/>
      <c r="I1032" s="31" t="e">
        <f t="shared" si="38"/>
        <v>#DIV/0!</v>
      </c>
    </row>
    <row r="1033" spans="1:9" ht="59.25" customHeight="1" hidden="1">
      <c r="A1033" s="27" t="s">
        <v>854</v>
      </c>
      <c r="B1033" s="130"/>
      <c r="C1033" s="45" t="s">
        <v>861</v>
      </c>
      <c r="D1033" s="45" t="s">
        <v>1</v>
      </c>
      <c r="E1033" s="45" t="s">
        <v>855</v>
      </c>
      <c r="F1033" s="33" t="s">
        <v>348</v>
      </c>
      <c r="G1033" s="64">
        <f>3490.2-3490.2</f>
        <v>0</v>
      </c>
      <c r="H1033" s="64"/>
      <c r="I1033" s="31"/>
    </row>
    <row r="1034" spans="1:9" ht="42.75">
      <c r="A1034" s="38" t="s">
        <v>433</v>
      </c>
      <c r="B1034" s="131"/>
      <c r="C1034" s="40" t="s">
        <v>861</v>
      </c>
      <c r="D1034" s="40" t="s">
        <v>1</v>
      </c>
      <c r="E1034" s="40" t="s">
        <v>434</v>
      </c>
      <c r="F1034" s="125" t="s">
        <v>348</v>
      </c>
      <c r="G1034" s="64">
        <v>3515</v>
      </c>
      <c r="H1034" s="64">
        <v>1424.2</v>
      </c>
      <c r="I1034" s="31">
        <f t="shared" si="38"/>
        <v>40.51778093883357</v>
      </c>
    </row>
    <row r="1035" spans="1:9" ht="29.25" thickBot="1">
      <c r="A1035" s="121" t="s">
        <v>679</v>
      </c>
      <c r="B1035" s="131"/>
      <c r="C1035" s="40" t="s">
        <v>861</v>
      </c>
      <c r="D1035" s="40" t="s">
        <v>1</v>
      </c>
      <c r="E1035" s="40" t="s">
        <v>436</v>
      </c>
      <c r="F1035" s="125" t="s">
        <v>348</v>
      </c>
      <c r="G1035" s="64">
        <v>396.7</v>
      </c>
      <c r="H1035" s="64">
        <v>67.2</v>
      </c>
      <c r="I1035" s="31">
        <f t="shared" si="38"/>
        <v>16.939752961935973</v>
      </c>
    </row>
    <row r="1036" spans="1:9" ht="29.25" hidden="1" thickBot="1">
      <c r="A1036" s="121" t="s">
        <v>437</v>
      </c>
      <c r="B1036" s="131"/>
      <c r="C1036" s="40" t="s">
        <v>861</v>
      </c>
      <c r="D1036" s="40" t="s">
        <v>1</v>
      </c>
      <c r="E1036" s="40" t="s">
        <v>438</v>
      </c>
      <c r="F1036" s="125" t="s">
        <v>348</v>
      </c>
      <c r="G1036" s="64"/>
      <c r="H1036" s="64"/>
      <c r="I1036" s="31" t="e">
        <f t="shared" si="38"/>
        <v>#DIV/0!</v>
      </c>
    </row>
    <row r="1037" spans="1:9" ht="0.75" customHeight="1" hidden="1">
      <c r="A1037" s="121" t="s">
        <v>439</v>
      </c>
      <c r="B1037" s="131"/>
      <c r="C1037" s="40" t="s">
        <v>861</v>
      </c>
      <c r="D1037" s="40" t="s">
        <v>1</v>
      </c>
      <c r="E1037" s="40" t="s">
        <v>440</v>
      </c>
      <c r="F1037" s="125" t="s">
        <v>348</v>
      </c>
      <c r="G1037" s="64"/>
      <c r="H1037" s="64"/>
      <c r="I1037" s="31" t="e">
        <f t="shared" si="38"/>
        <v>#DIV/0!</v>
      </c>
    </row>
    <row r="1038" spans="1:9" ht="28.5" customHeight="1" hidden="1">
      <c r="A1038" s="80" t="s">
        <v>356</v>
      </c>
      <c r="B1038" s="131"/>
      <c r="C1038" s="40" t="s">
        <v>861</v>
      </c>
      <c r="D1038" s="40" t="s">
        <v>1</v>
      </c>
      <c r="E1038" s="40" t="s">
        <v>357</v>
      </c>
      <c r="F1038" s="125" t="s">
        <v>348</v>
      </c>
      <c r="G1038" s="64"/>
      <c r="H1038" s="64"/>
      <c r="I1038" s="31" t="e">
        <f t="shared" si="38"/>
        <v>#DIV/0!</v>
      </c>
    </row>
    <row r="1039" spans="1:9" ht="28.5" customHeight="1" hidden="1">
      <c r="A1039" s="215" t="s">
        <v>441</v>
      </c>
      <c r="B1039" s="216"/>
      <c r="C1039" s="217" t="s">
        <v>861</v>
      </c>
      <c r="D1039" s="217" t="s">
        <v>1</v>
      </c>
      <c r="E1039" s="217" t="s">
        <v>442</v>
      </c>
      <c r="F1039" s="218" t="s">
        <v>348</v>
      </c>
      <c r="G1039" s="219"/>
      <c r="H1039" s="219"/>
      <c r="I1039" s="143" t="e">
        <f t="shared" si="38"/>
        <v>#DIV/0!</v>
      </c>
    </row>
    <row r="1040" spans="1:9" ht="25.5" customHeight="1" thickBot="1">
      <c r="A1040" s="220" t="s">
        <v>599</v>
      </c>
      <c r="B1040" s="146"/>
      <c r="C1040" s="147"/>
      <c r="D1040" s="147"/>
      <c r="E1040" s="147"/>
      <c r="F1040" s="148"/>
      <c r="G1040" s="149">
        <f>SUM(G11+G37+G45+G432+G463+G615+G733+G756+G904+G961+G682)</f>
        <v>2900417.1</v>
      </c>
      <c r="H1040" s="149" t="e">
        <f>SUM(H11+H37+H45+H432+H463+H615+H733+H756+H904+H961)</f>
        <v>#REF!</v>
      </c>
      <c r="I1040" s="150" t="e">
        <f t="shared" si="38"/>
        <v>#REF!</v>
      </c>
    </row>
    <row r="1041" spans="1:9" ht="26.25" hidden="1" thickBot="1">
      <c r="A1041" s="221" t="s">
        <v>600</v>
      </c>
      <c r="B1041" s="222"/>
      <c r="C1041" s="223"/>
      <c r="D1041" s="222"/>
      <c r="E1041" s="222"/>
      <c r="F1041" s="224"/>
      <c r="G1041" s="163">
        <f>-76000-174.5-350</f>
        <v>-76524.5</v>
      </c>
      <c r="H1041" s="163">
        <f>-76000-174.5-350</f>
        <v>-76524.5</v>
      </c>
      <c r="I1041" s="163">
        <f>-76000-174.5-350</f>
        <v>-76524.5</v>
      </c>
    </row>
  </sheetData>
  <mergeCells count="1">
    <mergeCell ref="G5:H5"/>
  </mergeCells>
  <printOptions/>
  <pageMargins left="1.2598425196850394" right="0.15748031496062992" top="0.15748031496062992" bottom="0.03937007874015748" header="0.5118110236220472" footer="0.2362204724409449"/>
  <pageSetup fitToHeight="16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D9" sqref="D9"/>
    </sheetView>
  </sheetViews>
  <sheetFormatPr defaultColWidth="9.00390625" defaultRowHeight="12.75"/>
  <cols>
    <col min="1" max="1" width="53.375" style="245" customWidth="1"/>
    <col min="2" max="2" width="17.375" style="245" customWidth="1"/>
    <col min="3" max="3" width="14.375" style="245" hidden="1" customWidth="1"/>
    <col min="4" max="4" width="7.375" style="245" customWidth="1"/>
    <col min="5" max="16384" width="9.125" style="245" customWidth="1"/>
  </cols>
  <sheetData>
    <row r="1" spans="2:7" ht="12.75">
      <c r="B1" s="2" t="s">
        <v>683</v>
      </c>
      <c r="C1" s="225"/>
      <c r="G1" s="246"/>
    </row>
    <row r="2" spans="2:7" ht="12.75">
      <c r="B2" s="4" t="s">
        <v>680</v>
      </c>
      <c r="C2" s="225"/>
      <c r="G2" s="246"/>
    </row>
    <row r="3" spans="2:7" ht="12.75">
      <c r="B3" s="4" t="s">
        <v>681</v>
      </c>
      <c r="C3" s="225"/>
      <c r="G3" s="246"/>
    </row>
    <row r="4" spans="2:7" ht="12.75">
      <c r="B4" s="4" t="s">
        <v>684</v>
      </c>
      <c r="C4" s="225"/>
      <c r="G4" s="246"/>
    </row>
    <row r="5" spans="2:7" ht="12.75">
      <c r="B5" s="301" t="s">
        <v>341</v>
      </c>
      <c r="C5" s="301"/>
      <c r="D5" s="144"/>
      <c r="G5" s="246"/>
    </row>
    <row r="9" s="246" customFormat="1" ht="15">
      <c r="A9" s="247" t="s">
        <v>203</v>
      </c>
    </row>
    <row r="10" spans="1:3" s="246" customFormat="1" ht="15">
      <c r="A10" s="247" t="s">
        <v>204</v>
      </c>
      <c r="C10" s="247"/>
    </row>
    <row r="11" ht="15.75">
      <c r="A11" s="248"/>
    </row>
    <row r="12" s="247" customFormat="1" ht="15"/>
    <row r="13" s="247" customFormat="1" ht="15">
      <c r="A13" s="247" t="s">
        <v>205</v>
      </c>
    </row>
    <row r="14" s="247" customFormat="1" ht="15"/>
    <row r="15" s="247" customFormat="1" ht="15.75" thickBot="1">
      <c r="B15" s="247" t="s">
        <v>206</v>
      </c>
    </row>
    <row r="16" spans="1:3" s="247" customFormat="1" ht="40.5" customHeight="1" thickBot="1">
      <c r="A16" s="249" t="s">
        <v>689</v>
      </c>
      <c r="B16" s="250" t="s">
        <v>207</v>
      </c>
      <c r="C16" s="251" t="s">
        <v>692</v>
      </c>
    </row>
    <row r="17" spans="1:3" s="247" customFormat="1" ht="45.75" customHeight="1" thickBot="1">
      <c r="A17" s="282" t="s">
        <v>208</v>
      </c>
      <c r="B17" s="259">
        <f>SUM(B18-B19)</f>
        <v>190484.6</v>
      </c>
      <c r="C17" s="253"/>
    </row>
    <row r="18" spans="1:3" s="247" customFormat="1" ht="24" customHeight="1">
      <c r="A18" s="266" t="s">
        <v>209</v>
      </c>
      <c r="B18" s="281">
        <f>220484.6-30000</f>
        <v>190484.6</v>
      </c>
      <c r="C18" s="256" t="s">
        <v>210</v>
      </c>
    </row>
    <row r="19" spans="1:3" s="247" customFormat="1" ht="25.5" customHeight="1" thickBot="1">
      <c r="A19" s="257" t="s">
        <v>211</v>
      </c>
      <c r="B19" s="255"/>
      <c r="C19" s="256"/>
    </row>
    <row r="20" spans="1:3" s="247" customFormat="1" ht="30.75" thickBot="1">
      <c r="A20" s="258" t="s">
        <v>212</v>
      </c>
      <c r="B20" s="259">
        <f>SUM(B22-B23)</f>
        <v>-75000</v>
      </c>
      <c r="C20" s="259">
        <f>SUM(C22-C23)</f>
        <v>-70000</v>
      </c>
    </row>
    <row r="21" spans="1:3" s="247" customFormat="1" ht="15" hidden="1">
      <c r="A21" s="260"/>
      <c r="B21" s="255"/>
      <c r="C21" s="261">
        <v>93738.4</v>
      </c>
    </row>
    <row r="22" spans="1:3" s="247" customFormat="1" ht="24" customHeight="1">
      <c r="A22" s="254" t="s">
        <v>209</v>
      </c>
      <c r="B22" s="255"/>
      <c r="C22" s="256"/>
    </row>
    <row r="23" spans="1:3" s="247" customFormat="1" ht="25.5" customHeight="1" thickBot="1">
      <c r="A23" s="262" t="s">
        <v>211</v>
      </c>
      <c r="B23" s="263">
        <v>75000</v>
      </c>
      <c r="C23" s="264">
        <v>70000</v>
      </c>
    </row>
    <row r="24" spans="1:3" s="247" customFormat="1" ht="21" customHeight="1" thickBot="1">
      <c r="A24" s="265" t="s">
        <v>213</v>
      </c>
      <c r="B24" s="259">
        <f>SUM(B25-B26)</f>
        <v>115484.6</v>
      </c>
      <c r="C24" s="259">
        <f>SUM(C25-C26)</f>
        <v>-70000</v>
      </c>
    </row>
    <row r="25" spans="1:3" s="247" customFormat="1" ht="24" customHeight="1">
      <c r="A25" s="266" t="s">
        <v>209</v>
      </c>
      <c r="B25" s="252">
        <f>SUM(B18+B22)</f>
        <v>190484.6</v>
      </c>
      <c r="C25" s="252">
        <f>SUM(C22+C17)</f>
        <v>0</v>
      </c>
    </row>
    <row r="26" spans="1:3" s="247" customFormat="1" ht="21.75" customHeight="1" thickBot="1">
      <c r="A26" s="257" t="s">
        <v>211</v>
      </c>
      <c r="B26" s="267">
        <f>SUM(B23+B19)</f>
        <v>75000</v>
      </c>
      <c r="C26" s="267">
        <f>SUM(C23)</f>
        <v>70000</v>
      </c>
    </row>
  </sheetData>
  <mergeCells count="1">
    <mergeCell ref="B5:C5"/>
  </mergeCells>
  <printOptions/>
  <pageMargins left="1.1811023622047245" right="0.3937007874015748" top="0.98425196850393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D6" sqref="D6"/>
    </sheetView>
  </sheetViews>
  <sheetFormatPr defaultColWidth="9.00390625" defaultRowHeight="12.75"/>
  <cols>
    <col min="1" max="1" width="30.625" style="283" customWidth="1"/>
    <col min="2" max="2" width="55.125" style="284" customWidth="1"/>
    <col min="3" max="3" width="16.625" style="287" customWidth="1"/>
    <col min="4" max="16384" width="9.125" style="285" customWidth="1"/>
  </cols>
  <sheetData>
    <row r="1" ht="15">
      <c r="C1" s="2" t="s">
        <v>488</v>
      </c>
    </row>
    <row r="2" ht="12" customHeight="1">
      <c r="C2" s="4" t="s">
        <v>610</v>
      </c>
    </row>
    <row r="3" ht="15">
      <c r="C3" s="4" t="s">
        <v>681</v>
      </c>
    </row>
    <row r="4" ht="15">
      <c r="C4" s="4" t="s">
        <v>684</v>
      </c>
    </row>
    <row r="5" spans="3:5" ht="17.25" customHeight="1">
      <c r="C5" s="286" t="s">
        <v>338</v>
      </c>
      <c r="D5" s="144"/>
      <c r="E5" s="144"/>
    </row>
    <row r="6" spans="1:3" ht="65.25" customHeight="1">
      <c r="A6" s="302" t="s">
        <v>214</v>
      </c>
      <c r="B6" s="302"/>
      <c r="C6" s="302"/>
    </row>
    <row r="7" spans="1:2" s="287" customFormat="1" ht="15">
      <c r="A7" s="283"/>
      <c r="B7" s="284"/>
    </row>
    <row r="8" spans="1:3" s="287" customFormat="1" ht="12.75" customHeight="1">
      <c r="A8" s="303" t="s">
        <v>215</v>
      </c>
      <c r="B8" s="306" t="s">
        <v>216</v>
      </c>
      <c r="C8" s="303" t="s">
        <v>217</v>
      </c>
    </row>
    <row r="9" spans="1:3" s="287" customFormat="1" ht="11.25" customHeight="1">
      <c r="A9" s="304"/>
      <c r="B9" s="307"/>
      <c r="C9" s="304"/>
    </row>
    <row r="10" spans="1:3" s="288" customFormat="1" ht="37.5" customHeight="1">
      <c r="A10" s="305"/>
      <c r="B10" s="308"/>
      <c r="C10" s="305"/>
    </row>
    <row r="11" spans="1:3" s="291" customFormat="1" ht="30" customHeight="1">
      <c r="A11" s="289" t="s">
        <v>218</v>
      </c>
      <c r="B11" s="268" t="s">
        <v>219</v>
      </c>
      <c r="C11" s="290">
        <f>C12+C17+C22+C27</f>
        <v>149015.1</v>
      </c>
    </row>
    <row r="12" spans="1:3" s="291" customFormat="1" ht="30" customHeight="1">
      <c r="A12" s="292" t="s">
        <v>220</v>
      </c>
      <c r="B12" s="269" t="s">
        <v>221</v>
      </c>
      <c r="C12" s="290">
        <f>SUM(C13+C15)</f>
        <v>-75000</v>
      </c>
    </row>
    <row r="13" spans="1:3" s="291" customFormat="1" ht="30" customHeight="1" hidden="1">
      <c r="A13" s="292" t="s">
        <v>222</v>
      </c>
      <c r="B13" s="269" t="s">
        <v>225</v>
      </c>
      <c r="C13" s="293">
        <f>SUM(C14)</f>
        <v>0</v>
      </c>
    </row>
    <row r="14" spans="1:3" s="291" customFormat="1" ht="39" customHeight="1" hidden="1">
      <c r="A14" s="292" t="s">
        <v>226</v>
      </c>
      <c r="B14" s="270" t="s">
        <v>227</v>
      </c>
      <c r="C14" s="294"/>
    </row>
    <row r="15" spans="1:3" s="291" customFormat="1" ht="51" customHeight="1">
      <c r="A15" s="292" t="s">
        <v>228</v>
      </c>
      <c r="B15" s="271" t="s">
        <v>229</v>
      </c>
      <c r="C15" s="293">
        <f>SUM(C16)</f>
        <v>-75000</v>
      </c>
    </row>
    <row r="16" spans="1:3" s="291" customFormat="1" ht="33" customHeight="1">
      <c r="A16" s="292" t="s">
        <v>230</v>
      </c>
      <c r="B16" s="270" t="s">
        <v>231</v>
      </c>
      <c r="C16" s="293">
        <v>-75000</v>
      </c>
    </row>
    <row r="17" spans="1:3" s="291" customFormat="1" ht="30" customHeight="1">
      <c r="A17" s="292" t="s">
        <v>232</v>
      </c>
      <c r="B17" s="272" t="s">
        <v>604</v>
      </c>
      <c r="C17" s="290">
        <f>C18+C20</f>
        <v>190484.6</v>
      </c>
    </row>
    <row r="18" spans="1:3" s="291" customFormat="1" ht="45" customHeight="1">
      <c r="A18" s="292" t="s">
        <v>233</v>
      </c>
      <c r="B18" s="273" t="s">
        <v>234</v>
      </c>
      <c r="C18" s="293">
        <f>SUM(C19)</f>
        <v>190484.6</v>
      </c>
    </row>
    <row r="19" spans="1:3" s="102" customFormat="1" ht="45" customHeight="1">
      <c r="A19" s="292" t="s">
        <v>235</v>
      </c>
      <c r="B19" s="272" t="s">
        <v>605</v>
      </c>
      <c r="C19" s="294">
        <f>220484.6-30000</f>
        <v>190484.6</v>
      </c>
    </row>
    <row r="20" spans="1:3" s="102" customFormat="1" ht="45" customHeight="1" hidden="1">
      <c r="A20" s="292" t="s">
        <v>236</v>
      </c>
      <c r="B20" s="274" t="s">
        <v>237</v>
      </c>
      <c r="C20" s="293">
        <f>SUM(C21)</f>
        <v>0</v>
      </c>
    </row>
    <row r="21" spans="1:3" s="102" customFormat="1" ht="45.75" customHeight="1" hidden="1">
      <c r="A21" s="292" t="s">
        <v>238</v>
      </c>
      <c r="B21" s="270" t="s">
        <v>239</v>
      </c>
      <c r="C21" s="294"/>
    </row>
    <row r="22" spans="1:3" s="291" customFormat="1" ht="32.25" customHeight="1">
      <c r="A22" s="289" t="s">
        <v>240</v>
      </c>
      <c r="B22" s="268" t="s">
        <v>241</v>
      </c>
      <c r="C22" s="290">
        <f>SUM(C23)</f>
        <v>33530.5</v>
      </c>
    </row>
    <row r="23" spans="1:3" s="291" customFormat="1" ht="32.25" customHeight="1">
      <c r="A23" s="292" t="s">
        <v>242</v>
      </c>
      <c r="B23" s="275" t="s">
        <v>243</v>
      </c>
      <c r="C23" s="293">
        <f>SUM(C24)</f>
        <v>33530.5</v>
      </c>
    </row>
    <row r="24" spans="1:3" s="291" customFormat="1" ht="32.25" customHeight="1">
      <c r="A24" s="292" t="s">
        <v>244</v>
      </c>
      <c r="B24" s="275" t="s">
        <v>245</v>
      </c>
      <c r="C24" s="293">
        <f>SUM(C25)</f>
        <v>33530.5</v>
      </c>
    </row>
    <row r="25" spans="1:3" s="291" customFormat="1" ht="32.25" customHeight="1">
      <c r="A25" s="292" t="s">
        <v>246</v>
      </c>
      <c r="B25" s="275" t="s">
        <v>247</v>
      </c>
      <c r="C25" s="293">
        <f>SUM(C26)</f>
        <v>33530.5</v>
      </c>
    </row>
    <row r="26" spans="1:3" s="102" customFormat="1" ht="38.25" customHeight="1">
      <c r="A26" s="292" t="s">
        <v>248</v>
      </c>
      <c r="B26" s="275" t="s">
        <v>249</v>
      </c>
      <c r="C26" s="293">
        <v>33530.5</v>
      </c>
    </row>
    <row r="27" spans="1:6" ht="33" customHeight="1">
      <c r="A27" s="295" t="s">
        <v>250</v>
      </c>
      <c r="B27" s="276" t="s">
        <v>618</v>
      </c>
      <c r="C27" s="296">
        <f>C28+C31</f>
        <v>0</v>
      </c>
      <c r="D27" s="102"/>
      <c r="E27" s="102"/>
      <c r="F27" s="102"/>
    </row>
    <row r="28" spans="1:6" ht="30.75" customHeight="1">
      <c r="A28" s="297" t="s">
        <v>251</v>
      </c>
      <c r="B28" s="277" t="s">
        <v>252</v>
      </c>
      <c r="C28" s="298">
        <f>SUM(C29)</f>
        <v>-10000</v>
      </c>
      <c r="D28" s="102"/>
      <c r="E28" s="102"/>
      <c r="F28" s="102"/>
    </row>
    <row r="29" spans="1:6" ht="104.25" customHeight="1">
      <c r="A29" s="297" t="s">
        <v>253</v>
      </c>
      <c r="B29" s="278" t="s">
        <v>611</v>
      </c>
      <c r="C29" s="298">
        <f>SUM(C30)</f>
        <v>-10000</v>
      </c>
      <c r="D29" s="102"/>
      <c r="E29" s="102"/>
      <c r="F29" s="102"/>
    </row>
    <row r="30" spans="1:6" ht="110.25" customHeight="1">
      <c r="A30" s="297" t="s">
        <v>254</v>
      </c>
      <c r="B30" s="279" t="s">
        <v>612</v>
      </c>
      <c r="C30" s="298">
        <v>-10000</v>
      </c>
      <c r="D30" s="102"/>
      <c r="E30" s="102"/>
      <c r="F30" s="102"/>
    </row>
    <row r="31" spans="1:6" ht="30" customHeight="1">
      <c r="A31" s="297" t="s">
        <v>255</v>
      </c>
      <c r="B31" s="277" t="s">
        <v>256</v>
      </c>
      <c r="C31" s="298">
        <f>SUM(C32)</f>
        <v>10000</v>
      </c>
      <c r="D31" s="102"/>
      <c r="E31" s="102"/>
      <c r="F31" s="102"/>
    </row>
    <row r="32" spans="1:6" ht="30" customHeight="1">
      <c r="A32" s="297" t="s">
        <v>257</v>
      </c>
      <c r="B32" s="277" t="s">
        <v>258</v>
      </c>
      <c r="C32" s="298">
        <f>SUM(C33)</f>
        <v>10000</v>
      </c>
      <c r="D32" s="102"/>
      <c r="E32" s="102"/>
      <c r="F32" s="102"/>
    </row>
    <row r="33" spans="1:6" ht="45" customHeight="1">
      <c r="A33" s="297" t="s">
        <v>259</v>
      </c>
      <c r="B33" s="270" t="s">
        <v>260</v>
      </c>
      <c r="C33" s="298">
        <v>10000</v>
      </c>
      <c r="D33" s="102"/>
      <c r="E33" s="102"/>
      <c r="F33" s="102"/>
    </row>
    <row r="34" spans="1:6" ht="15">
      <c r="A34" s="299"/>
      <c r="C34" s="300"/>
      <c r="D34" s="102"/>
      <c r="E34" s="102"/>
      <c r="F34" s="102"/>
    </row>
  </sheetData>
  <mergeCells count="4">
    <mergeCell ref="A6:C6"/>
    <mergeCell ref="A8:A10"/>
    <mergeCell ref="B8:B10"/>
    <mergeCell ref="C8:C10"/>
  </mergeCells>
  <printOptions/>
  <pageMargins left="1.1811023622047245" right="0.1968503937007874" top="0.984251968503937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Admin</cp:lastModifiedBy>
  <cp:lastPrinted>2010-11-23T04:41:18Z</cp:lastPrinted>
  <dcterms:created xsi:type="dcterms:W3CDTF">2010-10-13T06:28:56Z</dcterms:created>
  <dcterms:modified xsi:type="dcterms:W3CDTF">2010-11-27T16:42:05Z</dcterms:modified>
  <cp:category/>
  <cp:version/>
  <cp:contentType/>
  <cp:contentStatus/>
</cp:coreProperties>
</file>