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 .15" sheetId="3" r:id="rId3"/>
    <sheet name="Приложение4.15" sheetId="4" r:id="rId4"/>
    <sheet name="приложение 5.15" sheetId="5" r:id="rId5"/>
    <sheet name="приложение 6" sheetId="6" r:id="rId6"/>
    <sheet name="Приложение 7" sheetId="7" r:id="rId7"/>
    <sheet name="Приложение 8" sheetId="8" r:id="rId8"/>
  </sheets>
  <definedNames/>
  <calcPr fullCalcOnLoad="1"/>
</workbook>
</file>

<file path=xl/sharedStrings.xml><?xml version="1.0" encoding="utf-8"?>
<sst xmlns="http://schemas.openxmlformats.org/spreadsheetml/2006/main" count="394" uniqueCount="240">
  <si>
    <t>Приложение № 6</t>
  </si>
  <si>
    <t>к решению собрания депутатов</t>
  </si>
  <si>
    <t>Миасского городского округа</t>
  </si>
  <si>
    <t>от_______№_____</t>
  </si>
  <si>
    <t>от____________   №  ________</t>
  </si>
  <si>
    <t>Приложение № 1</t>
  </si>
  <si>
    <t xml:space="preserve">Содержание  и  текущий   ремонт жилья  </t>
  </si>
  <si>
    <t xml:space="preserve">руб./м2 общей площади </t>
  </si>
  <si>
    <t>Содержание лифтов</t>
  </si>
  <si>
    <t>Обслуживание  внутридомового газового оборудования</t>
  </si>
  <si>
    <t>Обслуживание  электроплит</t>
  </si>
  <si>
    <t>Единица измерения</t>
  </si>
  <si>
    <t>Приложение № 2</t>
  </si>
  <si>
    <t>№ п/п</t>
  </si>
  <si>
    <t>наименование услуг</t>
  </si>
  <si>
    <t>единица измерения</t>
  </si>
  <si>
    <t>в т.ч. Передача тепловой энергии</t>
  </si>
  <si>
    <t>в домах с центральным ГВС и полным благоустройством</t>
  </si>
  <si>
    <t>в домах с центральным ГВС, без ванн</t>
  </si>
  <si>
    <t>в жилых домах без централизованного ГВС с водогрейными колонками</t>
  </si>
  <si>
    <t>в жилых домах с централизованным ГВС без ванн</t>
  </si>
  <si>
    <t xml:space="preserve">в жилых домах без централизованного ГВС  </t>
  </si>
  <si>
    <t>в жилых домах с полным благоустройством</t>
  </si>
  <si>
    <t>норматив потребления в месяц</t>
  </si>
  <si>
    <t>0,0373 Гкал/м2</t>
  </si>
  <si>
    <t>5,4 м3/чел</t>
  </si>
  <si>
    <t>6,3 м3/чел</t>
  </si>
  <si>
    <t>3,3 м3/чел</t>
  </si>
  <si>
    <t>2,8 м3/чел</t>
  </si>
  <si>
    <t>8,55 м3/чел</t>
  </si>
  <si>
    <t>5,9 м3/чел</t>
  </si>
  <si>
    <t>5,6 м3/чел</t>
  </si>
  <si>
    <t>2,7 м3/чел</t>
  </si>
  <si>
    <t>№
 п/п</t>
  </si>
  <si>
    <t>руб./м3</t>
  </si>
  <si>
    <t>руб./чел.</t>
  </si>
  <si>
    <t>Тарифы на коммунальные услуги для граждан проживающих в отдельных квартирах</t>
  </si>
  <si>
    <t>Тарифы на коммунальные услуги для населения проживающего в частном индивидуальном жилом секторе</t>
  </si>
  <si>
    <t>с выгребной ямой без газоснабжения</t>
  </si>
  <si>
    <t>с выгребной ямой и газоснабжением</t>
  </si>
  <si>
    <t>Приложение № 5</t>
  </si>
  <si>
    <t>Холодное водоснабжение при индивидуальной врезке, без канализования</t>
  </si>
  <si>
    <t>с газоснабжением</t>
  </si>
  <si>
    <t>с банями на участке</t>
  </si>
  <si>
    <t>с бассейном</t>
  </si>
  <si>
    <t>Полив посадок на приусадебном участке при индивидуальной врезке</t>
  </si>
  <si>
    <t>Полив посадок на приусадебном участке из водоразборной колонки</t>
  </si>
  <si>
    <t>Водопой домашних животных</t>
  </si>
  <si>
    <t>коровы, лошади</t>
  </si>
  <si>
    <t>овцы, свиньи, козы</t>
  </si>
  <si>
    <t>Водоснабжение из водобудок и автоцистерн</t>
  </si>
  <si>
    <t>1,5 м3 на 1 чел.</t>
  </si>
  <si>
    <t>2,5 м3/чел.</t>
  </si>
  <si>
    <t>3,7 м3/чел</t>
  </si>
  <si>
    <t>водоснабжение</t>
  </si>
  <si>
    <t>4,5 м3/чел.</t>
  </si>
  <si>
    <t>V бассейна +10% от емкости</t>
  </si>
  <si>
    <t>0,9 м3/чел.</t>
  </si>
  <si>
    <t>полив 0,24 м3 на 1 м2 площади</t>
  </si>
  <si>
    <t>0,18 м3 на 1 м2 площади</t>
  </si>
  <si>
    <t>1,5 м3 на 1 голову</t>
  </si>
  <si>
    <t>0,6 м3 на 1 голову</t>
  </si>
  <si>
    <t>руб./ведро</t>
  </si>
  <si>
    <t>0,45 м3 на 1 голову</t>
  </si>
  <si>
    <t>утки, гуси, куры</t>
  </si>
  <si>
    <t>руб./м2</t>
  </si>
  <si>
    <t>руб./1 голова</t>
  </si>
  <si>
    <t>с 01.01.2007</t>
  </si>
  <si>
    <t>Наименование услуг</t>
  </si>
  <si>
    <t>Норматив потребления в месяц</t>
  </si>
  <si>
    <t>1.</t>
  </si>
  <si>
    <t>2.</t>
  </si>
  <si>
    <t xml:space="preserve">с общими душевыми </t>
  </si>
  <si>
    <t>с общими кухнями и блоками душевых на этажах в каждой секции здания</t>
  </si>
  <si>
    <t>3.</t>
  </si>
  <si>
    <t>Холодное водоснабжение**</t>
  </si>
  <si>
    <t>1,5 м3/чел.</t>
  </si>
  <si>
    <t>4.</t>
  </si>
  <si>
    <t>Водоотведение **</t>
  </si>
  <si>
    <t>4,2 м3/чел.</t>
  </si>
  <si>
    <t>Примечание:</t>
  </si>
  <si>
    <t>Цены и тарифы рассчитаны с учетом действующей системы налогообложения</t>
  </si>
  <si>
    <t>Тарифы на коммунальные услуги для граждан МГО при наличии приборов учета</t>
  </si>
  <si>
    <t>Вид установки</t>
  </si>
  <si>
    <t>Вид услуги</t>
  </si>
  <si>
    <t xml:space="preserve">Поставщики теплоэнергии  дотационные котельные </t>
  </si>
  <si>
    <t>Поставщик ТЭЦ ММЗ (руб.)</t>
  </si>
  <si>
    <t>Поставщик Уралаз-Энерго (руб.)</t>
  </si>
  <si>
    <t>Тариф *</t>
  </si>
  <si>
    <t>Составляющие тарифа за 1 м3</t>
  </si>
  <si>
    <t>Установлен счетчик по горячей воде</t>
  </si>
  <si>
    <t>ГВС, руб./м3</t>
  </si>
  <si>
    <t>ХВС, руб./чел</t>
  </si>
  <si>
    <t>Установлен счетчик по холодной воде</t>
  </si>
  <si>
    <t>ХВС, руб./м3</t>
  </si>
  <si>
    <t>ГВС, руб./чел</t>
  </si>
  <si>
    <t>Установлен счетчик по горячей и холодной воде</t>
  </si>
  <si>
    <t>Установлен счетчик на отопление</t>
  </si>
  <si>
    <t>Приложение № 7</t>
  </si>
  <si>
    <t>Приложение № 4</t>
  </si>
  <si>
    <t>Теплоснабжение* (отопительный период)</t>
  </si>
  <si>
    <t>* Тарифы на теплоснабжение утверждены Государственным комитетом "Единый тарифный орган Челябинской области"</t>
  </si>
  <si>
    <t>** Тарифы на водоснабжение и водоотведение согласованы с Государственным комитетом "Единый тарифный орган Челябинской области"</t>
  </si>
  <si>
    <t>Горячее водоснабжение*</t>
  </si>
  <si>
    <t>Водоотведение*</t>
  </si>
  <si>
    <t>Теплоснабжение * (отопительный период)</t>
  </si>
  <si>
    <t>Горячее водоснабжение в общежитиях с центральным водоснабжением*</t>
  </si>
  <si>
    <t>Водоснабжение** из водозаборных колонок</t>
  </si>
  <si>
    <t>Горячее водоснабжение* при индивидуальной врезке с выгребной ямой</t>
  </si>
  <si>
    <t>Холодное водоснабжение** при индивидуальной врезке с централизованной канализацией</t>
  </si>
  <si>
    <t>Водоотведение, руб./м3</t>
  </si>
  <si>
    <t>Водоотведение (в доле ХВС), руб./чел.</t>
  </si>
  <si>
    <t>Водоотведение (в доле ГВС), руб./чел.</t>
  </si>
  <si>
    <t>Водоотведение (в сумме ГВС и ХВС), руб./м3</t>
  </si>
  <si>
    <t>Уборка  лестничных   клеток **</t>
  </si>
  <si>
    <t>** Начисление за уборку лестничных клеток производится по факту оказания услуги</t>
  </si>
  <si>
    <t>Приложение № 3</t>
  </si>
  <si>
    <t>отопление о центральной системы (с 1.10 по 30.04)</t>
  </si>
  <si>
    <t>в общежитиях с центральной системой отопления (с 01.10. по 30.04)</t>
  </si>
  <si>
    <t>Отопление из центральной системы* (с 1.10 по 30.04)</t>
  </si>
  <si>
    <t>1.2</t>
  </si>
  <si>
    <t>1.1</t>
  </si>
  <si>
    <t>1.3</t>
  </si>
  <si>
    <t>1.4</t>
  </si>
  <si>
    <t>1.5</t>
  </si>
  <si>
    <t>2</t>
  </si>
  <si>
    <t>Плата за содержание и  ремонт жилого помещения, в том числе:</t>
  </si>
  <si>
    <t>3</t>
  </si>
  <si>
    <t>Обслуживание газовых плит</t>
  </si>
  <si>
    <t>3.1</t>
  </si>
  <si>
    <t>3.2</t>
  </si>
  <si>
    <t>2-х конфорочные</t>
  </si>
  <si>
    <t>4-х конфорочные</t>
  </si>
  <si>
    <t>руб./квартира</t>
  </si>
  <si>
    <t>2,4 м3/чел.</t>
  </si>
  <si>
    <t>0,125 м3/чел.</t>
  </si>
  <si>
    <t>Вывоз ТБО</t>
  </si>
  <si>
    <t>Расчет платы за наем жилых помещений по Миасскому городскому округу</t>
  </si>
  <si>
    <t>Категории жилых домов</t>
  </si>
  <si>
    <t>Базовая ставка в месяц, руб.</t>
  </si>
  <si>
    <t>Коэффициент комфортности и благоустройства</t>
  </si>
  <si>
    <t>Ставка оплаты за наем жилья за 1 м2, руб.</t>
  </si>
  <si>
    <t>в месяц</t>
  </si>
  <si>
    <t>Жилые дома повышенной комфортности и благоустройства</t>
  </si>
  <si>
    <t>Жилые дома со всеми удобствами, включая лифты и мусоропроводы</t>
  </si>
  <si>
    <t>Жилые дома, имеющие все виды удобств (кроме мусоропровода)</t>
  </si>
  <si>
    <t>Жилые дома, имеющие все виды удобств (кроме лифта)</t>
  </si>
  <si>
    <t>Жилые дома, имеющие все виды удобств (кроме лифта и мусоропровода)</t>
  </si>
  <si>
    <t>Жилые дома деревянные, смешанные и из прочих материалов, имеющие не все виды благоустройства)</t>
  </si>
  <si>
    <t>Неблагоустроенные жилые дома</t>
  </si>
  <si>
    <t>Плата за наем не взимается:</t>
  </si>
  <si>
    <t>с пенсионеров;</t>
  </si>
  <si>
    <t>с проживающих в ветхом жилом фонде;</t>
  </si>
  <si>
    <t>в домах с износом 60 % и более;</t>
  </si>
  <si>
    <t>в служебных жилых помещениях.</t>
  </si>
  <si>
    <t>*Цены и тарифы рассчитаны с учетом действующей системы налогообложения</t>
  </si>
  <si>
    <t>в жилых домах без централизованного ГВС без ванн</t>
  </si>
  <si>
    <t>в жилых домах без централизованного ГВС</t>
  </si>
  <si>
    <t>водоснабжение из колонок</t>
  </si>
  <si>
    <t>3,99 м3/чел.</t>
  </si>
  <si>
    <t>2,82 м3/чел.</t>
  </si>
  <si>
    <t>2,50 м/чел.</t>
  </si>
  <si>
    <t>1,33 м3/чел.</t>
  </si>
  <si>
    <t>0,42 м3/чел.</t>
  </si>
  <si>
    <t>Тарифы на коммунальные услуги для граждан МГО, проживающих в общежитиях</t>
  </si>
  <si>
    <t>Эксплуатация лифтов</t>
  </si>
  <si>
    <t>Санитарная очистка мусорокамер и контейнерных площадок</t>
  </si>
  <si>
    <t>Тарифы на теплоэнергию, получаемую жителями Миасского городского округа от различных поставщиков</t>
  </si>
  <si>
    <t>Тариф утвержденный ГК "ЕТО ЧО" на 2007 год</t>
  </si>
  <si>
    <t>ОАО "УралАЗ-Энерго</t>
  </si>
  <si>
    <t>ФГУП "ММЗ"</t>
  </si>
  <si>
    <t>ЗАО "Миассмебель"</t>
  </si>
  <si>
    <t>ЗАО "Миасстальк"</t>
  </si>
  <si>
    <t>ОАО "РЖД "Хребетский Щебеночный завод"</t>
  </si>
  <si>
    <t>ОАО "Урало-Сибирские нефтепроводы</t>
  </si>
  <si>
    <t>ООО ТК "Октябрь" 2 дома с электроотоплением</t>
  </si>
  <si>
    <t xml:space="preserve"> кот. МИЗ</t>
  </si>
  <si>
    <t>кот. пос. Известковый</t>
  </si>
  <si>
    <t xml:space="preserve"> кот. Миасс-2</t>
  </si>
  <si>
    <t>кот. ПАТП</t>
  </si>
  <si>
    <t>кот.пос. Первомайский</t>
  </si>
  <si>
    <t>кот. Атлян</t>
  </si>
  <si>
    <t>кот. Смородинка</t>
  </si>
  <si>
    <t>кот. Динамо</t>
  </si>
  <si>
    <t>кот. Тургояк</t>
  </si>
  <si>
    <t>для жителей проживающих в отдельных квартирах</t>
  </si>
  <si>
    <t>в домах с центральным ГВС и полным благоустройством (норматив 0,27 Гкал/чел.; 3,6 м3/чел)</t>
  </si>
  <si>
    <t>в домах с центральным ГВС, без ванн (норматив 0,195 Гкал/чел.; 2,6 м3/чел)</t>
  </si>
  <si>
    <t>отопление о центральной системы (с 1.10 по 30.04) (норматив 0,0373 Гкал/м2)</t>
  </si>
  <si>
    <t>для жителей проживающих в общежитиях</t>
  </si>
  <si>
    <t>с общими душевыми (норматив 0,0787 Гкал/чел. (1,05 м3/чел.))</t>
  </si>
  <si>
    <t>с общими кухнями и блоками душевых на этажах в каждой секции здания (0,135 Гкал/чел. (1,8 м3/чел.))</t>
  </si>
  <si>
    <t>отопление о центральной системы (с 1.10 по 30.04) (норматив 0,0373 Гкал/м2 жилой площади)</t>
  </si>
  <si>
    <t>Приложение № 8</t>
  </si>
  <si>
    <t>см. Приложение № 6</t>
  </si>
  <si>
    <t>Тарифы</t>
  </si>
  <si>
    <t>ЗАО "Миассмебель" (руб.)</t>
  </si>
  <si>
    <t>Составляющие тарифа за 1 м4</t>
  </si>
  <si>
    <t>для жителей проживающих в частном секторе</t>
  </si>
  <si>
    <t>Цена  в домах без лифтов</t>
  </si>
  <si>
    <t>Наменование услуги</t>
  </si>
  <si>
    <t>дома с лифтами</t>
  </si>
  <si>
    <t>1 и 2-е этажи</t>
  </si>
  <si>
    <t>выше 2-го этажа</t>
  </si>
  <si>
    <t>Квартиры с газовым оборудованием</t>
  </si>
  <si>
    <t>Квартиры с электроплитами</t>
  </si>
  <si>
    <t>Цены  на жилищные  услуги для  граждан,  проживающих  в  отдельных  квартирах *</t>
  </si>
  <si>
    <t>Цены на жилищные услуги для  граждан проживающих в общежитиях *</t>
  </si>
  <si>
    <t xml:space="preserve"> в том числе утилизиция ТБО</t>
  </si>
  <si>
    <t>в том числе утилизация ТБО</t>
  </si>
  <si>
    <t>в том числе утилизиция ТБО</t>
  </si>
  <si>
    <t>Тариф на ГВС, руб./чел.</t>
  </si>
  <si>
    <t>Тариф на отопление, руб./чел.</t>
  </si>
  <si>
    <t>общежития с лифтами</t>
  </si>
  <si>
    <t>общежития без лифтов</t>
  </si>
  <si>
    <t>полная стоимость услуги</t>
  </si>
  <si>
    <t>тариф для населения</t>
  </si>
  <si>
    <t>Тарифы применяемые для жителей</t>
  </si>
  <si>
    <t>Дотация из бюджета, руб./Гкал</t>
  </si>
  <si>
    <t>при наличии приборов учета, руб./м3</t>
  </si>
  <si>
    <t>Тариф на ГВС, руб./м3</t>
  </si>
  <si>
    <t>Тариф на отопление руб./Гкал.</t>
  </si>
  <si>
    <t xml:space="preserve"> Цены рассчитаны в соответствии с Постановлением Правительства Росийской Федерации от 13.08.06 г. № 491 «Правила содержания общего имущества в многоквартирном доме»</t>
  </si>
  <si>
    <t>Цены рассчитаны в соответствии с Постановлением Правительства Росийской Федерации от 13.08.06 г. № 491 «Правила содержания общего имущества в многоквартирном доме»</t>
  </si>
  <si>
    <t>Общежития с газовым оборудованием</t>
  </si>
  <si>
    <t>Общежития с электроплитами</t>
  </si>
  <si>
    <t xml:space="preserve">руб./м2 жилой площади </t>
  </si>
  <si>
    <t>Тариф для жителей</t>
  </si>
  <si>
    <t>46,92***</t>
  </si>
  <si>
    <t>38,19***</t>
  </si>
  <si>
    <t>*** Полная стоимость зависит от предприятия-поставщика, см. в приложении № 6</t>
  </si>
  <si>
    <t>Поставщик ЗАО "Миассмебель" (руб.)</t>
  </si>
  <si>
    <t xml:space="preserve"> в том числе санитарная очистка мусорокамер и контейнерных площадок</t>
  </si>
  <si>
    <t>полная стоимость</t>
  </si>
  <si>
    <t>цена</t>
  </si>
  <si>
    <t xml:space="preserve">Содержание  и  текущий   ремонт жилья </t>
  </si>
  <si>
    <t>Полная стоимость услуги по  ООО ЖКХ "Рассвет"</t>
  </si>
  <si>
    <t>Полная стоимость услуги по ООО "ЮТЭК"</t>
  </si>
  <si>
    <t>Вывоз ЖБО (без централизованного водоотведения)</t>
  </si>
  <si>
    <t>в жилых домах с полным благоустройством (без централизованного водоотведения)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</si>
</sst>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1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1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wrapText="1" shrinkToFi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3" fillId="0" borderId="8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178" fontId="1" fillId="0" borderId="1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1" fillId="0" borderId="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9" fontId="6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righ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 shrinkToFit="1"/>
    </xf>
    <xf numFmtId="0" fontId="1" fillId="0" borderId="26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textRotation="90" wrapText="1"/>
    </xf>
    <xf numFmtId="2" fontId="3" fillId="0" borderId="56" xfId="0" applyNumberFormat="1" applyFont="1" applyFill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140625" style="0" bestFit="1" customWidth="1"/>
    <col min="2" max="2" width="50.8515625" style="0" customWidth="1"/>
    <col min="3" max="3" width="9.7109375" style="0" customWidth="1"/>
    <col min="4" max="4" width="19.140625" style="0" customWidth="1"/>
    <col min="5" max="5" width="16.00390625" style="0" customWidth="1"/>
    <col min="6" max="6" width="13.7109375" style="0" customWidth="1"/>
    <col min="7" max="7" width="13.00390625" style="0" customWidth="1"/>
    <col min="8" max="8" width="10.00390625" style="0" customWidth="1"/>
    <col min="9" max="9" width="12.57421875" style="0" customWidth="1"/>
  </cols>
  <sheetData>
    <row r="1" ht="15.75">
      <c r="G1" s="1" t="s">
        <v>5</v>
      </c>
    </row>
    <row r="2" ht="15.75">
      <c r="G2" s="1" t="s">
        <v>1</v>
      </c>
    </row>
    <row r="3" ht="15.75">
      <c r="G3" s="1" t="s">
        <v>2</v>
      </c>
    </row>
    <row r="4" ht="15.75">
      <c r="G4" s="1" t="s">
        <v>4</v>
      </c>
    </row>
    <row r="6" spans="1:9" ht="18.75">
      <c r="A6" s="172" t="s">
        <v>206</v>
      </c>
      <c r="B6" s="172"/>
      <c r="C6" s="172"/>
      <c r="D6" s="172"/>
      <c r="E6" s="172"/>
      <c r="F6" s="172"/>
      <c r="G6" s="172"/>
      <c r="H6" s="172"/>
      <c r="I6" s="172"/>
    </row>
    <row r="7" spans="2:4" ht="18.75">
      <c r="B7" s="178"/>
      <c r="C7" s="178"/>
      <c r="D7" s="178"/>
    </row>
    <row r="8" spans="2:9" ht="19.5" thickBot="1">
      <c r="B8" s="85"/>
      <c r="H8" s="179" t="s">
        <v>67</v>
      </c>
      <c r="I8" s="179"/>
    </row>
    <row r="9" spans="1:9" ht="19.5" customHeight="1" thickBot="1">
      <c r="A9" s="166" t="s">
        <v>13</v>
      </c>
      <c r="B9" s="171" t="s">
        <v>200</v>
      </c>
      <c r="C9" s="171" t="s">
        <v>11</v>
      </c>
      <c r="D9" s="165" t="s">
        <v>204</v>
      </c>
      <c r="E9" s="165"/>
      <c r="F9" s="165"/>
      <c r="G9" s="163" t="s">
        <v>205</v>
      </c>
      <c r="H9" s="163"/>
      <c r="I9" s="164"/>
    </row>
    <row r="10" spans="1:9" ht="19.5" customHeight="1" thickBot="1">
      <c r="A10" s="167"/>
      <c r="B10" s="176"/>
      <c r="C10" s="176"/>
      <c r="D10" s="169" t="s">
        <v>201</v>
      </c>
      <c r="E10" s="170"/>
      <c r="F10" s="171" t="s">
        <v>199</v>
      </c>
      <c r="G10" s="169" t="s">
        <v>201</v>
      </c>
      <c r="H10" s="170"/>
      <c r="I10" s="171" t="s">
        <v>199</v>
      </c>
    </row>
    <row r="11" spans="1:9" s="123" customFormat="1" ht="32.25" thickBot="1">
      <c r="A11" s="168"/>
      <c r="B11" s="177"/>
      <c r="C11" s="177"/>
      <c r="D11" s="100" t="s">
        <v>203</v>
      </c>
      <c r="E11" s="100" t="s">
        <v>202</v>
      </c>
      <c r="F11" s="177"/>
      <c r="G11" s="100" t="s">
        <v>203</v>
      </c>
      <c r="H11" s="100" t="s">
        <v>202</v>
      </c>
      <c r="I11" s="177"/>
    </row>
    <row r="12" spans="1:9" ht="31.5">
      <c r="A12" s="113">
        <v>1</v>
      </c>
      <c r="B12" s="81" t="s">
        <v>126</v>
      </c>
      <c r="C12" s="180" t="s">
        <v>7</v>
      </c>
      <c r="D12" s="114">
        <f>SUM(D13:D17)</f>
        <v>8.27</v>
      </c>
      <c r="E12" s="84">
        <f>SUM(E13:E17)</f>
        <v>8.27</v>
      </c>
      <c r="F12" s="84">
        <f>SUM(F13:F17)</f>
        <v>6.85</v>
      </c>
      <c r="G12" s="84">
        <f>SUM(G13:G16)</f>
        <v>8.19</v>
      </c>
      <c r="H12" s="84">
        <f>H13+H14+H15+H16</f>
        <v>8.19</v>
      </c>
      <c r="I12" s="124">
        <f>SUM(I13:I16)</f>
        <v>6.77</v>
      </c>
    </row>
    <row r="13" spans="1:9" ht="15.75">
      <c r="A13" s="77" t="s">
        <v>121</v>
      </c>
      <c r="B13" s="78" t="s">
        <v>6</v>
      </c>
      <c r="C13" s="173"/>
      <c r="D13" s="49">
        <v>6.27</v>
      </c>
      <c r="E13" s="49">
        <v>6.27</v>
      </c>
      <c r="F13" s="49">
        <v>6.27</v>
      </c>
      <c r="G13" s="49">
        <v>6.27</v>
      </c>
      <c r="H13" s="49">
        <v>6.27</v>
      </c>
      <c r="I13" s="60">
        <v>6.27</v>
      </c>
    </row>
    <row r="14" spans="1:9" ht="15.75">
      <c r="A14" s="77" t="s">
        <v>120</v>
      </c>
      <c r="B14" s="78" t="s">
        <v>114</v>
      </c>
      <c r="C14" s="173"/>
      <c r="D14" s="56">
        <v>0.4</v>
      </c>
      <c r="E14" s="56">
        <v>0.4</v>
      </c>
      <c r="F14" s="56">
        <v>0.4</v>
      </c>
      <c r="G14" s="56">
        <v>0.4</v>
      </c>
      <c r="H14" s="56">
        <v>0.4</v>
      </c>
      <c r="I14" s="57">
        <v>0.4</v>
      </c>
    </row>
    <row r="15" spans="1:9" ht="31.5">
      <c r="A15" s="77" t="s">
        <v>122</v>
      </c>
      <c r="B15" s="78" t="s">
        <v>166</v>
      </c>
      <c r="C15" s="173"/>
      <c r="D15" s="56">
        <v>0.1</v>
      </c>
      <c r="E15" s="56">
        <v>0.1</v>
      </c>
      <c r="F15" s="56">
        <v>0.1</v>
      </c>
      <c r="G15" s="56">
        <v>0.1</v>
      </c>
      <c r="H15" s="56">
        <v>0.1</v>
      </c>
      <c r="I15" s="57">
        <v>0.1</v>
      </c>
    </row>
    <row r="16" spans="1:9" ht="15.75">
      <c r="A16" s="77" t="s">
        <v>123</v>
      </c>
      <c r="B16" s="78" t="s">
        <v>8</v>
      </c>
      <c r="C16" s="173"/>
      <c r="D16" s="49">
        <v>1.42</v>
      </c>
      <c r="E16" s="56">
        <v>1.42</v>
      </c>
      <c r="F16" s="115"/>
      <c r="G16" s="49">
        <v>1.42</v>
      </c>
      <c r="H16" s="115">
        <v>1.42</v>
      </c>
      <c r="I16" s="57"/>
    </row>
    <row r="17" spans="1:9" ht="31.5">
      <c r="A17" s="77" t="s">
        <v>124</v>
      </c>
      <c r="B17" s="78" t="s">
        <v>9</v>
      </c>
      <c r="C17" s="173"/>
      <c r="D17" s="49">
        <v>0.08</v>
      </c>
      <c r="E17" s="49">
        <v>0.08</v>
      </c>
      <c r="F17" s="49">
        <v>0.08</v>
      </c>
      <c r="G17" s="115"/>
      <c r="H17" s="115"/>
      <c r="I17" s="116"/>
    </row>
    <row r="18" spans="1:9" s="73" customFormat="1" ht="22.5" customHeight="1">
      <c r="A18" s="140" t="s">
        <v>125</v>
      </c>
      <c r="B18" s="86" t="s">
        <v>165</v>
      </c>
      <c r="C18" s="62" t="s">
        <v>35</v>
      </c>
      <c r="D18" s="62">
        <v>52.33</v>
      </c>
      <c r="E18" s="62"/>
      <c r="F18" s="62"/>
      <c r="G18" s="117">
        <v>52.33</v>
      </c>
      <c r="H18" s="117"/>
      <c r="I18" s="118"/>
    </row>
    <row r="19" spans="1:9" s="73" customFormat="1" ht="15.75">
      <c r="A19" s="90" t="s">
        <v>127</v>
      </c>
      <c r="B19" s="86" t="s">
        <v>128</v>
      </c>
      <c r="C19" s="61"/>
      <c r="D19" s="62"/>
      <c r="E19" s="62"/>
      <c r="F19" s="62"/>
      <c r="G19" s="117"/>
      <c r="H19" s="117"/>
      <c r="I19" s="118"/>
    </row>
    <row r="20" spans="1:9" s="88" customFormat="1" ht="15.75" customHeight="1">
      <c r="A20" s="89" t="s">
        <v>129</v>
      </c>
      <c r="B20" s="78" t="s">
        <v>131</v>
      </c>
      <c r="C20" s="175" t="s">
        <v>133</v>
      </c>
      <c r="D20" s="49">
        <v>3.93</v>
      </c>
      <c r="E20" s="49">
        <v>3.93</v>
      </c>
      <c r="F20" s="49">
        <v>3.93</v>
      </c>
      <c r="G20" s="119"/>
      <c r="H20" s="119"/>
      <c r="I20" s="120"/>
    </row>
    <row r="21" spans="1:9" s="88" customFormat="1" ht="15.75">
      <c r="A21" s="112" t="s">
        <v>130</v>
      </c>
      <c r="B21" s="78" t="s">
        <v>132</v>
      </c>
      <c r="C21" s="176"/>
      <c r="D21" s="49">
        <v>4.72</v>
      </c>
      <c r="E21" s="49">
        <v>4.72</v>
      </c>
      <c r="F21" s="49">
        <v>4.72</v>
      </c>
      <c r="G21" s="119"/>
      <c r="H21" s="119"/>
      <c r="I21" s="120"/>
    </row>
    <row r="22" spans="1:9" ht="16.5" thickBot="1">
      <c r="A22" s="80">
        <v>4</v>
      </c>
      <c r="B22" s="79" t="s">
        <v>10</v>
      </c>
      <c r="C22" s="177"/>
      <c r="D22" s="121"/>
      <c r="E22" s="121"/>
      <c r="F22" s="121"/>
      <c r="G22" s="122">
        <v>7.85</v>
      </c>
      <c r="H22" s="122">
        <v>7.85</v>
      </c>
      <c r="I22" s="91">
        <v>7.85</v>
      </c>
    </row>
    <row r="25" ht="15.75">
      <c r="B25" s="1" t="s">
        <v>155</v>
      </c>
    </row>
    <row r="26" ht="15.75">
      <c r="B26" s="1" t="s">
        <v>115</v>
      </c>
    </row>
    <row r="28" spans="2:9" ht="27.75" customHeight="1">
      <c r="B28" s="174" t="s">
        <v>222</v>
      </c>
      <c r="C28" s="174"/>
      <c r="D28" s="174"/>
      <c r="E28" s="174"/>
      <c r="F28" s="174"/>
      <c r="G28" s="174"/>
      <c r="H28" s="174"/>
      <c r="I28" s="174"/>
    </row>
  </sheetData>
  <mergeCells count="15">
    <mergeCell ref="A6:I6"/>
    <mergeCell ref="G9:I9"/>
    <mergeCell ref="D9:F9"/>
    <mergeCell ref="C9:C11"/>
    <mergeCell ref="B9:B11"/>
    <mergeCell ref="A9:A11"/>
    <mergeCell ref="D10:E10"/>
    <mergeCell ref="F10:F11"/>
    <mergeCell ref="B28:I28"/>
    <mergeCell ref="C20:C22"/>
    <mergeCell ref="B7:D7"/>
    <mergeCell ref="H8:I8"/>
    <mergeCell ref="C12:C17"/>
    <mergeCell ref="G10:H10"/>
    <mergeCell ref="I10:I11"/>
  </mergeCells>
  <printOptions/>
  <pageMargins left="0.29" right="0.2" top="0.3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4">
      <selection activeCell="B17" sqref="B17:C17"/>
    </sheetView>
  </sheetViews>
  <sheetFormatPr defaultColWidth="9.140625" defaultRowHeight="12.75"/>
  <cols>
    <col min="1" max="1" width="6.140625" style="152" bestFit="1" customWidth="1"/>
    <col min="2" max="2" width="41.28125" style="0" customWidth="1"/>
    <col min="3" max="3" width="18.28125" style="0" customWidth="1"/>
    <col min="4" max="4" width="9.7109375" style="0" customWidth="1"/>
    <col min="5" max="5" width="19.140625" style="0" customWidth="1"/>
    <col min="6" max="6" width="16.00390625" style="0" customWidth="1"/>
    <col min="7" max="7" width="13.7109375" style="0" customWidth="1"/>
    <col min="8" max="8" width="13.00390625" style="0" customWidth="1"/>
    <col min="9" max="9" width="10.00390625" style="0" customWidth="1"/>
    <col min="10" max="10" width="12.57421875" style="0" customWidth="1"/>
  </cols>
  <sheetData>
    <row r="1" ht="15.75">
      <c r="H1" s="1" t="s">
        <v>12</v>
      </c>
    </row>
    <row r="2" ht="15.75">
      <c r="H2" s="1" t="s">
        <v>1</v>
      </c>
    </row>
    <row r="3" ht="15.75">
      <c r="H3" s="1" t="s">
        <v>2</v>
      </c>
    </row>
    <row r="4" ht="15.75">
      <c r="H4" s="1" t="s">
        <v>4</v>
      </c>
    </row>
    <row r="5" ht="15.75">
      <c r="H5" s="1"/>
    </row>
    <row r="6" spans="1:10" ht="18.75">
      <c r="A6" s="172" t="s">
        <v>207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2:5" ht="18.75">
      <c r="B7" s="178"/>
      <c r="C7" s="178"/>
      <c r="D7" s="178"/>
      <c r="E7" s="178"/>
    </row>
    <row r="8" spans="2:10" ht="19.5" thickBot="1">
      <c r="B8" s="85"/>
      <c r="C8" s="85"/>
      <c r="I8" s="179" t="s">
        <v>67</v>
      </c>
      <c r="J8" s="179"/>
    </row>
    <row r="9" spans="1:10" ht="19.5" customHeight="1">
      <c r="A9" s="197" t="s">
        <v>13</v>
      </c>
      <c r="B9" s="188" t="s">
        <v>200</v>
      </c>
      <c r="C9" s="189"/>
      <c r="D9" s="200" t="s">
        <v>11</v>
      </c>
      <c r="E9" s="200" t="s">
        <v>224</v>
      </c>
      <c r="F9" s="200"/>
      <c r="G9" s="200"/>
      <c r="H9" s="201" t="s">
        <v>225</v>
      </c>
      <c r="I9" s="201"/>
      <c r="J9" s="202"/>
    </row>
    <row r="10" spans="1:10" ht="19.5" customHeight="1">
      <c r="A10" s="198"/>
      <c r="B10" s="190"/>
      <c r="C10" s="184"/>
      <c r="D10" s="173"/>
      <c r="E10" s="173" t="s">
        <v>213</v>
      </c>
      <c r="F10" s="173"/>
      <c r="G10" s="173" t="s">
        <v>214</v>
      </c>
      <c r="H10" s="173" t="s">
        <v>213</v>
      </c>
      <c r="I10" s="173"/>
      <c r="J10" s="195" t="s">
        <v>214</v>
      </c>
    </row>
    <row r="11" spans="1:10" s="123" customFormat="1" ht="32.25" thickBot="1">
      <c r="A11" s="199"/>
      <c r="B11" s="191"/>
      <c r="C11" s="185"/>
      <c r="D11" s="187"/>
      <c r="E11" s="58" t="s">
        <v>203</v>
      </c>
      <c r="F11" s="58" t="s">
        <v>202</v>
      </c>
      <c r="G11" s="187"/>
      <c r="H11" s="58" t="s">
        <v>203</v>
      </c>
      <c r="I11" s="58" t="s">
        <v>202</v>
      </c>
      <c r="J11" s="196"/>
    </row>
    <row r="12" spans="1:10" ht="31.5" customHeight="1">
      <c r="A12" s="153">
        <v>1</v>
      </c>
      <c r="B12" s="192" t="s">
        <v>126</v>
      </c>
      <c r="C12" s="193"/>
      <c r="D12" s="171" t="s">
        <v>226</v>
      </c>
      <c r="E12" s="84">
        <f aca="true" t="shared" si="0" ref="E12:J12">E14+E16+E17</f>
        <v>12.409999999999998</v>
      </c>
      <c r="F12" s="84">
        <f t="shared" si="0"/>
        <v>12.409999999999998</v>
      </c>
      <c r="G12" s="84">
        <f t="shared" si="0"/>
        <v>10.28</v>
      </c>
      <c r="H12" s="84">
        <f t="shared" si="0"/>
        <v>12.29</v>
      </c>
      <c r="I12" s="84">
        <f t="shared" si="0"/>
        <v>12.29</v>
      </c>
      <c r="J12" s="124">
        <f t="shared" si="0"/>
        <v>10.16</v>
      </c>
    </row>
    <row r="13" spans="1:10" s="88" customFormat="1" ht="16.5" customHeight="1">
      <c r="A13" s="162" t="s">
        <v>121</v>
      </c>
      <c r="B13" s="173" t="s">
        <v>235</v>
      </c>
      <c r="C13" s="149" t="s">
        <v>233</v>
      </c>
      <c r="D13" s="176"/>
      <c r="E13" s="150">
        <v>31.43</v>
      </c>
      <c r="F13" s="150">
        <v>31.43</v>
      </c>
      <c r="G13" s="150">
        <v>31.43</v>
      </c>
      <c r="H13" s="150">
        <v>31.43</v>
      </c>
      <c r="I13" s="150">
        <v>31.43</v>
      </c>
      <c r="J13" s="151">
        <v>31.43</v>
      </c>
    </row>
    <row r="14" spans="1:10" ht="15.75">
      <c r="A14" s="181"/>
      <c r="B14" s="173"/>
      <c r="C14" s="78" t="s">
        <v>234</v>
      </c>
      <c r="D14" s="176"/>
      <c r="E14" s="82">
        <v>10.16</v>
      </c>
      <c r="F14" s="82">
        <v>10.16</v>
      </c>
      <c r="G14" s="82">
        <v>10.16</v>
      </c>
      <c r="H14" s="82">
        <v>10.16</v>
      </c>
      <c r="I14" s="82">
        <v>10.16</v>
      </c>
      <c r="J14" s="110">
        <v>10.16</v>
      </c>
    </row>
    <row r="15" spans="1:10" ht="31.5" customHeight="1">
      <c r="A15" s="182"/>
      <c r="B15" s="160" t="s">
        <v>232</v>
      </c>
      <c r="C15" s="160"/>
      <c r="D15" s="184"/>
      <c r="E15" s="82">
        <f aca="true" t="shared" si="1" ref="E15:J15">0.1*1.5</f>
        <v>0.15000000000000002</v>
      </c>
      <c r="F15" s="82">
        <f t="shared" si="1"/>
        <v>0.15000000000000002</v>
      </c>
      <c r="G15" s="82">
        <f t="shared" si="1"/>
        <v>0.15000000000000002</v>
      </c>
      <c r="H15" s="82">
        <f t="shared" si="1"/>
        <v>0.15000000000000002</v>
      </c>
      <c r="I15" s="82">
        <f t="shared" si="1"/>
        <v>0.15000000000000002</v>
      </c>
      <c r="J15" s="110">
        <f t="shared" si="1"/>
        <v>0.15000000000000002</v>
      </c>
    </row>
    <row r="16" spans="1:10" ht="15.75">
      <c r="A16" s="154" t="s">
        <v>120</v>
      </c>
      <c r="B16" s="160" t="s">
        <v>8</v>
      </c>
      <c r="C16" s="160"/>
      <c r="D16" s="184"/>
      <c r="E16" s="3">
        <f>1.42*1.5</f>
        <v>2.13</v>
      </c>
      <c r="F16" s="82">
        <f>1.42*1.5</f>
        <v>2.13</v>
      </c>
      <c r="G16" s="3"/>
      <c r="H16" s="3">
        <f>1.42*1.5</f>
        <v>2.13</v>
      </c>
      <c r="I16" s="82">
        <f>1.42*1.5</f>
        <v>2.13</v>
      </c>
      <c r="J16" s="111"/>
    </row>
    <row r="17" spans="1:10" ht="31.5" customHeight="1">
      <c r="A17" s="154" t="s">
        <v>122</v>
      </c>
      <c r="B17" s="160" t="s">
        <v>9</v>
      </c>
      <c r="C17" s="160"/>
      <c r="D17" s="186"/>
      <c r="E17" s="3">
        <f>0.08*1.5</f>
        <v>0.12</v>
      </c>
      <c r="F17" s="3">
        <f>0.08*1.5</f>
        <v>0.12</v>
      </c>
      <c r="G17" s="3">
        <f>0.08*1.5</f>
        <v>0.12</v>
      </c>
      <c r="H17" s="87"/>
      <c r="I17" s="87"/>
      <c r="J17" s="116"/>
    </row>
    <row r="18" spans="1:10" s="73" customFormat="1" ht="18.75" customHeight="1">
      <c r="A18" s="155" t="s">
        <v>125</v>
      </c>
      <c r="B18" s="194" t="s">
        <v>165</v>
      </c>
      <c r="C18" s="194"/>
      <c r="D18" s="144" t="s">
        <v>35</v>
      </c>
      <c r="E18" s="141">
        <v>52.33</v>
      </c>
      <c r="F18" s="141"/>
      <c r="G18" s="141"/>
      <c r="H18" s="141">
        <v>52.33</v>
      </c>
      <c r="I18" s="141"/>
      <c r="J18" s="142"/>
    </row>
    <row r="19" spans="1:10" s="73" customFormat="1" ht="15.75">
      <c r="A19" s="155" t="s">
        <v>127</v>
      </c>
      <c r="B19" s="159" t="s">
        <v>128</v>
      </c>
      <c r="C19" s="159"/>
      <c r="D19" s="143"/>
      <c r="E19" s="87"/>
      <c r="F19" s="3"/>
      <c r="G19" s="3"/>
      <c r="H19" s="117"/>
      <c r="I19" s="117"/>
      <c r="J19" s="118"/>
    </row>
    <row r="20" spans="1:10" s="88" customFormat="1" ht="15.75" customHeight="1">
      <c r="A20" s="156" t="s">
        <v>129</v>
      </c>
      <c r="B20" s="160" t="s">
        <v>131</v>
      </c>
      <c r="C20" s="160"/>
      <c r="D20" s="183" t="s">
        <v>133</v>
      </c>
      <c r="E20" s="3">
        <v>3.93</v>
      </c>
      <c r="F20" s="3">
        <v>3.93</v>
      </c>
      <c r="G20" s="49">
        <v>3.93</v>
      </c>
      <c r="H20" s="119"/>
      <c r="I20" s="119"/>
      <c r="J20" s="120"/>
    </row>
    <row r="21" spans="1:10" s="88" customFormat="1" ht="15.75">
      <c r="A21" s="157" t="s">
        <v>130</v>
      </c>
      <c r="B21" s="160" t="s">
        <v>132</v>
      </c>
      <c r="C21" s="160"/>
      <c r="D21" s="184"/>
      <c r="E21" s="3">
        <v>4.72</v>
      </c>
      <c r="F21" s="49">
        <v>4.72</v>
      </c>
      <c r="G21" s="49">
        <v>4.72</v>
      </c>
      <c r="H21" s="119"/>
      <c r="I21" s="119"/>
      <c r="J21" s="120"/>
    </row>
    <row r="22" spans="1:10" ht="16.5" thickBot="1">
      <c r="A22" s="158">
        <v>4</v>
      </c>
      <c r="B22" s="161" t="s">
        <v>10</v>
      </c>
      <c r="C22" s="161"/>
      <c r="D22" s="185"/>
      <c r="E22" s="121"/>
      <c r="F22" s="121"/>
      <c r="G22" s="121"/>
      <c r="H22" s="122">
        <v>7.85</v>
      </c>
      <c r="I22" s="122">
        <v>7.85</v>
      </c>
      <c r="J22" s="91">
        <v>7.85</v>
      </c>
    </row>
    <row r="25" spans="2:3" ht="15.75">
      <c r="B25" s="1" t="s">
        <v>155</v>
      </c>
      <c r="C25" s="1"/>
    </row>
    <row r="26" spans="2:3" ht="15.75">
      <c r="B26" s="1" t="s">
        <v>115</v>
      </c>
      <c r="C26" s="1"/>
    </row>
    <row r="28" spans="2:10" ht="29.25" customHeight="1">
      <c r="B28" s="174" t="s">
        <v>223</v>
      </c>
      <c r="C28" s="174"/>
      <c r="D28" s="174"/>
      <c r="E28" s="174"/>
      <c r="F28" s="174"/>
      <c r="G28" s="174"/>
      <c r="H28" s="174"/>
      <c r="I28" s="174"/>
      <c r="J28" s="174"/>
    </row>
  </sheetData>
  <mergeCells count="26">
    <mergeCell ref="B7:E7"/>
    <mergeCell ref="J10:J11"/>
    <mergeCell ref="A6:J6"/>
    <mergeCell ref="I8:J8"/>
    <mergeCell ref="A9:A11"/>
    <mergeCell ref="D9:D11"/>
    <mergeCell ref="E9:G9"/>
    <mergeCell ref="H9:J9"/>
    <mergeCell ref="D20:D22"/>
    <mergeCell ref="D12:D17"/>
    <mergeCell ref="B28:J28"/>
    <mergeCell ref="E10:F10"/>
    <mergeCell ref="G10:G11"/>
    <mergeCell ref="H10:I10"/>
    <mergeCell ref="B13:B14"/>
    <mergeCell ref="B9:C11"/>
    <mergeCell ref="B12:C12"/>
    <mergeCell ref="B18:C18"/>
    <mergeCell ref="B15:C15"/>
    <mergeCell ref="B16:C16"/>
    <mergeCell ref="B17:C17"/>
    <mergeCell ref="A13:A15"/>
    <mergeCell ref="B19:C19"/>
    <mergeCell ref="B20:C20"/>
    <mergeCell ref="B21:C21"/>
    <mergeCell ref="B22:C22"/>
  </mergeCells>
  <printOptions/>
  <pageMargins left="0.41" right="0.2" top="0.17" bottom="1" header="0.17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34">
      <selection activeCell="D38" sqref="D38"/>
    </sheetView>
  </sheetViews>
  <sheetFormatPr defaultColWidth="9.140625" defaultRowHeight="12.75"/>
  <cols>
    <col min="1" max="1" width="4.7109375" style="1" bestFit="1" customWidth="1"/>
    <col min="2" max="2" width="49.57421875" style="1" customWidth="1"/>
    <col min="3" max="3" width="15.421875" style="1" customWidth="1"/>
    <col min="4" max="4" width="13.00390625" style="23" customWidth="1"/>
    <col min="5" max="5" width="14.8515625" style="5" customWidth="1"/>
    <col min="6" max="6" width="14.00390625" style="5" customWidth="1"/>
    <col min="7" max="7" width="16.28125" style="5" customWidth="1"/>
    <col min="8" max="16384" width="9.140625" style="1" customWidth="1"/>
  </cols>
  <sheetData>
    <row r="1" ht="15.75">
      <c r="E1" s="33" t="s">
        <v>116</v>
      </c>
    </row>
    <row r="2" ht="15.75">
      <c r="E2" s="33" t="s">
        <v>1</v>
      </c>
    </row>
    <row r="3" ht="15.75">
      <c r="E3" s="33" t="s">
        <v>2</v>
      </c>
    </row>
    <row r="4" ht="15.75">
      <c r="E4" s="33" t="s">
        <v>4</v>
      </c>
    </row>
    <row r="6" spans="1:7" ht="18.75">
      <c r="A6" s="172" t="s">
        <v>36</v>
      </c>
      <c r="B6" s="172"/>
      <c r="C6" s="172"/>
      <c r="D6" s="172"/>
      <c r="E6" s="172"/>
      <c r="F6" s="172"/>
      <c r="G6" s="172"/>
    </row>
    <row r="7" spans="1:7" ht="18.75">
      <c r="A7" s="2"/>
      <c r="B7" s="2"/>
      <c r="C7" s="2"/>
      <c r="D7" s="2"/>
      <c r="E7" s="2"/>
      <c r="F7" s="2"/>
      <c r="G7" s="2"/>
    </row>
    <row r="8" spans="6:7" ht="16.5" thickBot="1">
      <c r="F8" s="210" t="s">
        <v>67</v>
      </c>
      <c r="G8" s="210"/>
    </row>
    <row r="9" spans="1:7" s="7" customFormat="1" ht="48" thickBot="1">
      <c r="A9" s="46" t="s">
        <v>33</v>
      </c>
      <c r="B9" s="47" t="s">
        <v>68</v>
      </c>
      <c r="C9" s="47" t="s">
        <v>69</v>
      </c>
      <c r="D9" s="47" t="s">
        <v>11</v>
      </c>
      <c r="E9" s="169" t="s">
        <v>195</v>
      </c>
      <c r="F9" s="220"/>
      <c r="G9" s="221"/>
    </row>
    <row r="10" spans="1:7" ht="15.75">
      <c r="A10" s="8">
        <v>1</v>
      </c>
      <c r="B10" s="9" t="s">
        <v>100</v>
      </c>
      <c r="C10" s="188" t="s">
        <v>194</v>
      </c>
      <c r="D10" s="214"/>
      <c r="E10" s="214"/>
      <c r="F10" s="214"/>
      <c r="G10" s="215"/>
    </row>
    <row r="11" spans="1:7" ht="15.75">
      <c r="A11" s="11"/>
      <c r="B11" s="12" t="s">
        <v>16</v>
      </c>
      <c r="C11" s="190"/>
      <c r="D11" s="216"/>
      <c r="E11" s="216"/>
      <c r="F11" s="216"/>
      <c r="G11" s="217"/>
    </row>
    <row r="12" spans="1:7" ht="32.25" thickBot="1">
      <c r="A12" s="14"/>
      <c r="B12" s="15" t="s">
        <v>117</v>
      </c>
      <c r="C12" s="191"/>
      <c r="D12" s="218"/>
      <c r="E12" s="218"/>
      <c r="F12" s="218"/>
      <c r="G12" s="219"/>
    </row>
    <row r="13" spans="1:7" ht="15.75">
      <c r="A13" s="17">
        <v>2</v>
      </c>
      <c r="B13" s="18" t="s">
        <v>103</v>
      </c>
      <c r="C13" s="188" t="s">
        <v>194</v>
      </c>
      <c r="D13" s="214"/>
      <c r="E13" s="214"/>
      <c r="F13" s="214"/>
      <c r="G13" s="215"/>
    </row>
    <row r="14" spans="1:7" ht="15.75">
      <c r="A14" s="11"/>
      <c r="B14" s="12" t="s">
        <v>16</v>
      </c>
      <c r="C14" s="190"/>
      <c r="D14" s="216"/>
      <c r="E14" s="216"/>
      <c r="F14" s="216"/>
      <c r="G14" s="217"/>
    </row>
    <row r="15" spans="1:7" ht="31.5">
      <c r="A15" s="11"/>
      <c r="B15" s="12" t="s">
        <v>17</v>
      </c>
      <c r="C15" s="190"/>
      <c r="D15" s="216"/>
      <c r="E15" s="216"/>
      <c r="F15" s="216"/>
      <c r="G15" s="217"/>
    </row>
    <row r="16" spans="1:7" ht="16.5" thickBot="1">
      <c r="A16" s="20"/>
      <c r="B16" s="21" t="s">
        <v>18</v>
      </c>
      <c r="C16" s="191"/>
      <c r="D16" s="218"/>
      <c r="E16" s="218"/>
      <c r="F16" s="218"/>
      <c r="G16" s="219"/>
    </row>
    <row r="17" spans="1:7" ht="15.75">
      <c r="A17" s="8">
        <v>3</v>
      </c>
      <c r="B17" s="9" t="s">
        <v>75</v>
      </c>
      <c r="C17" s="10"/>
      <c r="D17" s="24" t="s">
        <v>34</v>
      </c>
      <c r="E17" s="222">
        <f>5.7*1.18</f>
        <v>6.726</v>
      </c>
      <c r="F17" s="223"/>
      <c r="G17" s="224"/>
    </row>
    <row r="18" spans="1:7" ht="14.25" customHeight="1">
      <c r="A18" s="11"/>
      <c r="B18" s="12" t="s">
        <v>22</v>
      </c>
      <c r="C18" s="22" t="s">
        <v>25</v>
      </c>
      <c r="D18" s="175" t="s">
        <v>35</v>
      </c>
      <c r="E18" s="207">
        <f>E17*5.4</f>
        <v>36.3204</v>
      </c>
      <c r="F18" s="208"/>
      <c r="G18" s="209"/>
    </row>
    <row r="19" spans="1:7" ht="31.5">
      <c r="A19" s="11"/>
      <c r="B19" s="12" t="s">
        <v>19</v>
      </c>
      <c r="C19" s="22" t="s">
        <v>26</v>
      </c>
      <c r="D19" s="176"/>
      <c r="E19" s="207">
        <f>E17*6.3</f>
        <v>42.373799999999996</v>
      </c>
      <c r="F19" s="208"/>
      <c r="G19" s="209"/>
    </row>
    <row r="20" spans="1:7" ht="18" customHeight="1">
      <c r="A20" s="11"/>
      <c r="B20" s="12" t="s">
        <v>20</v>
      </c>
      <c r="C20" s="22" t="s">
        <v>27</v>
      </c>
      <c r="D20" s="176"/>
      <c r="E20" s="207">
        <f>E17*3.3</f>
        <v>22.1958</v>
      </c>
      <c r="F20" s="208"/>
      <c r="G20" s="209"/>
    </row>
    <row r="21" spans="1:7" ht="16.5" thickBot="1">
      <c r="A21" s="14"/>
      <c r="B21" s="15" t="s">
        <v>21</v>
      </c>
      <c r="C21" s="34" t="s">
        <v>28</v>
      </c>
      <c r="D21" s="177"/>
      <c r="E21" s="225">
        <f>E17*2.8</f>
        <v>18.8328</v>
      </c>
      <c r="F21" s="226"/>
      <c r="G21" s="227"/>
    </row>
    <row r="22" spans="1:7" ht="15.75">
      <c r="A22" s="17">
        <v>4</v>
      </c>
      <c r="B22" s="18" t="s">
        <v>104</v>
      </c>
      <c r="C22" s="19"/>
      <c r="D22" s="27" t="s">
        <v>34</v>
      </c>
      <c r="E22" s="211">
        <f>7.4*1.18</f>
        <v>8.732</v>
      </c>
      <c r="F22" s="212"/>
      <c r="G22" s="213"/>
    </row>
    <row r="23" spans="1:7" ht="15.75" customHeight="1">
      <c r="A23" s="11"/>
      <c r="B23" s="12" t="s">
        <v>22</v>
      </c>
      <c r="C23" s="13" t="s">
        <v>29</v>
      </c>
      <c r="D23" s="25"/>
      <c r="E23" s="207">
        <f>E22*8.55</f>
        <v>74.6586</v>
      </c>
      <c r="F23" s="208"/>
      <c r="G23" s="209"/>
    </row>
    <row r="24" spans="1:7" ht="31.5">
      <c r="A24" s="11"/>
      <c r="B24" s="12" t="s">
        <v>19</v>
      </c>
      <c r="C24" s="13" t="s">
        <v>30</v>
      </c>
      <c r="D24" s="25"/>
      <c r="E24" s="207">
        <f>E22*5.9</f>
        <v>51.5188</v>
      </c>
      <c r="F24" s="208"/>
      <c r="G24" s="209"/>
    </row>
    <row r="25" spans="1:7" ht="22.5" customHeight="1">
      <c r="A25" s="11"/>
      <c r="B25" s="12" t="s">
        <v>20</v>
      </c>
      <c r="C25" s="13" t="s">
        <v>31</v>
      </c>
      <c r="D25" s="25"/>
      <c r="E25" s="207">
        <f>E22*5.6</f>
        <v>48.89919999999999</v>
      </c>
      <c r="F25" s="208"/>
      <c r="G25" s="209"/>
    </row>
    <row r="26" spans="1:7" ht="18" customHeight="1" thickBot="1">
      <c r="A26" s="20"/>
      <c r="B26" s="21" t="s">
        <v>21</v>
      </c>
      <c r="C26" s="92" t="s">
        <v>32</v>
      </c>
      <c r="D26" s="28"/>
      <c r="E26" s="228">
        <f>E22*2.7</f>
        <v>23.5764</v>
      </c>
      <c r="F26" s="229"/>
      <c r="G26" s="230"/>
    </row>
    <row r="27" spans="1:7" ht="18" customHeight="1">
      <c r="A27" s="8">
        <v>5</v>
      </c>
      <c r="B27" s="9" t="s">
        <v>136</v>
      </c>
      <c r="C27" s="10" t="s">
        <v>135</v>
      </c>
      <c r="D27" s="24" t="s">
        <v>35</v>
      </c>
      <c r="E27" s="205">
        <v>14.17</v>
      </c>
      <c r="F27" s="205"/>
      <c r="G27" s="206"/>
    </row>
    <row r="28" spans="1:7" ht="18" customHeight="1" thickBot="1">
      <c r="A28" s="20"/>
      <c r="B28" s="21" t="s">
        <v>208</v>
      </c>
      <c r="C28" s="92"/>
      <c r="D28" s="28" t="s">
        <v>35</v>
      </c>
      <c r="E28" s="231">
        <v>3.2</v>
      </c>
      <c r="F28" s="231"/>
      <c r="G28" s="232"/>
    </row>
    <row r="29" spans="1:7" ht="81" customHeight="1">
      <c r="A29" s="203">
        <v>6</v>
      </c>
      <c r="B29" s="171" t="s">
        <v>238</v>
      </c>
      <c r="C29" s="233"/>
      <c r="D29" s="24"/>
      <c r="E29" s="147" t="s">
        <v>236</v>
      </c>
      <c r="F29" s="147" t="s">
        <v>237</v>
      </c>
      <c r="G29" s="148" t="s">
        <v>227</v>
      </c>
    </row>
    <row r="30" spans="1:7" ht="18" customHeight="1">
      <c r="A30" s="204"/>
      <c r="B30" s="180"/>
      <c r="C30" s="234"/>
      <c r="D30" s="25" t="s">
        <v>34</v>
      </c>
      <c r="E30" s="145">
        <v>70</v>
      </c>
      <c r="F30" s="145">
        <v>57.7</v>
      </c>
      <c r="G30" s="31">
        <v>38.93</v>
      </c>
    </row>
    <row r="31" spans="1:9" ht="30" customHeight="1">
      <c r="A31" s="11"/>
      <c r="B31" s="12" t="s">
        <v>239</v>
      </c>
      <c r="C31" s="29" t="s">
        <v>159</v>
      </c>
      <c r="D31" s="173" t="s">
        <v>35</v>
      </c>
      <c r="E31" s="145">
        <f>E30*3.99</f>
        <v>279.3</v>
      </c>
      <c r="F31" s="145">
        <f>F30*3.99</f>
        <v>230.223</v>
      </c>
      <c r="G31" s="31">
        <f>G30*3.99</f>
        <v>155.3307</v>
      </c>
      <c r="I31" s="6"/>
    </row>
    <row r="32" spans="1:9" ht="31.5">
      <c r="A32" s="11"/>
      <c r="B32" s="12" t="s">
        <v>19</v>
      </c>
      <c r="C32" s="29" t="s">
        <v>160</v>
      </c>
      <c r="D32" s="173"/>
      <c r="E32" s="145">
        <f>E30*2.82</f>
        <v>197.39999999999998</v>
      </c>
      <c r="F32" s="145">
        <f>F30*2.82</f>
        <v>162.714</v>
      </c>
      <c r="G32" s="31">
        <f>G30*2.82</f>
        <v>109.78259999999999</v>
      </c>
      <c r="I32" s="6"/>
    </row>
    <row r="33" spans="1:9" ht="31.5">
      <c r="A33" s="11"/>
      <c r="B33" s="12" t="s">
        <v>156</v>
      </c>
      <c r="C33" s="29" t="s">
        <v>161</v>
      </c>
      <c r="D33" s="173"/>
      <c r="E33" s="145">
        <f>E30*2.5</f>
        <v>175</v>
      </c>
      <c r="F33" s="145">
        <f>F30*2.5</f>
        <v>144.25</v>
      </c>
      <c r="G33" s="31">
        <f>G30*2.5</f>
        <v>97.325</v>
      </c>
      <c r="I33" s="6"/>
    </row>
    <row r="34" spans="1:9" ht="15.75">
      <c r="A34" s="11"/>
      <c r="B34" s="12" t="s">
        <v>157</v>
      </c>
      <c r="C34" s="29" t="s">
        <v>162</v>
      </c>
      <c r="D34" s="173"/>
      <c r="E34" s="145">
        <f>E30*1.33</f>
        <v>93.10000000000001</v>
      </c>
      <c r="F34" s="145">
        <f>F30*1.33</f>
        <v>76.74100000000001</v>
      </c>
      <c r="G34" s="31">
        <f>G30*1.33</f>
        <v>51.776900000000005</v>
      </c>
      <c r="I34" s="6"/>
    </row>
    <row r="35" spans="1:9" ht="16.5" thickBot="1">
      <c r="A35" s="14"/>
      <c r="B35" s="16" t="s">
        <v>158</v>
      </c>
      <c r="C35" s="30" t="s">
        <v>163</v>
      </c>
      <c r="D35" s="187"/>
      <c r="E35" s="146">
        <f>E30*0.42</f>
        <v>29.4</v>
      </c>
      <c r="F35" s="146">
        <f>F30*0.42</f>
        <v>24.234</v>
      </c>
      <c r="G35" s="32">
        <f>G30*0.42</f>
        <v>16.3506</v>
      </c>
      <c r="I35" s="6"/>
    </row>
    <row r="38" ht="15.75">
      <c r="A38" s="1" t="s">
        <v>80</v>
      </c>
    </row>
    <row r="40" spans="1:7" ht="31.5" customHeight="1">
      <c r="A40" s="174" t="s">
        <v>101</v>
      </c>
      <c r="B40" s="174"/>
      <c r="C40" s="174"/>
      <c r="D40" s="174"/>
      <c r="E40" s="174"/>
      <c r="F40" s="174"/>
      <c r="G40" s="174"/>
    </row>
    <row r="41" spans="1:7" ht="15.75">
      <c r="A41" s="59"/>
      <c r="B41" s="59"/>
      <c r="C41" s="59"/>
      <c r="D41" s="59"/>
      <c r="E41" s="59"/>
      <c r="F41" s="59"/>
      <c r="G41" s="59"/>
    </row>
    <row r="42" spans="1:7" ht="31.5" customHeight="1">
      <c r="A42" s="174" t="s">
        <v>102</v>
      </c>
      <c r="B42" s="174"/>
      <c r="C42" s="174"/>
      <c r="D42" s="174"/>
      <c r="E42" s="174"/>
      <c r="F42" s="174"/>
      <c r="G42" s="174"/>
    </row>
    <row r="44" ht="15.75">
      <c r="A44" s="1" t="s">
        <v>81</v>
      </c>
    </row>
  </sheetData>
  <mergeCells count="24">
    <mergeCell ref="E28:G28"/>
    <mergeCell ref="D31:D35"/>
    <mergeCell ref="B29:B30"/>
    <mergeCell ref="C29:C30"/>
    <mergeCell ref="A40:G40"/>
    <mergeCell ref="A42:G42"/>
    <mergeCell ref="A6:G6"/>
    <mergeCell ref="E17:G17"/>
    <mergeCell ref="D18:D21"/>
    <mergeCell ref="E18:G18"/>
    <mergeCell ref="E19:G19"/>
    <mergeCell ref="E20:G20"/>
    <mergeCell ref="E21:G21"/>
    <mergeCell ref="E26:G26"/>
    <mergeCell ref="A29:A30"/>
    <mergeCell ref="E27:G27"/>
    <mergeCell ref="E25:G25"/>
    <mergeCell ref="F8:G8"/>
    <mergeCell ref="E22:G22"/>
    <mergeCell ref="E23:G23"/>
    <mergeCell ref="E24:G24"/>
    <mergeCell ref="C10:G12"/>
    <mergeCell ref="C13:G16"/>
    <mergeCell ref="E9:G9"/>
  </mergeCells>
  <printOptions/>
  <pageMargins left="0.52" right="0.24" top="0.18" bottom="1" header="0.17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I18" sqref="I18"/>
    </sheetView>
  </sheetViews>
  <sheetFormatPr defaultColWidth="9.140625" defaultRowHeight="12.75"/>
  <cols>
    <col min="1" max="1" width="4.140625" style="1" bestFit="1" customWidth="1"/>
    <col min="2" max="2" width="30.8515625" style="1" customWidth="1"/>
    <col min="3" max="3" width="16.57421875" style="1" customWidth="1"/>
    <col min="4" max="4" width="10.57421875" style="1" customWidth="1"/>
    <col min="5" max="5" width="14.8515625" style="1" customWidth="1"/>
    <col min="6" max="6" width="12.28125" style="1" customWidth="1"/>
    <col min="7" max="7" width="13.57421875" style="1" customWidth="1"/>
    <col min="8" max="9" width="9.140625" style="1" customWidth="1"/>
    <col min="10" max="10" width="0" style="1" hidden="1" customWidth="1"/>
    <col min="11" max="11" width="13.8515625" style="1" customWidth="1"/>
    <col min="12" max="16384" width="9.140625" style="1" customWidth="1"/>
  </cols>
  <sheetData>
    <row r="1" ht="15.75">
      <c r="E1" s="33" t="s">
        <v>99</v>
      </c>
    </row>
    <row r="2" ht="15.75">
      <c r="E2" s="33" t="s">
        <v>1</v>
      </c>
    </row>
    <row r="3" ht="15.75">
      <c r="E3" s="33" t="s">
        <v>2</v>
      </c>
    </row>
    <row r="4" ht="15.75">
      <c r="E4" s="33" t="s">
        <v>4</v>
      </c>
    </row>
    <row r="5" spans="6:7" ht="15.75">
      <c r="F5" s="260"/>
      <c r="G5" s="260"/>
    </row>
    <row r="6" spans="1:7" ht="40.5" customHeight="1">
      <c r="A6" s="246" t="s">
        <v>164</v>
      </c>
      <c r="B6" s="246"/>
      <c r="C6" s="246"/>
      <c r="D6" s="246"/>
      <c r="E6" s="246"/>
      <c r="F6" s="246"/>
      <c r="G6" s="246"/>
    </row>
    <row r="7" spans="2:7" ht="15.75">
      <c r="B7" s="52"/>
      <c r="C7" s="52"/>
      <c r="D7" s="52"/>
      <c r="E7" s="52"/>
      <c r="F7" s="52"/>
      <c r="G7" s="52"/>
    </row>
    <row r="8" spans="2:7" ht="16.5" thickBot="1">
      <c r="B8" s="52"/>
      <c r="C8" s="52"/>
      <c r="D8" s="52"/>
      <c r="E8" s="52"/>
      <c r="F8" s="210" t="s">
        <v>67</v>
      </c>
      <c r="G8" s="210"/>
    </row>
    <row r="9" spans="1:9" ht="126" customHeight="1">
      <c r="A9" s="53" t="s">
        <v>13</v>
      </c>
      <c r="B9" s="54" t="s">
        <v>68</v>
      </c>
      <c r="C9" s="54" t="s">
        <v>69</v>
      </c>
      <c r="D9" s="54" t="s">
        <v>11</v>
      </c>
      <c r="E9" s="261" t="s">
        <v>195</v>
      </c>
      <c r="F9" s="262"/>
      <c r="G9" s="263"/>
      <c r="H9" s="55"/>
      <c r="I9" s="55"/>
    </row>
    <row r="10" spans="1:7" ht="15.75">
      <c r="A10" s="235" t="s">
        <v>70</v>
      </c>
      <c r="B10" s="247" t="s">
        <v>105</v>
      </c>
      <c r="C10" s="247"/>
      <c r="D10" s="247"/>
      <c r="E10" s="247"/>
      <c r="F10" s="247"/>
      <c r="G10" s="248"/>
    </row>
    <row r="11" spans="1:7" ht="48.75" customHeight="1">
      <c r="A11" s="235"/>
      <c r="B11" s="12" t="s">
        <v>118</v>
      </c>
      <c r="C11" s="249" t="s">
        <v>194</v>
      </c>
      <c r="D11" s="250"/>
      <c r="E11" s="250"/>
      <c r="F11" s="250"/>
      <c r="G11" s="251"/>
    </row>
    <row r="12" spans="1:7" ht="15.75">
      <c r="A12" s="235" t="s">
        <v>71</v>
      </c>
      <c r="B12" s="247" t="s">
        <v>106</v>
      </c>
      <c r="C12" s="247"/>
      <c r="D12" s="247"/>
      <c r="E12" s="247"/>
      <c r="F12" s="247"/>
      <c r="G12" s="248"/>
    </row>
    <row r="13" spans="1:11" ht="15.75">
      <c r="A13" s="235"/>
      <c r="B13" s="12" t="s">
        <v>72</v>
      </c>
      <c r="C13" s="252" t="s">
        <v>194</v>
      </c>
      <c r="D13" s="253"/>
      <c r="E13" s="253"/>
      <c r="F13" s="253"/>
      <c r="G13" s="254"/>
      <c r="J13" s="1">
        <f>478.15*0.0787</f>
        <v>37.630405</v>
      </c>
      <c r="K13"/>
    </row>
    <row r="14" spans="1:11" ht="47.25">
      <c r="A14" s="235"/>
      <c r="B14" s="12" t="s">
        <v>73</v>
      </c>
      <c r="C14" s="255"/>
      <c r="D14" s="256"/>
      <c r="E14" s="256"/>
      <c r="F14" s="256"/>
      <c r="G14" s="257"/>
      <c r="K14"/>
    </row>
    <row r="15" spans="1:7" ht="15.75">
      <c r="A15" s="235" t="s">
        <v>74</v>
      </c>
      <c r="B15" s="247" t="s">
        <v>75</v>
      </c>
      <c r="C15" s="247"/>
      <c r="D15" s="247"/>
      <c r="E15" s="247"/>
      <c r="F15" s="247"/>
      <c r="G15" s="248"/>
    </row>
    <row r="16" spans="1:7" ht="15.75">
      <c r="A16" s="235"/>
      <c r="B16" s="12" t="s">
        <v>72</v>
      </c>
      <c r="C16" s="49" t="s">
        <v>76</v>
      </c>
      <c r="D16" s="175" t="s">
        <v>35</v>
      </c>
      <c r="E16" s="240">
        <f>6.73*1.5</f>
        <v>10.095</v>
      </c>
      <c r="F16" s="241"/>
      <c r="G16" s="242"/>
    </row>
    <row r="17" spans="1:7" ht="47.25">
      <c r="A17" s="235"/>
      <c r="B17" s="12" t="s">
        <v>73</v>
      </c>
      <c r="C17" s="49" t="s">
        <v>134</v>
      </c>
      <c r="D17" s="180"/>
      <c r="E17" s="240">
        <f>2.4*6.73</f>
        <v>16.152</v>
      </c>
      <c r="F17" s="241"/>
      <c r="G17" s="242"/>
    </row>
    <row r="18" spans="1:7" ht="15.75">
      <c r="A18" s="235" t="s">
        <v>77</v>
      </c>
      <c r="B18" s="237" t="s">
        <v>78</v>
      </c>
      <c r="C18" s="238"/>
      <c r="D18" s="238"/>
      <c r="E18" s="238"/>
      <c r="F18" s="238"/>
      <c r="G18" s="239"/>
    </row>
    <row r="19" spans="1:7" ht="15.75">
      <c r="A19" s="235"/>
      <c r="B19" s="12" t="s">
        <v>72</v>
      </c>
      <c r="C19" s="49" t="s">
        <v>52</v>
      </c>
      <c r="D19" s="175" t="s">
        <v>35</v>
      </c>
      <c r="E19" s="240">
        <f>8.73*2.5</f>
        <v>21.825000000000003</v>
      </c>
      <c r="F19" s="241"/>
      <c r="G19" s="242"/>
    </row>
    <row r="20" spans="1:7" ht="48" thickBot="1">
      <c r="A20" s="236"/>
      <c r="B20" s="21" t="s">
        <v>73</v>
      </c>
      <c r="C20" s="99" t="s">
        <v>79</v>
      </c>
      <c r="D20" s="176"/>
      <c r="E20" s="243">
        <f>8.73*4.2</f>
        <v>36.666000000000004</v>
      </c>
      <c r="F20" s="244"/>
      <c r="G20" s="245"/>
    </row>
    <row r="21" spans="1:7" ht="15.75">
      <c r="A21" s="8">
        <v>5</v>
      </c>
      <c r="B21" s="9" t="s">
        <v>136</v>
      </c>
      <c r="C21" s="10" t="s">
        <v>135</v>
      </c>
      <c r="D21" s="24" t="s">
        <v>35</v>
      </c>
      <c r="E21" s="205">
        <v>14.17</v>
      </c>
      <c r="F21" s="205"/>
      <c r="G21" s="206"/>
    </row>
    <row r="22" spans="1:7" ht="16.5" thickBot="1">
      <c r="A22" s="14"/>
      <c r="B22" s="15" t="s">
        <v>209</v>
      </c>
      <c r="C22" s="16"/>
      <c r="D22" s="26" t="s">
        <v>35</v>
      </c>
      <c r="E22" s="258">
        <v>3.2</v>
      </c>
      <c r="F22" s="258"/>
      <c r="G22" s="259"/>
    </row>
    <row r="23" spans="1:7" ht="15.75">
      <c r="A23" s="1" t="s">
        <v>80</v>
      </c>
      <c r="D23" s="23"/>
      <c r="E23" s="5"/>
      <c r="F23" s="5"/>
      <c r="G23" s="5"/>
    </row>
    <row r="24" spans="4:7" ht="15.75">
      <c r="D24" s="23"/>
      <c r="E24" s="5"/>
      <c r="F24" s="5"/>
      <c r="G24" s="5"/>
    </row>
    <row r="25" spans="1:7" ht="31.5" customHeight="1">
      <c r="A25" s="174" t="s">
        <v>101</v>
      </c>
      <c r="B25" s="174"/>
      <c r="C25" s="174"/>
      <c r="D25" s="174"/>
      <c r="E25" s="174"/>
      <c r="F25" s="174"/>
      <c r="G25" s="174"/>
    </row>
    <row r="26" spans="1:7" ht="15.75">
      <c r="A26" s="59"/>
      <c r="B26" s="59"/>
      <c r="C26" s="59"/>
      <c r="D26" s="59"/>
      <c r="E26" s="59"/>
      <c r="F26" s="59"/>
      <c r="G26" s="59"/>
    </row>
    <row r="27" spans="1:7" ht="31.5" customHeight="1">
      <c r="A27" s="174" t="s">
        <v>102</v>
      </c>
      <c r="B27" s="174"/>
      <c r="C27" s="174"/>
      <c r="D27" s="174"/>
      <c r="E27" s="174"/>
      <c r="F27" s="174"/>
      <c r="G27" s="174"/>
    </row>
    <row r="28" spans="4:7" ht="15.75">
      <c r="D28" s="23"/>
      <c r="E28" s="5"/>
      <c r="F28" s="5"/>
      <c r="G28" s="5"/>
    </row>
    <row r="29" spans="1:7" ht="15.75">
      <c r="A29" s="1" t="s">
        <v>81</v>
      </c>
      <c r="D29" s="23"/>
      <c r="E29" s="5"/>
      <c r="F29" s="5"/>
      <c r="G29" s="5"/>
    </row>
  </sheetData>
  <mergeCells count="24">
    <mergeCell ref="E22:G22"/>
    <mergeCell ref="A25:G25"/>
    <mergeCell ref="A27:G27"/>
    <mergeCell ref="F5:G5"/>
    <mergeCell ref="F8:G8"/>
    <mergeCell ref="A10:A11"/>
    <mergeCell ref="B10:G10"/>
    <mergeCell ref="A15:A17"/>
    <mergeCell ref="B15:G15"/>
    <mergeCell ref="E9:G9"/>
    <mergeCell ref="D16:D17"/>
    <mergeCell ref="E16:G16"/>
    <mergeCell ref="E17:G17"/>
    <mergeCell ref="A6:G6"/>
    <mergeCell ref="A12:A14"/>
    <mergeCell ref="B12:G12"/>
    <mergeCell ref="C11:G11"/>
    <mergeCell ref="C13:G14"/>
    <mergeCell ref="E21:G21"/>
    <mergeCell ref="A18:A20"/>
    <mergeCell ref="B18:G18"/>
    <mergeCell ref="D19:D20"/>
    <mergeCell ref="E19:G19"/>
    <mergeCell ref="E20:G20"/>
  </mergeCells>
  <printOptions/>
  <pageMargins left="0.59" right="0.34" top="0.17" bottom="0.49" header="0.19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0">
      <selection activeCell="C39" sqref="C39"/>
    </sheetView>
  </sheetViews>
  <sheetFormatPr defaultColWidth="9.140625" defaultRowHeight="12.75" outlineLevelRow="1"/>
  <cols>
    <col min="1" max="1" width="4.140625" style="1" customWidth="1"/>
    <col min="2" max="2" width="41.57421875" style="1" customWidth="1"/>
    <col min="3" max="3" width="19.28125" style="1" customWidth="1"/>
    <col min="4" max="4" width="13.140625" style="1" bestFit="1" customWidth="1"/>
    <col min="5" max="5" width="13.8515625" style="1" customWidth="1"/>
    <col min="6" max="6" width="12.421875" style="1" customWidth="1"/>
    <col min="7" max="7" width="13.140625" style="1" customWidth="1"/>
    <col min="8" max="16384" width="9.140625" style="1" customWidth="1"/>
  </cols>
  <sheetData>
    <row r="1" ht="15.75">
      <c r="E1" s="33" t="s">
        <v>40</v>
      </c>
    </row>
    <row r="2" ht="15.75">
      <c r="E2" s="33" t="s">
        <v>1</v>
      </c>
    </row>
    <row r="3" ht="15.75">
      <c r="E3" s="33" t="s">
        <v>2</v>
      </c>
    </row>
    <row r="4" ht="15.75">
      <c r="E4" s="33" t="s">
        <v>4</v>
      </c>
    </row>
    <row r="7" spans="1:7" ht="39" customHeight="1">
      <c r="A7" s="178" t="s">
        <v>37</v>
      </c>
      <c r="B7" s="178"/>
      <c r="C7" s="178"/>
      <c r="D7" s="178"/>
      <c r="E7" s="178"/>
      <c r="F7" s="178"/>
      <c r="G7" s="178"/>
    </row>
    <row r="8" spans="1:7" ht="18.75">
      <c r="A8" s="4"/>
      <c r="B8" s="4"/>
      <c r="C8" s="4"/>
      <c r="D8" s="4"/>
      <c r="E8" s="4"/>
      <c r="F8" s="4"/>
      <c r="G8" s="4"/>
    </row>
    <row r="9" spans="6:7" ht="16.5" thickBot="1">
      <c r="F9" s="210" t="s">
        <v>67</v>
      </c>
      <c r="G9" s="210"/>
    </row>
    <row r="10" spans="1:7" s="48" customFormat="1" ht="48" thickBot="1">
      <c r="A10" s="46" t="s">
        <v>33</v>
      </c>
      <c r="B10" s="47" t="s">
        <v>14</v>
      </c>
      <c r="C10" s="47" t="s">
        <v>23</v>
      </c>
      <c r="D10" s="47" t="s">
        <v>15</v>
      </c>
      <c r="E10" s="169" t="s">
        <v>195</v>
      </c>
      <c r="F10" s="220"/>
      <c r="G10" s="221"/>
    </row>
    <row r="11" spans="1:7" s="42" customFormat="1" ht="16.5" hidden="1" outlineLevel="1" thickBot="1">
      <c r="A11" s="39"/>
      <c r="B11" s="40" t="s">
        <v>54</v>
      </c>
      <c r="C11" s="40"/>
      <c r="D11" s="41"/>
      <c r="E11" s="264">
        <v>5.7</v>
      </c>
      <c r="F11" s="265"/>
      <c r="G11" s="266"/>
    </row>
    <row r="12" spans="1:7" ht="31.5" collapsed="1">
      <c r="A12" s="8">
        <v>1</v>
      </c>
      <c r="B12" s="35" t="s">
        <v>107</v>
      </c>
      <c r="C12" s="10" t="s">
        <v>51</v>
      </c>
      <c r="D12" s="43" t="s">
        <v>35</v>
      </c>
      <c r="E12" s="222">
        <f>E11*1.5</f>
        <v>8.55</v>
      </c>
      <c r="F12" s="223"/>
      <c r="G12" s="224"/>
    </row>
    <row r="13" spans="1:7" ht="31.5" customHeight="1">
      <c r="A13" s="11">
        <v>2</v>
      </c>
      <c r="B13" s="36" t="s">
        <v>41</v>
      </c>
      <c r="C13" s="13"/>
      <c r="D13" s="38"/>
      <c r="E13" s="207"/>
      <c r="F13" s="208"/>
      <c r="G13" s="209"/>
    </row>
    <row r="14" spans="1:7" ht="15.75">
      <c r="A14" s="11"/>
      <c r="B14" s="36" t="s">
        <v>38</v>
      </c>
      <c r="C14" s="13" t="s">
        <v>52</v>
      </c>
      <c r="D14" s="38" t="s">
        <v>35</v>
      </c>
      <c r="E14" s="207">
        <f>E11*2.5</f>
        <v>14.25</v>
      </c>
      <c r="F14" s="208"/>
      <c r="G14" s="209"/>
    </row>
    <row r="15" spans="1:7" ht="15.75">
      <c r="A15" s="11"/>
      <c r="B15" s="36" t="s">
        <v>39</v>
      </c>
      <c r="C15" s="13" t="s">
        <v>53</v>
      </c>
      <c r="D15" s="38" t="s">
        <v>35</v>
      </c>
      <c r="E15" s="207">
        <f>E11*3.7</f>
        <v>21.090000000000003</v>
      </c>
      <c r="F15" s="208"/>
      <c r="G15" s="209"/>
    </row>
    <row r="16" spans="1:7" ht="47.25">
      <c r="A16" s="11">
        <v>3</v>
      </c>
      <c r="B16" s="36" t="s">
        <v>109</v>
      </c>
      <c r="C16" s="13"/>
      <c r="D16" s="38"/>
      <c r="E16" s="267"/>
      <c r="F16" s="268"/>
      <c r="G16" s="269"/>
    </row>
    <row r="17" spans="1:7" ht="15.75">
      <c r="A17" s="11"/>
      <c r="B17" s="36" t="s">
        <v>42</v>
      </c>
      <c r="C17" s="13" t="s">
        <v>26</v>
      </c>
      <c r="D17" s="38"/>
      <c r="E17" s="267">
        <f>E11*6.3</f>
        <v>35.91</v>
      </c>
      <c r="F17" s="268"/>
      <c r="G17" s="269"/>
    </row>
    <row r="18" spans="1:7" ht="15.75">
      <c r="A18" s="11"/>
      <c r="B18" s="36" t="s">
        <v>43</v>
      </c>
      <c r="C18" s="13" t="s">
        <v>55</v>
      </c>
      <c r="D18" s="38"/>
      <c r="E18" s="267">
        <f>E11*4.5</f>
        <v>25.650000000000002</v>
      </c>
      <c r="F18" s="268"/>
      <c r="G18" s="269"/>
    </row>
    <row r="19" spans="1:7" ht="31.5">
      <c r="A19" s="11"/>
      <c r="B19" s="36" t="s">
        <v>44</v>
      </c>
      <c r="C19" s="12" t="s">
        <v>56</v>
      </c>
      <c r="D19" s="38" t="s">
        <v>34</v>
      </c>
      <c r="E19" s="267">
        <f>E11</f>
        <v>5.7</v>
      </c>
      <c r="F19" s="268"/>
      <c r="G19" s="269"/>
    </row>
    <row r="20" spans="1:7" ht="29.25" customHeight="1">
      <c r="A20" s="11">
        <v>4</v>
      </c>
      <c r="B20" s="36" t="s">
        <v>108</v>
      </c>
      <c r="C20" s="13" t="s">
        <v>57</v>
      </c>
      <c r="D20" s="38" t="s">
        <v>34</v>
      </c>
      <c r="E20" s="207" t="s">
        <v>194</v>
      </c>
      <c r="F20" s="208"/>
      <c r="G20" s="209"/>
    </row>
    <row r="21" spans="1:7" ht="31.5">
      <c r="A21" s="11">
        <v>5</v>
      </c>
      <c r="B21" s="36" t="s">
        <v>45</v>
      </c>
      <c r="C21" s="12" t="s">
        <v>58</v>
      </c>
      <c r="D21" s="38" t="s">
        <v>65</v>
      </c>
      <c r="E21" s="207">
        <f>E11*0.24</f>
        <v>1.3679999999999999</v>
      </c>
      <c r="F21" s="208"/>
      <c r="G21" s="209"/>
    </row>
    <row r="22" spans="1:7" ht="31.5">
      <c r="A22" s="20"/>
      <c r="B22" s="37" t="s">
        <v>46</v>
      </c>
      <c r="C22" s="21" t="s">
        <v>59</v>
      </c>
      <c r="D22" s="38" t="s">
        <v>65</v>
      </c>
      <c r="E22" s="207">
        <f>E11*0.18</f>
        <v>1.026</v>
      </c>
      <c r="F22" s="208"/>
      <c r="G22" s="209"/>
    </row>
    <row r="23" spans="1:7" ht="15.75">
      <c r="A23" s="11">
        <v>6</v>
      </c>
      <c r="B23" s="36" t="s">
        <v>47</v>
      </c>
      <c r="C23" s="13"/>
      <c r="D23" s="38"/>
      <c r="E23" s="267"/>
      <c r="F23" s="268"/>
      <c r="G23" s="269"/>
    </row>
    <row r="24" spans="1:7" ht="15.75">
      <c r="A24" s="11"/>
      <c r="B24" s="36" t="s">
        <v>48</v>
      </c>
      <c r="C24" s="13" t="s">
        <v>60</v>
      </c>
      <c r="D24" s="270" t="s">
        <v>66</v>
      </c>
      <c r="E24" s="207">
        <f>E11*1.5</f>
        <v>8.55</v>
      </c>
      <c r="F24" s="208"/>
      <c r="G24" s="209"/>
    </row>
    <row r="25" spans="1:7" ht="15.75">
      <c r="A25" s="11"/>
      <c r="B25" s="36" t="s">
        <v>49</v>
      </c>
      <c r="C25" s="13" t="s">
        <v>61</v>
      </c>
      <c r="D25" s="271"/>
      <c r="E25" s="267">
        <f>E11*0.6</f>
        <v>3.42</v>
      </c>
      <c r="F25" s="268"/>
      <c r="G25" s="269"/>
    </row>
    <row r="26" spans="1:7" ht="15.75">
      <c r="A26" s="11"/>
      <c r="B26" s="36" t="s">
        <v>64</v>
      </c>
      <c r="C26" s="13" t="s">
        <v>63</v>
      </c>
      <c r="D26" s="272"/>
      <c r="E26" s="207">
        <f>E11*0.45</f>
        <v>2.565</v>
      </c>
      <c r="F26" s="208"/>
      <c r="G26" s="209"/>
    </row>
    <row r="27" spans="1:7" ht="31.5">
      <c r="A27" s="11">
        <v>7</v>
      </c>
      <c r="B27" s="36" t="s">
        <v>50</v>
      </c>
      <c r="C27" s="13"/>
      <c r="D27" s="38" t="s">
        <v>62</v>
      </c>
      <c r="E27" s="207">
        <f>0.05*1.19</f>
        <v>0.0595</v>
      </c>
      <c r="F27" s="208"/>
      <c r="G27" s="209"/>
    </row>
    <row r="28" spans="1:7" ht="32.25" thickBot="1">
      <c r="A28" s="11">
        <v>8</v>
      </c>
      <c r="B28" s="36" t="s">
        <v>119</v>
      </c>
      <c r="C28" s="13" t="s">
        <v>24</v>
      </c>
      <c r="D28" s="38" t="s">
        <v>65</v>
      </c>
      <c r="E28" s="207" t="s">
        <v>194</v>
      </c>
      <c r="F28" s="208"/>
      <c r="G28" s="209"/>
    </row>
    <row r="29" spans="1:7" ht="15.75">
      <c r="A29" s="8">
        <v>9</v>
      </c>
      <c r="B29" s="9" t="s">
        <v>136</v>
      </c>
      <c r="C29" s="10" t="s">
        <v>135</v>
      </c>
      <c r="D29" s="24" t="s">
        <v>35</v>
      </c>
      <c r="E29" s="205">
        <v>14.17</v>
      </c>
      <c r="F29" s="205"/>
      <c r="G29" s="206"/>
    </row>
    <row r="30" spans="1:7" ht="16.5" thickBot="1">
      <c r="A30" s="14"/>
      <c r="B30" s="15" t="s">
        <v>210</v>
      </c>
      <c r="C30" s="16"/>
      <c r="D30" s="26" t="s">
        <v>35</v>
      </c>
      <c r="E30" s="258">
        <v>3.2</v>
      </c>
      <c r="F30" s="258"/>
      <c r="G30" s="259"/>
    </row>
    <row r="31" spans="1:7" ht="15.75">
      <c r="A31" s="1" t="s">
        <v>80</v>
      </c>
      <c r="D31" s="23"/>
      <c r="E31" s="5"/>
      <c r="F31" s="5"/>
      <c r="G31" s="5"/>
    </row>
    <row r="32" spans="4:7" ht="15.75">
      <c r="D32" s="23"/>
      <c r="E32" s="5"/>
      <c r="F32" s="5"/>
      <c r="G32" s="5"/>
    </row>
    <row r="33" spans="1:7" ht="33" customHeight="1">
      <c r="A33" s="174" t="s">
        <v>101</v>
      </c>
      <c r="B33" s="174"/>
      <c r="C33" s="174"/>
      <c r="D33" s="174"/>
      <c r="E33" s="174"/>
      <c r="F33" s="174"/>
      <c r="G33" s="174"/>
    </row>
    <row r="34" spans="1:7" ht="15.75">
      <c r="A34" s="59"/>
      <c r="B34" s="59"/>
      <c r="C34" s="59"/>
      <c r="D34" s="59"/>
      <c r="E34" s="59"/>
      <c r="F34" s="59"/>
      <c r="G34" s="59"/>
    </row>
    <row r="35" spans="1:7" ht="31.5" customHeight="1">
      <c r="A35" s="174" t="s">
        <v>102</v>
      </c>
      <c r="B35" s="174"/>
      <c r="C35" s="174"/>
      <c r="D35" s="174"/>
      <c r="E35" s="174"/>
      <c r="F35" s="174"/>
      <c r="G35" s="174"/>
    </row>
    <row r="36" spans="4:7" ht="15.75">
      <c r="D36" s="23"/>
      <c r="E36" s="5"/>
      <c r="F36" s="5"/>
      <c r="G36" s="5"/>
    </row>
    <row r="37" spans="1:7" ht="15.75">
      <c r="A37" s="1" t="s">
        <v>81</v>
      </c>
      <c r="D37" s="23"/>
      <c r="E37" s="5"/>
      <c r="F37" s="5"/>
      <c r="G37" s="5"/>
    </row>
  </sheetData>
  <mergeCells count="26">
    <mergeCell ref="E30:G30"/>
    <mergeCell ref="A33:G33"/>
    <mergeCell ref="A35:G35"/>
    <mergeCell ref="E16:G16"/>
    <mergeCell ref="E17:G17"/>
    <mergeCell ref="D24:D26"/>
    <mergeCell ref="E24:G24"/>
    <mergeCell ref="E25:G25"/>
    <mergeCell ref="E26:G26"/>
    <mergeCell ref="E27:G27"/>
    <mergeCell ref="E23:G23"/>
    <mergeCell ref="E18:G18"/>
    <mergeCell ref="E20:G20"/>
    <mergeCell ref="E19:G19"/>
    <mergeCell ref="E21:G21"/>
    <mergeCell ref="E22:G22"/>
    <mergeCell ref="E29:G29"/>
    <mergeCell ref="E28:G28"/>
    <mergeCell ref="A7:G7"/>
    <mergeCell ref="E11:G11"/>
    <mergeCell ref="E12:G12"/>
    <mergeCell ref="E13:G13"/>
    <mergeCell ref="F9:G9"/>
    <mergeCell ref="E10:G10"/>
    <mergeCell ref="E14:G14"/>
    <mergeCell ref="E15:G15"/>
  </mergeCells>
  <printOptions/>
  <pageMargins left="0.53" right="0.24" top="0.17" bottom="1" header="0.17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workbookViewId="0" topLeftCell="A4">
      <selection activeCell="L40" sqref="L40"/>
    </sheetView>
  </sheetViews>
  <sheetFormatPr defaultColWidth="9.140625" defaultRowHeight="12.75" outlineLevelRow="1"/>
  <cols>
    <col min="1" max="1" width="13.140625" style="1" customWidth="1"/>
    <col min="2" max="2" width="34.28125" style="131" customWidth="1"/>
    <col min="3" max="3" width="19.7109375" style="33" customWidth="1"/>
    <col min="4" max="4" width="10.7109375" style="1" customWidth="1"/>
    <col min="5" max="6" width="9.8515625" style="1" bestFit="1" customWidth="1"/>
    <col min="7" max="7" width="9.8515625" style="1" customWidth="1"/>
    <col min="8" max="15" width="9.140625" style="1" customWidth="1"/>
    <col min="16" max="16" width="10.140625" style="1" customWidth="1"/>
    <col min="17" max="17" width="13.28125" style="1" customWidth="1"/>
    <col min="18" max="18" width="15.57421875" style="1" customWidth="1"/>
    <col min="19" max="19" width="21.28125" style="1" customWidth="1"/>
    <col min="20" max="16384" width="9.140625" style="1" customWidth="1"/>
  </cols>
  <sheetData>
    <row r="1" ht="18.75">
      <c r="Q1" s="85" t="s">
        <v>0</v>
      </c>
    </row>
    <row r="2" ht="18.75">
      <c r="Q2" s="85" t="s">
        <v>1</v>
      </c>
    </row>
    <row r="3" ht="18.75">
      <c r="Q3" s="85" t="s">
        <v>2</v>
      </c>
    </row>
    <row r="4" ht="18.75">
      <c r="Q4" s="85" t="s">
        <v>4</v>
      </c>
    </row>
    <row r="6" spans="1:19" ht="18.75" customHeight="1">
      <c r="A6" s="278" t="s">
        <v>167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</row>
    <row r="7" ht="16.5" thickBot="1"/>
    <row r="8" spans="1:19" s="55" customFormat="1" ht="63.75" thickBot="1">
      <c r="A8" s="287" t="s">
        <v>68</v>
      </c>
      <c r="B8" s="288"/>
      <c r="C8" s="289"/>
      <c r="D8" s="102" t="s">
        <v>169</v>
      </c>
      <c r="E8" s="102" t="s">
        <v>170</v>
      </c>
      <c r="F8" s="102" t="s">
        <v>171</v>
      </c>
      <c r="G8" s="102" t="s">
        <v>172</v>
      </c>
      <c r="H8" s="102" t="s">
        <v>177</v>
      </c>
      <c r="I8" s="102" t="s">
        <v>176</v>
      </c>
      <c r="J8" s="102" t="s">
        <v>178</v>
      </c>
      <c r="K8" s="102" t="s">
        <v>179</v>
      </c>
      <c r="L8" s="102" t="s">
        <v>180</v>
      </c>
      <c r="M8" s="102" t="s">
        <v>181</v>
      </c>
      <c r="N8" s="102" t="s">
        <v>182</v>
      </c>
      <c r="O8" s="102" t="s">
        <v>183</v>
      </c>
      <c r="P8" s="102" t="s">
        <v>184</v>
      </c>
      <c r="Q8" s="102" t="s">
        <v>173</v>
      </c>
      <c r="R8" s="102" t="s">
        <v>174</v>
      </c>
      <c r="S8" s="103" t="s">
        <v>175</v>
      </c>
    </row>
    <row r="9" spans="1:19" ht="18.75" customHeight="1">
      <c r="A9" s="306" t="s">
        <v>168</v>
      </c>
      <c r="B9" s="307"/>
      <c r="C9" s="307"/>
      <c r="D9" s="51">
        <f>(298.18+124.86)*1.18</f>
        <v>499.1872</v>
      </c>
      <c r="E9" s="51">
        <f>(312.9+92.31)*1.18</f>
        <v>478.14779999999996</v>
      </c>
      <c r="F9" s="51">
        <f>(368.41+59.5)*1.18</f>
        <v>504.9338</v>
      </c>
      <c r="G9" s="51">
        <v>509.14</v>
      </c>
      <c r="H9" s="51">
        <f>(534.91+102.56)*1.18</f>
        <v>752.2146</v>
      </c>
      <c r="I9" s="51">
        <f>(507.24+59.5)*1.18</f>
        <v>668.7532</v>
      </c>
      <c r="J9" s="51">
        <f>(521.5+59.5)*1.18</f>
        <v>685.5799999999999</v>
      </c>
      <c r="K9" s="51">
        <f>(415.12+59.5)*1.18</f>
        <v>560.0516</v>
      </c>
      <c r="L9" s="51">
        <f>(489.44+102.56)*1.18</f>
        <v>698.56</v>
      </c>
      <c r="M9" s="51">
        <f>771.33*1.18</f>
        <v>910.1694</v>
      </c>
      <c r="N9" s="51">
        <f>740.59*1.18</f>
        <v>873.8962</v>
      </c>
      <c r="O9" s="51">
        <f>491.15*1.18</f>
        <v>579.5569999999999</v>
      </c>
      <c r="P9" s="51">
        <f>491.15*1.18</f>
        <v>579.5569999999999</v>
      </c>
      <c r="Q9" s="51">
        <f>657*1.18</f>
        <v>775.26</v>
      </c>
      <c r="R9" s="51">
        <f>(744.32+108.9)*1.18</f>
        <v>1006.7995999999999</v>
      </c>
      <c r="S9" s="104">
        <f>1331.78*1.18</f>
        <v>1571.5004</v>
      </c>
    </row>
    <row r="10" spans="1:19" ht="18.75" customHeight="1">
      <c r="A10" s="306" t="s">
        <v>217</v>
      </c>
      <c r="B10" s="307"/>
      <c r="C10" s="307"/>
      <c r="D10" s="51">
        <f>D9</f>
        <v>499.1872</v>
      </c>
      <c r="E10" s="51">
        <f>E9</f>
        <v>478.14779999999996</v>
      </c>
      <c r="F10" s="51">
        <f>F9</f>
        <v>504.9338</v>
      </c>
      <c r="G10" s="290">
        <v>509.14</v>
      </c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2"/>
    </row>
    <row r="11" spans="1:19" ht="21" customHeight="1">
      <c r="A11" s="306" t="s">
        <v>218</v>
      </c>
      <c r="B11" s="307"/>
      <c r="C11" s="307"/>
      <c r="D11" s="50"/>
      <c r="E11" s="50"/>
      <c r="F11" s="50"/>
      <c r="G11" s="51">
        <f aca="true" t="shared" si="0" ref="G11:S11">G9-$G$10</f>
        <v>0</v>
      </c>
      <c r="H11" s="51">
        <f t="shared" si="0"/>
        <v>243.07460000000003</v>
      </c>
      <c r="I11" s="51">
        <f t="shared" si="0"/>
        <v>159.6132</v>
      </c>
      <c r="J11" s="51">
        <f t="shared" si="0"/>
        <v>176.43999999999994</v>
      </c>
      <c r="K11" s="51">
        <f t="shared" si="0"/>
        <v>50.91160000000002</v>
      </c>
      <c r="L11" s="51">
        <f t="shared" si="0"/>
        <v>189.41999999999996</v>
      </c>
      <c r="M11" s="51">
        <f t="shared" si="0"/>
        <v>401.0294</v>
      </c>
      <c r="N11" s="51">
        <f t="shared" si="0"/>
        <v>364.75620000000004</v>
      </c>
      <c r="O11" s="51">
        <f t="shared" si="0"/>
        <v>70.41699999999992</v>
      </c>
      <c r="P11" s="51">
        <f t="shared" si="0"/>
        <v>70.41699999999992</v>
      </c>
      <c r="Q11" s="51">
        <f t="shared" si="0"/>
        <v>266.12</v>
      </c>
      <c r="R11" s="51">
        <f t="shared" si="0"/>
        <v>497.65959999999995</v>
      </c>
      <c r="S11" s="104">
        <f t="shared" si="0"/>
        <v>1062.3604</v>
      </c>
    </row>
    <row r="12" spans="1:19" ht="20.25" customHeight="1" thickBot="1">
      <c r="A12" s="279" t="s">
        <v>185</v>
      </c>
      <c r="B12" s="281" t="s">
        <v>211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3"/>
    </row>
    <row r="13" spans="1:19" ht="31.5">
      <c r="A13" s="280"/>
      <c r="B13" s="296" t="s">
        <v>186</v>
      </c>
      <c r="C13" s="54" t="s">
        <v>215</v>
      </c>
      <c r="D13" s="132">
        <f>D9*0.27</f>
        <v>134.78054400000002</v>
      </c>
      <c r="E13" s="132">
        <f>E9*0.27</f>
        <v>129.099906</v>
      </c>
      <c r="F13" s="132">
        <f>F9*0.27</f>
        <v>136.33212600000002</v>
      </c>
      <c r="G13" s="132">
        <f>G9*0.27</f>
        <v>137.4678</v>
      </c>
      <c r="H13" s="132">
        <f>H9*0.27</f>
        <v>203.09794200000002</v>
      </c>
      <c r="I13" s="132">
        <f aca="true" t="shared" si="1" ref="I13:S13">I9*0.27</f>
        <v>180.563364</v>
      </c>
      <c r="J13" s="132">
        <f t="shared" si="1"/>
        <v>185.1066</v>
      </c>
      <c r="K13" s="132">
        <f t="shared" si="1"/>
        <v>151.213932</v>
      </c>
      <c r="L13" s="132">
        <f t="shared" si="1"/>
        <v>188.6112</v>
      </c>
      <c r="M13" s="132">
        <f t="shared" si="1"/>
        <v>245.74573800000002</v>
      </c>
      <c r="N13" s="132">
        <f t="shared" si="1"/>
        <v>235.95197400000004</v>
      </c>
      <c r="O13" s="132">
        <f t="shared" si="1"/>
        <v>156.48038999999997</v>
      </c>
      <c r="P13" s="132">
        <f t="shared" si="1"/>
        <v>156.48038999999997</v>
      </c>
      <c r="Q13" s="132">
        <f t="shared" si="1"/>
        <v>209.3202</v>
      </c>
      <c r="R13" s="132">
        <f t="shared" si="1"/>
        <v>271.835892</v>
      </c>
      <c r="S13" s="133">
        <f t="shared" si="1"/>
        <v>424.305108</v>
      </c>
    </row>
    <row r="14" spans="1:19" ht="30.75" customHeight="1" thickBot="1">
      <c r="A14" s="280"/>
      <c r="B14" s="297"/>
      <c r="C14" s="58" t="s">
        <v>216</v>
      </c>
      <c r="D14" s="134">
        <f>D9*0.27</f>
        <v>134.78054400000002</v>
      </c>
      <c r="E14" s="134">
        <f>E9*0.27</f>
        <v>129.099906</v>
      </c>
      <c r="F14" s="134">
        <f>F9*0.27</f>
        <v>136.33212600000002</v>
      </c>
      <c r="G14" s="273">
        <f>$G$10*0.27</f>
        <v>137.4678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5"/>
    </row>
    <row r="15" spans="1:19" ht="31.5">
      <c r="A15" s="280"/>
      <c r="B15" s="296" t="s">
        <v>187</v>
      </c>
      <c r="C15" s="54" t="s">
        <v>215</v>
      </c>
      <c r="D15" s="132">
        <f aca="true" t="shared" si="2" ref="D15:H16">D9*0.195</f>
        <v>97.341504</v>
      </c>
      <c r="E15" s="132">
        <f t="shared" si="2"/>
        <v>93.238821</v>
      </c>
      <c r="F15" s="132">
        <f t="shared" si="2"/>
        <v>98.462091</v>
      </c>
      <c r="G15" s="132">
        <f t="shared" si="2"/>
        <v>99.2823</v>
      </c>
      <c r="H15" s="132">
        <f t="shared" si="2"/>
        <v>146.681847</v>
      </c>
      <c r="I15" s="132">
        <f aca="true" t="shared" si="3" ref="I15:S15">I9*0.195</f>
        <v>130.40687400000002</v>
      </c>
      <c r="J15" s="132">
        <f t="shared" si="3"/>
        <v>133.6881</v>
      </c>
      <c r="K15" s="132">
        <f t="shared" si="3"/>
        <v>109.21006200000001</v>
      </c>
      <c r="L15" s="132">
        <f t="shared" si="3"/>
        <v>136.2192</v>
      </c>
      <c r="M15" s="132">
        <f t="shared" si="3"/>
        <v>177.483033</v>
      </c>
      <c r="N15" s="132">
        <f t="shared" si="3"/>
        <v>170.409759</v>
      </c>
      <c r="O15" s="132">
        <f t="shared" si="3"/>
        <v>113.01361499999999</v>
      </c>
      <c r="P15" s="132">
        <f t="shared" si="3"/>
        <v>113.01361499999999</v>
      </c>
      <c r="Q15" s="132">
        <f t="shared" si="3"/>
        <v>151.1757</v>
      </c>
      <c r="R15" s="132">
        <f t="shared" si="3"/>
        <v>196.325922</v>
      </c>
      <c r="S15" s="133">
        <f t="shared" si="3"/>
        <v>306.44257799999997</v>
      </c>
    </row>
    <row r="16" spans="1:19" ht="32.25" thickBot="1">
      <c r="A16" s="280"/>
      <c r="B16" s="297"/>
      <c r="C16" s="58" t="s">
        <v>216</v>
      </c>
      <c r="D16" s="134">
        <f t="shared" si="2"/>
        <v>97.341504</v>
      </c>
      <c r="E16" s="134">
        <f t="shared" si="2"/>
        <v>93.238821</v>
      </c>
      <c r="F16" s="134">
        <f t="shared" si="2"/>
        <v>98.462091</v>
      </c>
      <c r="G16" s="273">
        <f>G10*0.195</f>
        <v>99.2823</v>
      </c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5"/>
    </row>
    <row r="17" spans="1:19" ht="18.75" customHeight="1" thickBot="1">
      <c r="A17" s="279"/>
      <c r="B17" s="284" t="s">
        <v>212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6"/>
    </row>
    <row r="18" spans="1:19" ht="31.5">
      <c r="A18" s="280"/>
      <c r="B18" s="296" t="s">
        <v>188</v>
      </c>
      <c r="C18" s="54" t="s">
        <v>215</v>
      </c>
      <c r="D18" s="132">
        <f aca="true" t="shared" si="4" ref="D18:H19">D9*0.0373</f>
        <v>18.61968256</v>
      </c>
      <c r="E18" s="132">
        <f t="shared" si="4"/>
        <v>17.83491294</v>
      </c>
      <c r="F18" s="132">
        <f t="shared" si="4"/>
        <v>18.83403074</v>
      </c>
      <c r="G18" s="132">
        <f t="shared" si="4"/>
        <v>18.990921999999998</v>
      </c>
      <c r="H18" s="132">
        <f t="shared" si="4"/>
        <v>28.05760458</v>
      </c>
      <c r="I18" s="132">
        <f aca="true" t="shared" si="5" ref="I18:S18">I9*0.0373</f>
        <v>24.94449436</v>
      </c>
      <c r="J18" s="132">
        <f t="shared" si="5"/>
        <v>25.572134</v>
      </c>
      <c r="K18" s="132">
        <f t="shared" si="5"/>
        <v>20.88992468</v>
      </c>
      <c r="L18" s="132">
        <f t="shared" si="5"/>
        <v>26.056288</v>
      </c>
      <c r="M18" s="132">
        <f t="shared" si="5"/>
        <v>33.94931862</v>
      </c>
      <c r="N18" s="132">
        <f t="shared" si="5"/>
        <v>32.59632826</v>
      </c>
      <c r="O18" s="132">
        <f t="shared" si="5"/>
        <v>21.617476099999998</v>
      </c>
      <c r="P18" s="132">
        <f t="shared" si="5"/>
        <v>21.617476099999998</v>
      </c>
      <c r="Q18" s="132">
        <f t="shared" si="5"/>
        <v>28.917198</v>
      </c>
      <c r="R18" s="132">
        <f t="shared" si="5"/>
        <v>37.553625079999996</v>
      </c>
      <c r="S18" s="133">
        <f t="shared" si="5"/>
        <v>58.616964919999994</v>
      </c>
    </row>
    <row r="19" spans="1:19" ht="32.25" thickBot="1">
      <c r="A19" s="280"/>
      <c r="B19" s="297"/>
      <c r="C19" s="58" t="s">
        <v>216</v>
      </c>
      <c r="D19" s="134">
        <f t="shared" si="4"/>
        <v>18.61968256</v>
      </c>
      <c r="E19" s="134">
        <f t="shared" si="4"/>
        <v>17.83491294</v>
      </c>
      <c r="F19" s="134">
        <f t="shared" si="4"/>
        <v>18.83403074</v>
      </c>
      <c r="G19" s="273">
        <f>G10*0.0373</f>
        <v>18.990921999999998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</row>
    <row r="20" spans="1:19" ht="19.5" thickBot="1">
      <c r="A20" s="279" t="s">
        <v>189</v>
      </c>
      <c r="B20" s="284" t="s">
        <v>211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6"/>
    </row>
    <row r="21" spans="1:19" ht="31.5">
      <c r="A21" s="280"/>
      <c r="B21" s="296" t="s">
        <v>190</v>
      </c>
      <c r="C21" s="54" t="s">
        <v>215</v>
      </c>
      <c r="D21" s="132">
        <f aca="true" t="shared" si="6" ref="D21:H22">D9*0.0787</f>
        <v>39.28603264</v>
      </c>
      <c r="E21" s="132">
        <f t="shared" si="6"/>
        <v>37.63023186</v>
      </c>
      <c r="F21" s="132">
        <f t="shared" si="6"/>
        <v>39.738290060000004</v>
      </c>
      <c r="G21" s="132">
        <f t="shared" si="6"/>
        <v>40.069318</v>
      </c>
      <c r="H21" s="132">
        <f t="shared" si="6"/>
        <v>59.19928902000001</v>
      </c>
      <c r="I21" s="132">
        <f aca="true" t="shared" si="7" ref="I21:S21">I9*0.0787</f>
        <v>52.630876840000006</v>
      </c>
      <c r="J21" s="132">
        <f t="shared" si="7"/>
        <v>53.955146</v>
      </c>
      <c r="K21" s="132">
        <f t="shared" si="7"/>
        <v>44.07606092</v>
      </c>
      <c r="L21" s="132">
        <f t="shared" si="7"/>
        <v>54.976672</v>
      </c>
      <c r="M21" s="132">
        <f t="shared" si="7"/>
        <v>71.63033178</v>
      </c>
      <c r="N21" s="132">
        <f t="shared" si="7"/>
        <v>68.77563094000001</v>
      </c>
      <c r="O21" s="132">
        <f t="shared" si="7"/>
        <v>45.611135899999994</v>
      </c>
      <c r="P21" s="132">
        <f t="shared" si="7"/>
        <v>45.611135899999994</v>
      </c>
      <c r="Q21" s="132">
        <f t="shared" si="7"/>
        <v>61.012962</v>
      </c>
      <c r="R21" s="132">
        <f t="shared" si="7"/>
        <v>79.23512852</v>
      </c>
      <c r="S21" s="133">
        <f t="shared" si="7"/>
        <v>123.67708148</v>
      </c>
    </row>
    <row r="22" spans="1:19" ht="32.25" thickBot="1">
      <c r="A22" s="280"/>
      <c r="B22" s="297"/>
      <c r="C22" s="58" t="s">
        <v>216</v>
      </c>
      <c r="D22" s="134">
        <f t="shared" si="6"/>
        <v>39.28603264</v>
      </c>
      <c r="E22" s="134">
        <f t="shared" si="6"/>
        <v>37.63023186</v>
      </c>
      <c r="F22" s="134">
        <f t="shared" si="6"/>
        <v>39.738290060000004</v>
      </c>
      <c r="G22" s="273">
        <f>G10*0.0787</f>
        <v>40.069318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5"/>
    </row>
    <row r="23" spans="1:19" ht="31.5">
      <c r="A23" s="280"/>
      <c r="B23" s="296" t="s">
        <v>191</v>
      </c>
      <c r="C23" s="54" t="s">
        <v>215</v>
      </c>
      <c r="D23" s="132">
        <f aca="true" t="shared" si="8" ref="D23:H24">D9*0.135</f>
        <v>67.39027200000001</v>
      </c>
      <c r="E23" s="132">
        <f t="shared" si="8"/>
        <v>64.549953</v>
      </c>
      <c r="F23" s="132">
        <f t="shared" si="8"/>
        <v>68.16606300000001</v>
      </c>
      <c r="G23" s="132">
        <f t="shared" si="8"/>
        <v>68.7339</v>
      </c>
      <c r="H23" s="132">
        <f t="shared" si="8"/>
        <v>101.54897100000001</v>
      </c>
      <c r="I23" s="132">
        <f aca="true" t="shared" si="9" ref="I23:S23">I9*0.135</f>
        <v>90.281682</v>
      </c>
      <c r="J23" s="132">
        <f t="shared" si="9"/>
        <v>92.5533</v>
      </c>
      <c r="K23" s="132">
        <f t="shared" si="9"/>
        <v>75.606966</v>
      </c>
      <c r="L23" s="132">
        <f t="shared" si="9"/>
        <v>94.3056</v>
      </c>
      <c r="M23" s="132">
        <f t="shared" si="9"/>
        <v>122.87286900000001</v>
      </c>
      <c r="N23" s="132">
        <f t="shared" si="9"/>
        <v>117.97598700000002</v>
      </c>
      <c r="O23" s="132">
        <f t="shared" si="9"/>
        <v>78.24019499999999</v>
      </c>
      <c r="P23" s="132">
        <f t="shared" si="9"/>
        <v>78.24019499999999</v>
      </c>
      <c r="Q23" s="132">
        <f t="shared" si="9"/>
        <v>104.6601</v>
      </c>
      <c r="R23" s="132">
        <f t="shared" si="9"/>
        <v>135.917946</v>
      </c>
      <c r="S23" s="133">
        <f t="shared" si="9"/>
        <v>212.152554</v>
      </c>
    </row>
    <row r="24" spans="1:19" ht="32.25" thickBot="1">
      <c r="A24" s="280"/>
      <c r="B24" s="297"/>
      <c r="C24" s="58" t="s">
        <v>216</v>
      </c>
      <c r="D24" s="134">
        <f t="shared" si="8"/>
        <v>67.39027200000001</v>
      </c>
      <c r="E24" s="134">
        <f t="shared" si="8"/>
        <v>64.549953</v>
      </c>
      <c r="F24" s="134">
        <f t="shared" si="8"/>
        <v>68.16606300000001</v>
      </c>
      <c r="G24" s="273">
        <f>G10*0.135</f>
        <v>68.7339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5"/>
    </row>
    <row r="25" spans="1:19" ht="19.5" thickBot="1">
      <c r="A25" s="279"/>
      <c r="B25" s="284" t="s">
        <v>212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6"/>
    </row>
    <row r="26" spans="1:19" ht="31.5">
      <c r="A26" s="308"/>
      <c r="B26" s="296" t="s">
        <v>192</v>
      </c>
      <c r="C26" s="54" t="s">
        <v>215</v>
      </c>
      <c r="D26" s="135">
        <f aca="true" t="shared" si="10" ref="D26:H27">D9*0.0373*1.5</f>
        <v>27.92952384</v>
      </c>
      <c r="E26" s="135">
        <f t="shared" si="10"/>
        <v>26.75236941</v>
      </c>
      <c r="F26" s="135">
        <f t="shared" si="10"/>
        <v>28.251046109999997</v>
      </c>
      <c r="G26" s="135">
        <f t="shared" si="10"/>
        <v>28.486382999999996</v>
      </c>
      <c r="H26" s="135">
        <f t="shared" si="10"/>
        <v>42.08640687</v>
      </c>
      <c r="I26" s="135">
        <f aca="true" t="shared" si="11" ref="I26:S26">I9*0.0373*1.5</f>
        <v>37.416741540000004</v>
      </c>
      <c r="J26" s="135">
        <f t="shared" si="11"/>
        <v>38.358200999999994</v>
      </c>
      <c r="K26" s="135">
        <f t="shared" si="11"/>
        <v>31.33488702</v>
      </c>
      <c r="L26" s="135">
        <f t="shared" si="11"/>
        <v>39.084432</v>
      </c>
      <c r="M26" s="135">
        <f t="shared" si="11"/>
        <v>50.92397793</v>
      </c>
      <c r="N26" s="135">
        <f t="shared" si="11"/>
        <v>48.894492389999996</v>
      </c>
      <c r="O26" s="135">
        <f t="shared" si="11"/>
        <v>32.42621414999999</v>
      </c>
      <c r="P26" s="135">
        <f t="shared" si="11"/>
        <v>32.42621414999999</v>
      </c>
      <c r="Q26" s="135">
        <f t="shared" si="11"/>
        <v>43.375797</v>
      </c>
      <c r="R26" s="135">
        <f t="shared" si="11"/>
        <v>56.33043762</v>
      </c>
      <c r="S26" s="136">
        <f t="shared" si="11"/>
        <v>87.92544738</v>
      </c>
    </row>
    <row r="27" spans="1:19" ht="32.25" thickBot="1">
      <c r="A27" s="308"/>
      <c r="B27" s="297"/>
      <c r="C27" s="58" t="s">
        <v>216</v>
      </c>
      <c r="D27" s="134">
        <f t="shared" si="10"/>
        <v>27.92952384</v>
      </c>
      <c r="E27" s="134">
        <f t="shared" si="10"/>
        <v>26.75236941</v>
      </c>
      <c r="F27" s="134">
        <f t="shared" si="10"/>
        <v>28.251046109999997</v>
      </c>
      <c r="G27" s="134"/>
      <c r="H27" s="276">
        <f>G10*0.0373*1.5</f>
        <v>28.486382999999996</v>
      </c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7"/>
    </row>
    <row r="28" spans="1:19" ht="31.5">
      <c r="A28" s="303" t="s">
        <v>198</v>
      </c>
      <c r="B28" s="298" t="s">
        <v>108</v>
      </c>
      <c r="C28" s="54" t="s">
        <v>215</v>
      </c>
      <c r="D28" s="137">
        <f>D9*0.27/3.6*0.9</f>
        <v>33.695136000000005</v>
      </c>
      <c r="E28" s="137">
        <f>E9*0.27/3.6*0.9</f>
        <v>32.2749765</v>
      </c>
      <c r="F28" s="137">
        <f>F9*0.27/3.6*0.9</f>
        <v>34.083031500000004</v>
      </c>
      <c r="G28" s="137">
        <f>G9*0.27/3.6*0.9</f>
        <v>34.36695</v>
      </c>
      <c r="H28" s="137">
        <f>H9*0.27/3.6*0.9</f>
        <v>50.774485500000004</v>
      </c>
      <c r="I28" s="137">
        <f aca="true" t="shared" si="12" ref="I28:S28">I9*0.27/3.6*0.9</f>
        <v>45.140841</v>
      </c>
      <c r="J28" s="137">
        <f t="shared" si="12"/>
        <v>46.27665</v>
      </c>
      <c r="K28" s="137">
        <f t="shared" si="12"/>
        <v>37.803483</v>
      </c>
      <c r="L28" s="137">
        <f t="shared" si="12"/>
        <v>47.1528</v>
      </c>
      <c r="M28" s="137">
        <f t="shared" si="12"/>
        <v>61.4364345</v>
      </c>
      <c r="N28" s="137">
        <f t="shared" si="12"/>
        <v>58.987993500000016</v>
      </c>
      <c r="O28" s="137">
        <f t="shared" si="12"/>
        <v>39.12009749999999</v>
      </c>
      <c r="P28" s="137">
        <f t="shared" si="12"/>
        <v>39.12009749999999</v>
      </c>
      <c r="Q28" s="137">
        <f t="shared" si="12"/>
        <v>52.33005</v>
      </c>
      <c r="R28" s="137">
        <f t="shared" si="12"/>
        <v>67.958973</v>
      </c>
      <c r="S28" s="136">
        <f t="shared" si="12"/>
        <v>106.076277</v>
      </c>
    </row>
    <row r="29" spans="1:19" ht="32.25" customHeight="1" thickBot="1">
      <c r="A29" s="304"/>
      <c r="B29" s="299"/>
      <c r="C29" s="58" t="s">
        <v>216</v>
      </c>
      <c r="D29" s="98">
        <f>D10*0.27/3.6*0.9</f>
        <v>33.695136000000005</v>
      </c>
      <c r="E29" s="30">
        <f>E10*0.27/3.6*0.9</f>
        <v>32.2749765</v>
      </c>
      <c r="F29" s="30">
        <f>F9*0.27/3.6*0.9</f>
        <v>34.083031500000004</v>
      </c>
      <c r="G29" s="273">
        <f>G10*0.27/3.6*0.9</f>
        <v>34.36695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5"/>
    </row>
    <row r="30" spans="1:19" ht="31.5">
      <c r="A30" s="304"/>
      <c r="B30" s="298" t="s">
        <v>119</v>
      </c>
      <c r="C30" s="54" t="s">
        <v>215</v>
      </c>
      <c r="D30" s="137">
        <f>D9*0.0373</f>
        <v>18.61968256</v>
      </c>
      <c r="E30" s="137">
        <f>E9*0.0373</f>
        <v>17.83491294</v>
      </c>
      <c r="F30" s="137">
        <f>F9*0.0373</f>
        <v>18.83403074</v>
      </c>
      <c r="G30" s="137">
        <f>G9*0.0373</f>
        <v>18.990921999999998</v>
      </c>
      <c r="H30" s="137">
        <f>H9*0.0373</f>
        <v>28.05760458</v>
      </c>
      <c r="I30" s="137">
        <f aca="true" t="shared" si="13" ref="I30:S30">I9*0.0373</f>
        <v>24.94449436</v>
      </c>
      <c r="J30" s="137">
        <f t="shared" si="13"/>
        <v>25.572134</v>
      </c>
      <c r="K30" s="137">
        <f t="shared" si="13"/>
        <v>20.88992468</v>
      </c>
      <c r="L30" s="137">
        <f t="shared" si="13"/>
        <v>26.056288</v>
      </c>
      <c r="M30" s="137">
        <f t="shared" si="13"/>
        <v>33.94931862</v>
      </c>
      <c r="N30" s="137">
        <f t="shared" si="13"/>
        <v>32.59632826</v>
      </c>
      <c r="O30" s="137">
        <f t="shared" si="13"/>
        <v>21.617476099999998</v>
      </c>
      <c r="P30" s="137">
        <f t="shared" si="13"/>
        <v>21.617476099999998</v>
      </c>
      <c r="Q30" s="137">
        <f t="shared" si="13"/>
        <v>28.917198</v>
      </c>
      <c r="R30" s="137">
        <f t="shared" si="13"/>
        <v>37.553625079999996</v>
      </c>
      <c r="S30" s="136">
        <f t="shared" si="13"/>
        <v>58.616964919999994</v>
      </c>
    </row>
    <row r="31" spans="1:19" ht="32.25" thickBot="1">
      <c r="A31" s="305"/>
      <c r="B31" s="299"/>
      <c r="C31" s="58" t="s">
        <v>216</v>
      </c>
      <c r="D31" s="45">
        <v>18.62</v>
      </c>
      <c r="E31" s="45">
        <v>17.84</v>
      </c>
      <c r="F31" s="30">
        <f>F10*0.0373</f>
        <v>18.83403074</v>
      </c>
      <c r="G31" s="273">
        <f>G10*0.0373</f>
        <v>18.990921999999998</v>
      </c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5"/>
    </row>
    <row r="32" spans="1:19" ht="31.5" outlineLevel="1">
      <c r="A32" s="293" t="s">
        <v>219</v>
      </c>
      <c r="B32" s="300" t="s">
        <v>220</v>
      </c>
      <c r="C32" s="24" t="s">
        <v>215</v>
      </c>
      <c r="D32" s="138">
        <f>D9*0.27/3.6</f>
        <v>37.439040000000006</v>
      </c>
      <c r="E32" s="138">
        <f aca="true" t="shared" si="14" ref="E32:S32">E9*0.27/3.6</f>
        <v>35.861085</v>
      </c>
      <c r="F32" s="138">
        <f t="shared" si="14"/>
        <v>37.870035</v>
      </c>
      <c r="G32" s="138">
        <f t="shared" si="14"/>
        <v>38.185500000000005</v>
      </c>
      <c r="H32" s="138">
        <f t="shared" si="14"/>
        <v>56.416095000000006</v>
      </c>
      <c r="I32" s="138">
        <f t="shared" si="14"/>
        <v>50.15649</v>
      </c>
      <c r="J32" s="138">
        <f t="shared" si="14"/>
        <v>51.418499999999995</v>
      </c>
      <c r="K32" s="138">
        <f t="shared" si="14"/>
        <v>42.00387</v>
      </c>
      <c r="L32" s="138">
        <f t="shared" si="14"/>
        <v>52.391999999999996</v>
      </c>
      <c r="M32" s="138">
        <f t="shared" si="14"/>
        <v>68.262705</v>
      </c>
      <c r="N32" s="138">
        <f t="shared" si="14"/>
        <v>65.54221500000001</v>
      </c>
      <c r="O32" s="138">
        <f t="shared" si="14"/>
        <v>43.46677499999999</v>
      </c>
      <c r="P32" s="138">
        <f t="shared" si="14"/>
        <v>43.46677499999999</v>
      </c>
      <c r="Q32" s="138">
        <f t="shared" si="14"/>
        <v>58.1445</v>
      </c>
      <c r="R32" s="138">
        <f t="shared" si="14"/>
        <v>75.50997</v>
      </c>
      <c r="S32" s="139">
        <f t="shared" si="14"/>
        <v>117.86253</v>
      </c>
    </row>
    <row r="33" spans="1:19" ht="31.5" outlineLevel="1">
      <c r="A33" s="294"/>
      <c r="B33" s="301"/>
      <c r="C33" s="25" t="s">
        <v>216</v>
      </c>
      <c r="D33" s="74">
        <f>D10*0.27/3.6</f>
        <v>37.439040000000006</v>
      </c>
      <c r="E33" s="74">
        <f>E10*0.27/3.6</f>
        <v>35.861085</v>
      </c>
      <c r="F33" s="74">
        <f>F10*0.27/3.6</f>
        <v>37.870035</v>
      </c>
      <c r="G33" s="207">
        <f>G10*0.27/3.6</f>
        <v>38.185500000000005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31.5" outlineLevel="1">
      <c r="A34" s="294"/>
      <c r="B34" s="301" t="s">
        <v>221</v>
      </c>
      <c r="C34" s="25" t="s">
        <v>215</v>
      </c>
      <c r="D34" s="74">
        <f>'приложение 6'!D9</f>
        <v>499.1872</v>
      </c>
      <c r="E34" s="74">
        <f>'приложение 6'!E9</f>
        <v>478.14779999999996</v>
      </c>
      <c r="F34" s="74">
        <f>'приложение 6'!F9</f>
        <v>504.9338</v>
      </c>
      <c r="G34" s="74">
        <f>'приложение 6'!G9</f>
        <v>509.14</v>
      </c>
      <c r="H34" s="74">
        <f>'приложение 6'!H9</f>
        <v>752.2146</v>
      </c>
      <c r="I34" s="74">
        <f>'приложение 6'!I9</f>
        <v>668.7532</v>
      </c>
      <c r="J34" s="74">
        <f>'приложение 6'!J9</f>
        <v>685.5799999999999</v>
      </c>
      <c r="K34" s="74">
        <f>'приложение 6'!K9</f>
        <v>560.0516</v>
      </c>
      <c r="L34" s="74">
        <f>'приложение 6'!L9</f>
        <v>698.56</v>
      </c>
      <c r="M34" s="74">
        <f>'приложение 6'!M9</f>
        <v>910.1694</v>
      </c>
      <c r="N34" s="74">
        <f>'приложение 6'!N9</f>
        <v>873.8962</v>
      </c>
      <c r="O34" s="74">
        <f>'приложение 6'!O9</f>
        <v>579.5569999999999</v>
      </c>
      <c r="P34" s="74">
        <f>'приложение 6'!P9</f>
        <v>579.5569999999999</v>
      </c>
      <c r="Q34" s="74">
        <f>'приложение 6'!Q9</f>
        <v>775.26</v>
      </c>
      <c r="R34" s="74">
        <f>'приложение 6'!R9</f>
        <v>1006.7995999999999</v>
      </c>
      <c r="S34" s="75">
        <f>'приложение 6'!S9</f>
        <v>1571.5004</v>
      </c>
    </row>
    <row r="35" spans="1:19" ht="32.25" outlineLevel="1" thickBot="1">
      <c r="A35" s="295"/>
      <c r="B35" s="302"/>
      <c r="C35" s="26" t="s">
        <v>216</v>
      </c>
      <c r="D35" s="76">
        <f>D10</f>
        <v>499.1872</v>
      </c>
      <c r="E35" s="76">
        <f>E10</f>
        <v>478.14779999999996</v>
      </c>
      <c r="F35" s="76">
        <f>F10</f>
        <v>504.9338</v>
      </c>
      <c r="G35" s="225">
        <f>G10</f>
        <v>509.14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7"/>
    </row>
  </sheetData>
  <mergeCells count="34">
    <mergeCell ref="G33:S33"/>
    <mergeCell ref="G35:S35"/>
    <mergeCell ref="A28:A31"/>
    <mergeCell ref="A9:C9"/>
    <mergeCell ref="A10:C10"/>
    <mergeCell ref="A11:C11"/>
    <mergeCell ref="B30:B31"/>
    <mergeCell ref="A20:A27"/>
    <mergeCell ref="B20:S20"/>
    <mergeCell ref="B25:S25"/>
    <mergeCell ref="A32:A35"/>
    <mergeCell ref="B13:B14"/>
    <mergeCell ref="B15:B16"/>
    <mergeCell ref="B18:B19"/>
    <mergeCell ref="B21:B22"/>
    <mergeCell ref="B23:B24"/>
    <mergeCell ref="B26:B27"/>
    <mergeCell ref="B28:B29"/>
    <mergeCell ref="B32:B33"/>
    <mergeCell ref="B34:B35"/>
    <mergeCell ref="A6:S6"/>
    <mergeCell ref="A12:A19"/>
    <mergeCell ref="B12:S12"/>
    <mergeCell ref="B17:S17"/>
    <mergeCell ref="A8:C8"/>
    <mergeCell ref="G10:S10"/>
    <mergeCell ref="G14:S14"/>
    <mergeCell ref="G16:S16"/>
    <mergeCell ref="G19:S19"/>
    <mergeCell ref="G22:S22"/>
    <mergeCell ref="G24:S24"/>
    <mergeCell ref="G29:S29"/>
    <mergeCell ref="G31:S31"/>
    <mergeCell ref="H27:S27"/>
  </mergeCells>
  <printOptions/>
  <pageMargins left="0.47" right="0.2" top="0.17" bottom="0.53" header="0.17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0">
      <selection activeCell="B4" sqref="B4"/>
    </sheetView>
  </sheetViews>
  <sheetFormatPr defaultColWidth="9.140625" defaultRowHeight="12.75"/>
  <cols>
    <col min="1" max="1" width="5.28125" style="63" customWidth="1"/>
    <col min="2" max="2" width="17.140625" style="63" customWidth="1"/>
    <col min="3" max="3" width="31.140625" style="63" customWidth="1"/>
    <col min="4" max="4" width="14.7109375" style="63" customWidth="1"/>
    <col min="5" max="5" width="13.57421875" style="63" customWidth="1"/>
    <col min="6" max="6" width="14.8515625" style="63" customWidth="1"/>
    <col min="7" max="7" width="14.00390625" style="63" customWidth="1"/>
    <col min="8" max="8" width="12.28125" style="63" customWidth="1"/>
    <col min="9" max="9" width="16.421875" style="63" customWidth="1"/>
    <col min="10" max="11" width="0" style="63" hidden="1" customWidth="1"/>
    <col min="12" max="12" width="14.421875" style="63" customWidth="1"/>
    <col min="13" max="13" width="12.28125" style="63" customWidth="1"/>
    <col min="14" max="16384" width="9.140625" style="63" customWidth="1"/>
  </cols>
  <sheetData>
    <row r="1" ht="15.75">
      <c r="I1" s="33" t="s">
        <v>98</v>
      </c>
    </row>
    <row r="2" ht="15.75">
      <c r="I2" s="33" t="s">
        <v>1</v>
      </c>
    </row>
    <row r="3" ht="15.75">
      <c r="I3" s="33" t="s">
        <v>2</v>
      </c>
    </row>
    <row r="4" ht="15.75">
      <c r="I4" s="33" t="s">
        <v>4</v>
      </c>
    </row>
    <row r="5" spans="7:9" ht="15.75">
      <c r="G5" s="322"/>
      <c r="H5" s="322"/>
      <c r="I5" s="322"/>
    </row>
    <row r="6" spans="2:13" ht="40.5" customHeight="1">
      <c r="B6" s="326" t="s">
        <v>82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2:9" ht="15.75">
      <c r="B7" s="64"/>
      <c r="C7" s="64"/>
      <c r="D7" s="64"/>
      <c r="E7" s="64"/>
      <c r="F7" s="64"/>
      <c r="G7" s="64"/>
      <c r="H7" s="64"/>
      <c r="I7" s="64"/>
    </row>
    <row r="8" spans="2:9" ht="16.5" thickBot="1">
      <c r="B8" s="64"/>
      <c r="C8" s="64"/>
      <c r="D8" s="64"/>
      <c r="E8" s="64"/>
      <c r="F8" s="64"/>
      <c r="G8" s="323" t="s">
        <v>67</v>
      </c>
      <c r="H8" s="323"/>
      <c r="I8" s="323"/>
    </row>
    <row r="9" spans="1:13" ht="51" customHeight="1">
      <c r="A9" s="327" t="s">
        <v>13</v>
      </c>
      <c r="B9" s="324" t="s">
        <v>83</v>
      </c>
      <c r="C9" s="324" t="s">
        <v>84</v>
      </c>
      <c r="D9" s="324" t="s">
        <v>85</v>
      </c>
      <c r="E9" s="324"/>
      <c r="F9" s="324" t="s">
        <v>86</v>
      </c>
      <c r="G9" s="324"/>
      <c r="H9" s="324" t="s">
        <v>87</v>
      </c>
      <c r="I9" s="325"/>
      <c r="J9" s="324" t="s">
        <v>231</v>
      </c>
      <c r="K9" s="325"/>
      <c r="L9" s="328" t="s">
        <v>196</v>
      </c>
      <c r="M9" s="329"/>
    </row>
    <row r="10" spans="1:13" ht="63.75" thickBot="1">
      <c r="A10" s="317"/>
      <c r="B10" s="315"/>
      <c r="C10" s="315"/>
      <c r="D10" s="65" t="s">
        <v>88</v>
      </c>
      <c r="E10" s="65" t="s">
        <v>89</v>
      </c>
      <c r="F10" s="65" t="s">
        <v>88</v>
      </c>
      <c r="G10" s="65" t="s">
        <v>89</v>
      </c>
      <c r="H10" s="65" t="s">
        <v>88</v>
      </c>
      <c r="I10" s="66" t="s">
        <v>89</v>
      </c>
      <c r="J10" s="65" t="s">
        <v>88</v>
      </c>
      <c r="K10" s="66" t="s">
        <v>197</v>
      </c>
      <c r="L10" s="105" t="s">
        <v>88</v>
      </c>
      <c r="M10" s="106" t="s">
        <v>89</v>
      </c>
    </row>
    <row r="11" spans="1:13" ht="12.75" customHeight="1">
      <c r="A11" s="321">
        <v>1</v>
      </c>
      <c r="B11" s="315" t="s">
        <v>90</v>
      </c>
      <c r="C11" s="67" t="s">
        <v>91</v>
      </c>
      <c r="D11" s="319" t="s">
        <v>228</v>
      </c>
      <c r="E11" s="69" t="s">
        <v>229</v>
      </c>
      <c r="F11" s="319">
        <f>G11+G12</f>
        <v>44.592</v>
      </c>
      <c r="G11" s="69">
        <v>35.86</v>
      </c>
      <c r="H11" s="319">
        <f>I11+I12</f>
        <v>46.169399999999996</v>
      </c>
      <c r="I11" s="70">
        <f>31.46*1.19</f>
        <v>37.4374</v>
      </c>
      <c r="J11" s="130"/>
      <c r="K11" s="130"/>
      <c r="L11" s="319">
        <f>M11+M12</f>
        <v>46.602</v>
      </c>
      <c r="M11" s="107">
        <v>37.87</v>
      </c>
    </row>
    <row r="12" spans="1:13" ht="15.75">
      <c r="A12" s="321"/>
      <c r="B12" s="315"/>
      <c r="C12" s="67" t="s">
        <v>110</v>
      </c>
      <c r="D12" s="320"/>
      <c r="E12" s="69">
        <f>7.4*1.18</f>
        <v>8.732</v>
      </c>
      <c r="F12" s="320"/>
      <c r="G12" s="69">
        <f>7.4*1.18</f>
        <v>8.732</v>
      </c>
      <c r="H12" s="320"/>
      <c r="I12" s="70">
        <f>7.4*1.18</f>
        <v>8.732</v>
      </c>
      <c r="J12" s="130"/>
      <c r="K12" s="130"/>
      <c r="L12" s="320"/>
      <c r="M12" s="70">
        <f>7.4*1.18</f>
        <v>8.732</v>
      </c>
    </row>
    <row r="13" spans="1:13" ht="15.75">
      <c r="A13" s="321"/>
      <c r="B13" s="315"/>
      <c r="C13" s="67" t="s">
        <v>92</v>
      </c>
      <c r="D13" s="68">
        <f>E15*5.4</f>
        <v>36.3204</v>
      </c>
      <c r="E13" s="69"/>
      <c r="F13" s="68">
        <f>G15*5.4</f>
        <v>36.3204</v>
      </c>
      <c r="G13" s="68"/>
      <c r="H13" s="68">
        <f>I15*5.4</f>
        <v>36.3204</v>
      </c>
      <c r="I13" s="70"/>
      <c r="J13" s="130"/>
      <c r="K13" s="130"/>
      <c r="L13" s="68">
        <f>M15*5.4</f>
        <v>36.3204</v>
      </c>
      <c r="M13" s="108"/>
    </row>
    <row r="14" spans="1:13" ht="31.5">
      <c r="A14" s="321"/>
      <c r="B14" s="315"/>
      <c r="C14" s="67" t="s">
        <v>111</v>
      </c>
      <c r="D14" s="68">
        <f>8.73*8.55/9*5.4</f>
        <v>44.784900000000015</v>
      </c>
      <c r="E14" s="69"/>
      <c r="F14" s="68">
        <f>8.73*8.55/9*5.4</f>
        <v>44.784900000000015</v>
      </c>
      <c r="G14" s="69"/>
      <c r="H14" s="68">
        <f>8.73*8.55/9*5.4</f>
        <v>44.784900000000015</v>
      </c>
      <c r="I14" s="70"/>
      <c r="J14" s="130"/>
      <c r="K14" s="130"/>
      <c r="L14" s="68">
        <f>8.73*8.55/9*5.4</f>
        <v>44.784900000000015</v>
      </c>
      <c r="M14" s="108"/>
    </row>
    <row r="15" spans="1:13" ht="15.75">
      <c r="A15" s="321">
        <v>2</v>
      </c>
      <c r="B15" s="315" t="s">
        <v>93</v>
      </c>
      <c r="C15" s="67" t="s">
        <v>94</v>
      </c>
      <c r="D15" s="319">
        <f>E15+E16</f>
        <v>15.457999999999998</v>
      </c>
      <c r="E15" s="69">
        <f>5.7*1.18</f>
        <v>6.726</v>
      </c>
      <c r="F15" s="319">
        <f>G15+G16</f>
        <v>15.457999999999998</v>
      </c>
      <c r="G15" s="69">
        <f>5.7*1.18</f>
        <v>6.726</v>
      </c>
      <c r="H15" s="319">
        <f>I15+I16</f>
        <v>15.457999999999998</v>
      </c>
      <c r="I15" s="70">
        <f>5.7*1.18</f>
        <v>6.726</v>
      </c>
      <c r="J15" s="130"/>
      <c r="K15" s="130"/>
      <c r="L15" s="319">
        <f>M15+M16</f>
        <v>15.457999999999998</v>
      </c>
      <c r="M15" s="70">
        <f>5.7*1.18</f>
        <v>6.726</v>
      </c>
    </row>
    <row r="16" spans="1:13" ht="15.75">
      <c r="A16" s="321"/>
      <c r="B16" s="315"/>
      <c r="C16" s="67" t="s">
        <v>110</v>
      </c>
      <c r="D16" s="320"/>
      <c r="E16" s="69">
        <f>7.4*1.18</f>
        <v>8.732</v>
      </c>
      <c r="F16" s="320"/>
      <c r="G16" s="69">
        <f>7.4*1.18</f>
        <v>8.732</v>
      </c>
      <c r="H16" s="320"/>
      <c r="I16" s="70">
        <f>7.4*1.18</f>
        <v>8.732</v>
      </c>
      <c r="J16" s="130"/>
      <c r="K16" s="130"/>
      <c r="L16" s="320"/>
      <c r="M16" s="70">
        <f>7.4*1.18</f>
        <v>8.732</v>
      </c>
    </row>
    <row r="17" spans="1:13" ht="15.75">
      <c r="A17" s="321"/>
      <c r="B17" s="315"/>
      <c r="C17" s="67" t="s">
        <v>95</v>
      </c>
      <c r="D17" s="68">
        <f>115.52*1.19</f>
        <v>137.4688</v>
      </c>
      <c r="E17" s="69"/>
      <c r="F17" s="68">
        <f>108.49*1.19</f>
        <v>129.10309999999998</v>
      </c>
      <c r="G17" s="69"/>
      <c r="H17" s="68">
        <f>113.26*1.19</f>
        <v>134.7794</v>
      </c>
      <c r="I17" s="70"/>
      <c r="J17" s="130"/>
      <c r="K17" s="130"/>
      <c r="L17" s="101">
        <v>136.33</v>
      </c>
      <c r="M17" s="108"/>
    </row>
    <row r="18" spans="1:13" ht="31.5">
      <c r="A18" s="321"/>
      <c r="B18" s="315"/>
      <c r="C18" s="67" t="s">
        <v>112</v>
      </c>
      <c r="D18" s="68">
        <f>8.73*8.55/9*3.6</f>
        <v>29.856600000000007</v>
      </c>
      <c r="E18" s="69"/>
      <c r="F18" s="68">
        <f>8.73*8.55/9*3.6</f>
        <v>29.856600000000007</v>
      </c>
      <c r="G18" s="69"/>
      <c r="H18" s="68">
        <f>8.73*8.55/9*3.6</f>
        <v>29.856600000000007</v>
      </c>
      <c r="I18" s="70"/>
      <c r="J18" s="130"/>
      <c r="K18" s="130"/>
      <c r="L18" s="68">
        <f>8.73*8.55/9*3.6</f>
        <v>29.856600000000007</v>
      </c>
      <c r="M18" s="108"/>
    </row>
    <row r="19" spans="1:13" ht="15.75">
      <c r="A19" s="321">
        <v>3</v>
      </c>
      <c r="B19" s="315" t="s">
        <v>96</v>
      </c>
      <c r="C19" s="67" t="s">
        <v>91</v>
      </c>
      <c r="D19" s="68">
        <f>32.09*1.19</f>
        <v>38.1871</v>
      </c>
      <c r="E19" s="69">
        <f>32.09*1.19</f>
        <v>38.1871</v>
      </c>
      <c r="F19" s="68">
        <f>G19</f>
        <v>35.86</v>
      </c>
      <c r="G19" s="69">
        <v>35.86</v>
      </c>
      <c r="H19" s="68">
        <f>I19</f>
        <v>37.4374</v>
      </c>
      <c r="I19" s="70">
        <f>31.46*1.19</f>
        <v>37.4374</v>
      </c>
      <c r="J19" s="130"/>
      <c r="K19" s="130"/>
      <c r="L19" s="101">
        <v>37.87</v>
      </c>
      <c r="M19" s="108">
        <f>L19</f>
        <v>37.87</v>
      </c>
    </row>
    <row r="20" spans="1:13" ht="15.75">
      <c r="A20" s="321"/>
      <c r="B20" s="315"/>
      <c r="C20" s="67" t="s">
        <v>94</v>
      </c>
      <c r="D20" s="68">
        <f>E20</f>
        <v>6.726</v>
      </c>
      <c r="E20" s="69">
        <f>5.7*1.18</f>
        <v>6.726</v>
      </c>
      <c r="F20" s="68">
        <f>G20</f>
        <v>6.726</v>
      </c>
      <c r="G20" s="69">
        <f>5.7*1.18</f>
        <v>6.726</v>
      </c>
      <c r="H20" s="68">
        <f>I20</f>
        <v>6.726</v>
      </c>
      <c r="I20" s="70">
        <f>5.7*1.18</f>
        <v>6.726</v>
      </c>
      <c r="J20" s="130"/>
      <c r="K20" s="130"/>
      <c r="L20" s="68">
        <v>6.73</v>
      </c>
      <c r="M20" s="109">
        <f>L20</f>
        <v>6.73</v>
      </c>
    </row>
    <row r="21" spans="1:13" ht="31.5">
      <c r="A21" s="321"/>
      <c r="B21" s="315"/>
      <c r="C21" s="67" t="s">
        <v>113</v>
      </c>
      <c r="D21" s="125">
        <f>E21</f>
        <v>8.732</v>
      </c>
      <c r="E21" s="126">
        <f>7.4*1.18</f>
        <v>8.732</v>
      </c>
      <c r="F21" s="125">
        <f>G21</f>
        <v>8.732</v>
      </c>
      <c r="G21" s="126">
        <f>7.4*1.18</f>
        <v>8.732</v>
      </c>
      <c r="H21" s="125">
        <f>I21</f>
        <v>8.732</v>
      </c>
      <c r="I21" s="127">
        <f>7.4*1.18</f>
        <v>8.732</v>
      </c>
      <c r="J21" s="130"/>
      <c r="K21" s="130"/>
      <c r="L21" s="128">
        <v>8.73</v>
      </c>
      <c r="M21" s="129">
        <f>I21</f>
        <v>8.732</v>
      </c>
    </row>
    <row r="22" spans="1:13" ht="24" customHeight="1">
      <c r="A22" s="317">
        <v>4</v>
      </c>
      <c r="B22" s="315" t="s">
        <v>97</v>
      </c>
      <c r="C22" s="315"/>
      <c r="D22" s="309" t="s">
        <v>194</v>
      </c>
      <c r="E22" s="310"/>
      <c r="F22" s="310"/>
      <c r="G22" s="310"/>
      <c r="H22" s="310"/>
      <c r="I22" s="310"/>
      <c r="J22" s="310"/>
      <c r="K22" s="310"/>
      <c r="L22" s="310"/>
      <c r="M22" s="311"/>
    </row>
    <row r="23" spans="1:13" ht="21" customHeight="1" thickBot="1">
      <c r="A23" s="318"/>
      <c r="B23" s="316"/>
      <c r="C23" s="316"/>
      <c r="D23" s="312"/>
      <c r="E23" s="313"/>
      <c r="F23" s="313"/>
      <c r="G23" s="313"/>
      <c r="H23" s="313"/>
      <c r="I23" s="313"/>
      <c r="J23" s="313"/>
      <c r="K23" s="313"/>
      <c r="L23" s="313"/>
      <c r="M23" s="314"/>
    </row>
    <row r="24" spans="1:2" ht="15.75">
      <c r="A24" s="71"/>
      <c r="B24" s="72"/>
    </row>
    <row r="25" spans="1:7" ht="15.75">
      <c r="A25" s="1" t="s">
        <v>80</v>
      </c>
      <c r="B25" s="1"/>
      <c r="C25" s="1"/>
      <c r="D25" s="23"/>
      <c r="E25" s="5"/>
      <c r="F25" s="5"/>
      <c r="G25" s="5"/>
    </row>
    <row r="26" spans="1:7" ht="15.75">
      <c r="A26" s="1"/>
      <c r="B26" s="1"/>
      <c r="C26" s="1"/>
      <c r="D26" s="23"/>
      <c r="E26" s="5"/>
      <c r="F26" s="5"/>
      <c r="G26" s="5"/>
    </row>
    <row r="27" spans="1:13" ht="30" customHeight="1">
      <c r="A27" s="174" t="s">
        <v>101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</row>
    <row r="28" spans="2:9" ht="15.75">
      <c r="B28" s="59"/>
      <c r="C28" s="59"/>
      <c r="D28" s="59"/>
      <c r="E28" s="59"/>
      <c r="F28" s="59"/>
      <c r="G28" s="59"/>
      <c r="H28"/>
      <c r="I28"/>
    </row>
    <row r="29" spans="1:9" ht="10.5" customHeight="1">
      <c r="A29" s="33"/>
      <c r="B29" s="59"/>
      <c r="C29" s="59"/>
      <c r="D29" s="59"/>
      <c r="E29" s="59"/>
      <c r="F29" s="59"/>
      <c r="G29" s="59"/>
      <c r="H29"/>
      <c r="I29"/>
    </row>
    <row r="30" spans="1:13" ht="15.75">
      <c r="A30" s="174" t="s">
        <v>102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3" ht="15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9" ht="15.75">
      <c r="A32" s="33" t="s">
        <v>230</v>
      </c>
      <c r="B32" s="1"/>
      <c r="C32" s="1"/>
      <c r="D32" s="23"/>
      <c r="E32" s="5"/>
      <c r="F32" s="5"/>
      <c r="G32" s="5"/>
      <c r="H32"/>
      <c r="I32"/>
    </row>
    <row r="33" spans="1:9" ht="15.75">
      <c r="A33" s="33"/>
      <c r="B33" s="1"/>
      <c r="C33" s="1"/>
      <c r="D33" s="23"/>
      <c r="E33" s="5"/>
      <c r="F33" s="5"/>
      <c r="G33" s="5"/>
      <c r="H33"/>
      <c r="I33"/>
    </row>
    <row r="34" spans="1:9" ht="15.75">
      <c r="A34" s="1" t="s">
        <v>81</v>
      </c>
      <c r="B34" s="1"/>
      <c r="C34" s="1"/>
      <c r="D34" s="23"/>
      <c r="E34" s="5"/>
      <c r="F34" s="5"/>
      <c r="G34" s="5"/>
      <c r="H34"/>
      <c r="I34"/>
    </row>
  </sheetData>
  <mergeCells count="31">
    <mergeCell ref="A27:M27"/>
    <mergeCell ref="A30:M30"/>
    <mergeCell ref="L9:M9"/>
    <mergeCell ref="L11:L12"/>
    <mergeCell ref="L15:L16"/>
    <mergeCell ref="B11:B14"/>
    <mergeCell ref="D11:D12"/>
    <mergeCell ref="F11:F12"/>
    <mergeCell ref="A19:A21"/>
    <mergeCell ref="B19:B21"/>
    <mergeCell ref="A9:A10"/>
    <mergeCell ref="B9:B10"/>
    <mergeCell ref="C9:C10"/>
    <mergeCell ref="D9:E9"/>
    <mergeCell ref="G5:I5"/>
    <mergeCell ref="G8:I8"/>
    <mergeCell ref="F9:G9"/>
    <mergeCell ref="H9:I9"/>
    <mergeCell ref="B6:M6"/>
    <mergeCell ref="J9:K9"/>
    <mergeCell ref="H11:H12"/>
    <mergeCell ref="A15:A18"/>
    <mergeCell ref="B15:B18"/>
    <mergeCell ref="D15:D16"/>
    <mergeCell ref="F15:F16"/>
    <mergeCell ref="H15:H16"/>
    <mergeCell ref="A11:A14"/>
    <mergeCell ref="D22:M23"/>
    <mergeCell ref="B22:B23"/>
    <mergeCell ref="A22:A23"/>
    <mergeCell ref="C22:C23"/>
  </mergeCells>
  <printOptions/>
  <pageMargins left="1.09" right="0.24" top="0.17" bottom="0.41" header="0.17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G16" sqref="G16"/>
    </sheetView>
  </sheetViews>
  <sheetFormatPr defaultColWidth="9.140625" defaultRowHeight="12.75"/>
  <cols>
    <col min="1" max="1" width="4.140625" style="1" bestFit="1" customWidth="1"/>
    <col min="2" max="2" width="40.7109375" style="1" customWidth="1"/>
    <col min="3" max="3" width="13.28125" style="1" customWidth="1"/>
    <col min="4" max="4" width="17.140625" style="1" customWidth="1"/>
    <col min="5" max="5" width="15.8515625" style="1" customWidth="1"/>
    <col min="6" max="16384" width="9.140625" style="1" customWidth="1"/>
  </cols>
  <sheetData>
    <row r="1" ht="15.75">
      <c r="D1" s="1" t="s">
        <v>193</v>
      </c>
    </row>
    <row r="2" ht="15.75">
      <c r="D2" s="1" t="s">
        <v>1</v>
      </c>
    </row>
    <row r="3" ht="15.75">
      <c r="D3" s="1" t="s">
        <v>2</v>
      </c>
    </row>
    <row r="4" ht="15.75">
      <c r="D4" s="1" t="s">
        <v>3</v>
      </c>
    </row>
    <row r="7" spans="1:5" ht="18.75">
      <c r="A7" s="172" t="s">
        <v>137</v>
      </c>
      <c r="B7" s="172"/>
      <c r="C7" s="172"/>
      <c r="D7" s="172"/>
      <c r="E7" s="172"/>
    </row>
    <row r="8" ht="16.5" thickBot="1"/>
    <row r="9" spans="1:8" ht="48" thickBot="1">
      <c r="A9" s="94" t="s">
        <v>13</v>
      </c>
      <c r="B9" s="93" t="s">
        <v>138</v>
      </c>
      <c r="C9" s="93" t="s">
        <v>139</v>
      </c>
      <c r="D9" s="93" t="s">
        <v>140</v>
      </c>
      <c r="E9" s="95" t="s">
        <v>141</v>
      </c>
      <c r="F9" s="7"/>
      <c r="G9" s="7"/>
      <c r="H9" s="7"/>
    </row>
    <row r="10" spans="1:5" ht="15.75">
      <c r="A10" s="17"/>
      <c r="B10" s="19"/>
      <c r="C10" s="83"/>
      <c r="D10" s="83"/>
      <c r="E10" s="96" t="s">
        <v>142</v>
      </c>
    </row>
    <row r="11" spans="1:5" ht="31.5">
      <c r="A11" s="11">
        <v>1</v>
      </c>
      <c r="B11" s="36" t="s">
        <v>143</v>
      </c>
      <c r="C11" s="38">
        <v>0.08</v>
      </c>
      <c r="D11" s="97">
        <v>1.3444</v>
      </c>
      <c r="E11" s="31">
        <f>C11*D11</f>
        <v>0.10755200000000001</v>
      </c>
    </row>
    <row r="12" spans="1:5" ht="31.5">
      <c r="A12" s="11">
        <v>2</v>
      </c>
      <c r="B12" s="36" t="s">
        <v>144</v>
      </c>
      <c r="C12" s="38">
        <v>0.08</v>
      </c>
      <c r="D12" s="38">
        <v>1.2</v>
      </c>
      <c r="E12" s="31">
        <f aca="true" t="shared" si="0" ref="E12:E17">C12*D12</f>
        <v>0.096</v>
      </c>
    </row>
    <row r="13" spans="1:5" ht="31.5">
      <c r="A13" s="11">
        <v>3</v>
      </c>
      <c r="B13" s="36" t="s">
        <v>145</v>
      </c>
      <c r="C13" s="38">
        <v>0.08</v>
      </c>
      <c r="D13" s="38">
        <v>1.1</v>
      </c>
      <c r="E13" s="31">
        <f t="shared" si="0"/>
        <v>0.08800000000000001</v>
      </c>
    </row>
    <row r="14" spans="1:5" ht="31.5">
      <c r="A14" s="11">
        <v>4</v>
      </c>
      <c r="B14" s="36" t="s">
        <v>146</v>
      </c>
      <c r="C14" s="38">
        <v>0.08</v>
      </c>
      <c r="D14" s="38">
        <v>1.1</v>
      </c>
      <c r="E14" s="31">
        <f t="shared" si="0"/>
        <v>0.08800000000000001</v>
      </c>
    </row>
    <row r="15" spans="1:5" ht="36.75" customHeight="1">
      <c r="A15" s="11">
        <v>5</v>
      </c>
      <c r="B15" s="36" t="s">
        <v>147</v>
      </c>
      <c r="C15" s="38">
        <v>0.08</v>
      </c>
      <c r="D15" s="38">
        <v>1</v>
      </c>
      <c r="E15" s="31">
        <f t="shared" si="0"/>
        <v>0.08</v>
      </c>
    </row>
    <row r="16" spans="1:5" ht="47.25">
      <c r="A16" s="11">
        <v>6</v>
      </c>
      <c r="B16" s="36" t="s">
        <v>148</v>
      </c>
      <c r="C16" s="38">
        <v>0.08</v>
      </c>
      <c r="D16" s="38">
        <v>0.9</v>
      </c>
      <c r="E16" s="31">
        <f t="shared" si="0"/>
        <v>0.07200000000000001</v>
      </c>
    </row>
    <row r="17" spans="1:5" ht="16.5" thickBot="1">
      <c r="A17" s="14">
        <v>7</v>
      </c>
      <c r="B17" s="44" t="s">
        <v>149</v>
      </c>
      <c r="C17" s="45">
        <v>0.08</v>
      </c>
      <c r="D17" s="98">
        <v>0.8</v>
      </c>
      <c r="E17" s="32">
        <f t="shared" si="0"/>
        <v>0.064</v>
      </c>
    </row>
    <row r="20" ht="15.75">
      <c r="B20" s="1" t="s">
        <v>150</v>
      </c>
    </row>
    <row r="21" ht="15.75">
      <c r="B21" s="1" t="s">
        <v>151</v>
      </c>
    </row>
    <row r="22" ht="15.75">
      <c r="B22" s="1" t="s">
        <v>152</v>
      </c>
    </row>
    <row r="23" ht="15.75">
      <c r="B23" s="1" t="s">
        <v>153</v>
      </c>
    </row>
    <row r="24" ht="15.75">
      <c r="B24" s="1" t="s">
        <v>154</v>
      </c>
    </row>
  </sheetData>
  <mergeCells count="1">
    <mergeCell ref="A7:E7"/>
  </mergeCells>
  <printOptions/>
  <pageMargins left="0.75" right="0.24" top="0.17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KIA</cp:lastModifiedBy>
  <cp:lastPrinted>2006-12-25T07:17:15Z</cp:lastPrinted>
  <dcterms:created xsi:type="dcterms:W3CDTF">1996-10-08T23:32:33Z</dcterms:created>
  <dcterms:modified xsi:type="dcterms:W3CDTF">2006-12-26T10:21:21Z</dcterms:modified>
  <cp:category/>
  <cp:version/>
  <cp:contentType/>
  <cp:contentStatus/>
</cp:coreProperties>
</file>