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3"/>
  </bookViews>
  <sheets>
    <sheet name="Нормативы " sheetId="1" r:id="rId1"/>
    <sheet name="Главн.Админ.дох." sheetId="2" r:id="rId2"/>
    <sheet name="Главн.Админ.источн." sheetId="3" r:id="rId3"/>
    <sheet name="функцион.2015" sheetId="4" r:id="rId4"/>
    <sheet name="ведомствен.2015" sheetId="5" r:id="rId5"/>
    <sheet name="Кап.строительство" sheetId="6" r:id="rId6"/>
    <sheet name="Прогр.заимст.2015" sheetId="7" r:id="rId7"/>
    <sheet name="Прогр.заимств.2016-2017" sheetId="8" r:id="rId8"/>
    <sheet name="источн.2015" sheetId="9" r:id="rId9"/>
    <sheet name="Источн 2016-2017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<sst xmlns="http://schemas.openxmlformats.org/spreadsheetml/2006/main" count="8730" uniqueCount="1326">
  <si>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</si>
  <si>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</si>
  <si>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</si>
  <si>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</si>
  <si>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</si>
  <si>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</si>
  <si>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</si>
  <si>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</si>
  <si>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</si>
  <si>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</si>
  <si>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</si>
  <si>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</si>
  <si>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795 00 28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</si>
  <si>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</si>
  <si>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</si>
  <si>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</si>
  <si>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</si>
  <si>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</si>
  <si>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</si>
  <si>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</si>
  <si>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</si>
  <si>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</si>
  <si>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</si>
  <si>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</si>
  <si>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</si>
  <si>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</si>
  <si>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</si>
  <si>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</si>
  <si>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</si>
  <si>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</si>
  <si>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</si>
  <si>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</si>
  <si>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</si>
  <si>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</si>
  <si>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</si>
  <si>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</si>
  <si>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</si>
  <si>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</si>
  <si>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</si>
  <si>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</si>
  <si>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</si>
  <si>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</si>
  <si>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</si>
  <si>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</si>
  <si>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</si>
  <si>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</si>
  <si>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</si>
  <si>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</si>
  <si>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</si>
  <si>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</si>
  <si>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</si>
  <si>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</si>
  <si>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</si>
  <si>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</si>
  <si>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</si>
  <si>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</si>
  <si>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</si>
  <si>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</si>
  <si>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</si>
  <si>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</si>
  <si>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</si>
  <si>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</si>
  <si>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</si>
  <si>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</si>
  <si>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</si>
  <si>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</si>
  <si>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</si>
  <si>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</si>
  <si>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</si>
  <si>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</si>
  <si>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</si>
  <si>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</si>
  <si>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</si>
  <si>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</si>
  <si>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</si>
  <si>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</si>
  <si>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</si>
  <si>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</si>
  <si>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420 82 00</t>
  </si>
  <si>
    <t>420 82 10</t>
  </si>
  <si>
    <t>421 82 00</t>
  </si>
  <si>
    <t>421 82 10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</si>
  <si>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</si>
  <si>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</si>
  <si>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</si>
  <si>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</si>
  <si>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</si>
  <si>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</si>
  <si>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</si>
  <si>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</si>
  <si>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</si>
  <si>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</si>
  <si>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</si>
  <si>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</si>
  <si>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</si>
  <si>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</si>
  <si>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</si>
  <si>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</si>
  <si>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</si>
  <si>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</si>
  <si>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</si>
  <si>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</si>
  <si>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</si>
  <si>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</si>
  <si>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</si>
  <si>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</si>
  <si>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</si>
  <si>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</si>
  <si>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</si>
  <si>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</si>
  <si>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</si>
  <si>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</si>
  <si>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</si>
  <si>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</si>
  <si>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</si>
  <si>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</si>
  <si>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</si>
  <si>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</si>
  <si>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</si>
  <si>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</si>
  <si>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</si>
  <si>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</si>
  <si>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</si>
  <si>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</si>
  <si>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</si>
  <si>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Национальная безопасность и правоохранительная деятельность</t>
  </si>
  <si>
    <t>098 01 04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</si>
  <si>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</si>
  <si>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</si>
  <si>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</si>
  <si>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</si>
  <si>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</si>
  <si>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</si>
  <si>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</si>
  <si>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</si>
  <si>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</si>
  <si>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</si>
  <si>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</si>
  <si>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</si>
  <si>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</si>
  <si>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</si>
  <si>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</si>
  <si>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Выплаты приемной семье на содержание подопечных детей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</si>
  <si>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</si>
  <si>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</si>
  <si>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</si>
  <si>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</si>
  <si>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</si>
  <si>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</si>
  <si>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</si>
  <si>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</si>
  <si>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</si>
  <si>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</si>
  <si>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</si>
  <si>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</si>
  <si>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</si>
  <si>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</si>
  <si>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</si>
  <si>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</si>
  <si>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</si>
  <si>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</si>
  <si>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</si>
  <si>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</si>
  <si>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</si>
  <si>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</si>
  <si>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</si>
  <si>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</si>
  <si>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</si>
  <si>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</si>
  <si>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</si>
  <si>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</si>
  <si>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</si>
  <si>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</si>
  <si>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</si>
  <si>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</si>
  <si>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</si>
  <si>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</si>
  <si>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</si>
  <si>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</si>
  <si>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</si>
  <si>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</si>
  <si>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</si>
  <si>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</si>
  <si>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</si>
  <si>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</si>
  <si>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</si>
  <si>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</si>
  <si>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</si>
  <si>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</si>
  <si>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</si>
  <si>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</si>
  <si>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</si>
  <si>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</si>
  <si>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</si>
  <si>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</si>
  <si>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</si>
  <si>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</si>
  <si>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</si>
  <si>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</si>
  <si>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</si>
  <si>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</si>
  <si>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</si>
  <si>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</si>
  <si>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</si>
  <si>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</si>
  <si>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</si>
  <si>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</si>
  <si>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</si>
  <si>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</si>
  <si>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</si>
  <si>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</si>
  <si>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</si>
  <si>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</si>
  <si>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</si>
  <si>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</si>
  <si>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</si>
  <si>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</si>
  <si>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</si>
  <si>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</si>
  <si>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</si>
  <si>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</si>
  <si>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</si>
  <si>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</si>
  <si>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</si>
  <si>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</si>
  <si>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</si>
  <si>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</si>
  <si>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</si>
  <si>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</si>
  <si>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</si>
  <si>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</si>
  <si>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</si>
  <si>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</si>
  <si>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</si>
  <si>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</si>
  <si>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</si>
  <si>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</si>
  <si>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</si>
  <si>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</si>
  <si>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</si>
  <si>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</si>
  <si>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</si>
  <si>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</si>
  <si>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</si>
  <si>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</si>
  <si>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</si>
  <si>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</si>
  <si>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</si>
  <si>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</si>
  <si>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</si>
  <si>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</si>
  <si>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</si>
  <si>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</si>
  <si>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</si>
  <si>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</si>
  <si>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</si>
  <si>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</si>
  <si>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</si>
  <si>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</si>
  <si>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</si>
  <si>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</si>
  <si>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</si>
  <si>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</si>
  <si>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</si>
  <si>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</si>
  <si>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</si>
  <si>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</si>
  <si>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</si>
  <si>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</si>
  <si>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</si>
  <si>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</si>
  <si>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</si>
  <si>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</si>
  <si>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</si>
  <si>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</si>
  <si>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Учреждения по внешкольной работе с детьми</t>
  </si>
  <si>
    <t xml:space="preserve">423 00 00 </t>
  </si>
  <si>
    <t>423 99 00</t>
  </si>
  <si>
    <t>424 99 00</t>
  </si>
  <si>
    <t>424 99 70</t>
  </si>
  <si>
    <t>Здравоохранение</t>
  </si>
  <si>
    <t>Культура, кинематография</t>
  </si>
  <si>
    <t xml:space="preserve">Специальные (коррекционные) учреждения </t>
  </si>
  <si>
    <t>433 00 00</t>
  </si>
  <si>
    <t>433 99 00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</si>
  <si>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</si>
  <si>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</si>
  <si>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</si>
  <si>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</si>
  <si>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</si>
  <si>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</si>
  <si>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</si>
  <si>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</si>
  <si>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</si>
  <si>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</si>
  <si>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</si>
  <si>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</si>
  <si>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</si>
  <si>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</si>
  <si>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</si>
  <si>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</si>
  <si>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</si>
  <si>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</si>
  <si>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</si>
  <si>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</si>
  <si>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</si>
  <si>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</si>
  <si>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</si>
  <si>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</si>
  <si>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</si>
  <si>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</si>
  <si>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</si>
  <si>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</si>
  <si>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</si>
  <si>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</si>
  <si>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</si>
  <si>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</si>
  <si>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</si>
  <si>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</si>
  <si>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</si>
  <si>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</si>
  <si>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</si>
  <si>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</si>
  <si>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</si>
  <si>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</si>
  <si>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</si>
  <si>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</si>
  <si>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</si>
  <si>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</si>
  <si>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</si>
  <si>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</si>
  <si>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</si>
  <si>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</si>
  <si>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</si>
  <si>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</si>
  <si>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</si>
  <si>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</si>
  <si>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</si>
  <si>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</si>
  <si>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</si>
  <si>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</si>
  <si>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</si>
  <si>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</si>
  <si>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</si>
  <si>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</si>
  <si>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</si>
  <si>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</si>
  <si>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</si>
  <si>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</si>
  <si>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</si>
  <si>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</si>
  <si>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</si>
  <si>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</si>
  <si>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</si>
  <si>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</si>
  <si>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</si>
  <si>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</si>
  <si>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</si>
  <si>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</si>
  <si>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</si>
  <si>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</si>
  <si>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</si>
  <si>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</si>
  <si>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</si>
  <si>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</si>
  <si>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</si>
  <si>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</si>
  <si>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</si>
  <si>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</si>
  <si>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</si>
  <si>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</si>
  <si>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</si>
  <si>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</si>
  <si>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</si>
  <si>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</si>
  <si>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</si>
  <si>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</si>
  <si>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</si>
  <si>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</si>
  <si>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</si>
  <si>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</si>
  <si>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</si>
  <si>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</si>
  <si>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</si>
  <si>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</si>
  <si>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</si>
  <si>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</si>
  <si>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</si>
  <si>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</si>
  <si>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</si>
  <si>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</si>
  <si>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</si>
  <si>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</si>
  <si>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</si>
  <si>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</si>
  <si>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</si>
  <si>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</si>
  <si>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</si>
  <si>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</si>
  <si>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</si>
  <si>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</si>
  <si>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</si>
  <si>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</si>
  <si>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</si>
  <si>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</si>
  <si>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</si>
  <si>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</si>
  <si>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</si>
  <si>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</si>
  <si>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</si>
  <si>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</si>
  <si>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</si>
  <si>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</si>
  <si>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</si>
  <si>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</si>
  <si>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</si>
  <si>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</si>
  <si>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Вознаграждение, причитающееся приемному родителю</t>
  </si>
  <si>
    <t>Содержание ребенка в семье опекуна</t>
  </si>
  <si>
    <t>Приложение 10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</si>
  <si>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</si>
  <si>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</si>
  <si>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</si>
  <si>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</si>
  <si>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</si>
  <si>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</si>
  <si>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</si>
  <si>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</si>
  <si>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</si>
  <si>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</si>
  <si>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</si>
  <si>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</si>
  <si>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</si>
  <si>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</si>
  <si>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</si>
  <si>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</si>
  <si>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</si>
  <si>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</si>
  <si>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</si>
  <si>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</si>
  <si>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</si>
  <si>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</si>
  <si>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</si>
  <si>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Расходы на оплату задолженности по договорам 2013 года</t>
  </si>
  <si>
    <t>655 00 10</t>
  </si>
  <si>
    <t>600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</si>
  <si>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</si>
  <si>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</si>
  <si>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</si>
  <si>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</si>
  <si>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</si>
  <si>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</si>
  <si>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</si>
  <si>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</si>
  <si>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</si>
  <si>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</si>
  <si>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</si>
  <si>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</si>
  <si>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001 59 03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</si>
  <si>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</si>
  <si>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</si>
  <si>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</si>
  <si>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</si>
  <si>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</si>
  <si>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</si>
  <si>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</si>
  <si>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</si>
  <si>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</si>
  <si>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</si>
  <si>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</si>
  <si>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</si>
  <si>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</si>
  <si>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</si>
  <si>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</si>
  <si>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</si>
  <si>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</si>
  <si>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</si>
  <si>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</si>
  <si>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</si>
  <si>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</si>
  <si>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</si>
  <si>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</si>
  <si>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</si>
  <si>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</si>
  <si>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</si>
  <si>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</si>
  <si>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</si>
  <si>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</si>
  <si>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</si>
  <si>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</si>
  <si>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</si>
  <si>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</si>
  <si>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</si>
  <si>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</si>
  <si>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</si>
  <si>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</si>
  <si>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</si>
  <si>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</si>
  <si>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</si>
  <si>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</si>
  <si>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</si>
  <si>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</si>
  <si>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</si>
  <si>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</si>
  <si>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>505 75 00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</si>
  <si>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</si>
  <si>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</si>
  <si>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</si>
  <si>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</si>
  <si>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</si>
  <si>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</si>
  <si>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</si>
  <si>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</si>
  <si>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</si>
  <si>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</si>
  <si>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</si>
  <si>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</si>
  <si>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</si>
  <si>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</si>
  <si>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</si>
  <si>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</si>
  <si>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</si>
  <si>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</si>
  <si>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</si>
  <si>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</si>
  <si>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</si>
  <si>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 программа "Поддержка и  развитие дошкольного образования в МГО на 2014-2015гг."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</si>
  <si>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</si>
  <si>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</si>
  <si>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</si>
  <si>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</si>
  <si>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</si>
  <si>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</si>
  <si>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Коды бюджетной  классификации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</si>
  <si>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</si>
  <si>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</si>
  <si>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</si>
  <si>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</si>
  <si>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</si>
  <si>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</si>
  <si>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</si>
  <si>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</si>
  <si>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</si>
  <si>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Охрана объектов растительного и животного мира и среды их обитания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</si>
  <si>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</si>
  <si>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</si>
  <si>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</si>
  <si>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</si>
  <si>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НА 2015 ГОД</t>
  </si>
  <si>
    <t>003 00 00</t>
  </si>
  <si>
    <t>Муниципальная программа  "Развитие муниципальной службы в Миасском городском округе"</t>
  </si>
  <si>
    <t>795 00 10</t>
  </si>
  <si>
    <t>Муниципальная программа"Обеспечение безопасности жизнедеятельности населения Миасского городского округа на 2014-2016гг."</t>
  </si>
  <si>
    <t>795 00 83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</si>
  <si>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</si>
  <si>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</si>
  <si>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795 19 00</t>
  </si>
  <si>
    <t>Подпрограмма "Оказание молодым семьям господдержки для улучшения жилищных условий"</t>
  </si>
  <si>
    <t>795 19 14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</si>
  <si>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</si>
  <si>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 xml:space="preserve">Источники 
внутреннего финансирования дефицита бюджета Миасского  городского округа 
на 2015 год   </t>
  </si>
  <si>
    <t>Расходы на оплату задолженности по договорам 2014 года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</si>
  <si>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</si>
  <si>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</si>
  <si>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601 82 00</t>
  </si>
  <si>
    <t>601 82 30</t>
  </si>
  <si>
    <t>601 99 00</t>
  </si>
  <si>
    <t>440 02 00</t>
  </si>
  <si>
    <t xml:space="preserve">Муниципальная программа "Безопасность учреждений культуры" на 2014 -2016 годы </t>
  </si>
  <si>
    <t>Муниципальная программа "Укрепление и модернизация материально-техничекой базы учреждений культуры на 2014-2016 годы"</t>
  </si>
  <si>
    <t>795 00 54</t>
  </si>
  <si>
    <t>Предоставление субсидий бюджетным и автономным учреждениям, оказывающим амбулатоно-поликлиническую помощь в городских больницах</t>
  </si>
  <si>
    <t xml:space="preserve">Предоставление субсидий бюджетным и автономным учреждениям, оказывающим амбулаторную помощь в поликлиниках </t>
  </si>
  <si>
    <t>Государственная программа Челябинской области "Дети Южного Урала" на 2014-2017 годы</t>
  </si>
  <si>
    <t>607 00 00</t>
  </si>
  <si>
    <t>607 99 00</t>
  </si>
  <si>
    <t>607 99 01</t>
  </si>
  <si>
    <t>607 50 82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</si>
  <si>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</si>
  <si>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</si>
  <si>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</si>
  <si>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</si>
  <si>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</si>
  <si>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</si>
  <si>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"Повышение качества жизни пожилого возраста в Челябинской области" на 2014-2017 годы</t>
  </si>
  <si>
    <t>606 02 00</t>
  </si>
  <si>
    <t>606 02 22</t>
  </si>
  <si>
    <t>606 02 25</t>
  </si>
  <si>
    <t>606 02 32</t>
  </si>
  <si>
    <t>606 02 35</t>
  </si>
  <si>
    <t>606 02 42</t>
  </si>
  <si>
    <t>606 02 51</t>
  </si>
  <si>
    <t>606 02 53</t>
  </si>
  <si>
    <t>Государственная программа Челябинской области  "Дети Южного Урала" на 2014-2017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</si>
  <si>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</si>
  <si>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</si>
  <si>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607 02 08</t>
  </si>
  <si>
    <t>607 02 11</t>
  </si>
  <si>
    <t>607 02 70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</si>
  <si>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</si>
  <si>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лиувидацией организаций (прекращение деятельности, полномочий физическими лицами), в соотвествии с Федеральным законом от 19 мая 1995 года №81-ФЗ "О государственных пособиях гражданам имеющим детей"</t>
  </si>
  <si>
    <t>607 53 80</t>
  </si>
  <si>
    <t xml:space="preserve">Муниципальная программа "Доступная среда" на 2014-2015 годы </t>
  </si>
  <si>
    <t>607 02 10</t>
  </si>
  <si>
    <t>607 02 12</t>
  </si>
  <si>
    <t>607 02 76</t>
  </si>
  <si>
    <t>607 02 09</t>
  </si>
  <si>
    <t>420 82 20</t>
  </si>
  <si>
    <t>420 82 24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</si>
  <si>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</si>
  <si>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</si>
  <si>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604 99 00</t>
  </si>
  <si>
    <t>604 82 10</t>
  </si>
  <si>
    <t>604 82 23</t>
  </si>
  <si>
    <t>604 82 20</t>
  </si>
  <si>
    <t>Муниципальная программа "Безопасность образовательных организаций Миасского городского округа на 2014-2015 годы "</t>
  </si>
  <si>
    <t>795 00 43</t>
  </si>
  <si>
    <t>421 82 20</t>
  </si>
  <si>
    <t>421 82 24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</si>
  <si>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</si>
  <si>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</si>
  <si>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</si>
  <si>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</si>
  <si>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</si>
  <si>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603 02 82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</si>
  <si>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</si>
  <si>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603 02 73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</si>
  <si>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</si>
  <si>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603 99 00</t>
  </si>
  <si>
    <t>603 82 10</t>
  </si>
  <si>
    <t>603 82 23</t>
  </si>
  <si>
    <t>603 82 20</t>
  </si>
  <si>
    <t>603 82 00</t>
  </si>
  <si>
    <t>Муниципальная программа "Программа развития образования в Миасском городском округе на 2014-2015 годы"</t>
  </si>
  <si>
    <t>795 00 45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</si>
  <si>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2014-2015гг."</t>
  </si>
  <si>
    <t>795 00 41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</si>
  <si>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</si>
  <si>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603 02 03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</si>
  <si>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</si>
  <si>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604 02 00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</si>
  <si>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</si>
  <si>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604 02 04</t>
  </si>
  <si>
    <t>604 82 00</t>
  </si>
  <si>
    <t>РАСПРЕДЕЛЕНИЕ БЮДЖЕТНЫХ АССИГНОВАНИЙ НА 2015 ГОД</t>
  </si>
  <si>
    <t>на 2015 год  (тыс. руб.)</t>
  </si>
  <si>
    <t>Мероприятия в области малого и среднего предпринимательства</t>
  </si>
  <si>
    <t>312 00 00</t>
  </si>
  <si>
    <t>312 82 00</t>
  </si>
  <si>
    <t>312 82 10</t>
  </si>
  <si>
    <t>601 8Г 00</t>
  </si>
  <si>
    <t>601 8Г 30</t>
  </si>
  <si>
    <t>601 8Д 00</t>
  </si>
  <si>
    <t>601 8Д 30</t>
  </si>
  <si>
    <t>Муниципальная программа "развитие здравоохранения Миасского городского округа на 2014 год и плановый период 2015 и 2016 годов"</t>
  </si>
  <si>
    <t>795 00 38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</si>
  <si>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</si>
  <si>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</si>
  <si>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098 95 00</t>
  </si>
  <si>
    <t>Обеспечение мероприятий по переселению граждан из аварийного жилищного фонда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</si>
  <si>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</si>
  <si>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</si>
  <si>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098 96 00</t>
  </si>
  <si>
    <t>098 96 02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</si>
  <si>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</si>
  <si>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607 02 04</t>
  </si>
  <si>
    <t>Муниципальная программа "Регулирование численности безнадзорных собак на территории Миасского городского округа на 2014-2016гг"</t>
  </si>
  <si>
    <t>795 00 81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</si>
  <si>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</si>
  <si>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</si>
  <si>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</si>
  <si>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Источники внутреннего финансирования дефицитов бюджетов</t>
  </si>
  <si>
    <t>01  03  00  00  00  0000  000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</si>
  <si>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</si>
  <si>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</si>
  <si>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</si>
  <si>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</si>
  <si>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Операции по управлению остатками средств на единых счетах бюджетов</t>
  </si>
  <si>
    <t>01  06  10  00  00  0000  000</t>
  </si>
  <si>
    <t>Распределение бюджетных ассигнований на капитальные вложения в объекты муниципальной  собственности Миасского городского округа на 2015-2017 годы</t>
  </si>
  <si>
    <t>(тыс. рублей)</t>
  </si>
  <si>
    <t>Наименование объектов</t>
  </si>
  <si>
    <t>Объем бюджетных ассигнований</t>
  </si>
  <si>
    <t>2015 год</t>
  </si>
  <si>
    <t>2016 год</t>
  </si>
  <si>
    <t>2017 год</t>
  </si>
  <si>
    <t>Муниципальная программа  «Капитальное строительство на территории Миасского городского округа на 2014-2015 годы»:</t>
  </si>
  <si>
    <t>Всего по программе</t>
  </si>
  <si>
    <t>Муниципальная программа по реализации Национального Проекта «Доступное и комфортное жилье - гражданам России» на территории МГО на 2014-2015г.г., подпрограмма «Модернизация объектов коммунальной инфраструктуры»:</t>
  </si>
  <si>
    <t>Итого</t>
  </si>
  <si>
    <t>Государственная программа Челябинской области "Обеспечение доступным и комфортным жильем  граждан Российской  Федерации" в Челябинской областина 2014-2020г.г., подпрограмма «Модернизация объектов коммунальной инфраструктуры»:</t>
  </si>
  <si>
    <t>Государственная программа Челябинской области "Энергосбережение и повышение энергетической эффективности" на 2014-2020 годы:</t>
  </si>
  <si>
    <t xml:space="preserve"> - строительство проводящих сетей к котельной п.Хребет, в том числе проектно-изыскательские работы</t>
  </si>
  <si>
    <t>Муниципальная программа "Поддержки и развития малого и среднего предпринимательства в Миасском городском округе на 2014-2015 годы"</t>
  </si>
  <si>
    <t>795 00 03</t>
  </si>
  <si>
    <t>Государственная программа Челябинской области "Развитие дорожного хозяйства в Челябинской области на 2015-2017 годы"</t>
  </si>
  <si>
    <t>618 00 00</t>
  </si>
  <si>
    <t>Субсидии местным бюджетам для софинансирования расходных обязательств, возникших при выполнении полномочий органов местного самоуправления по вопросам местного значения, в рамках государственной программы Челябинской области  "Развитие дорожного хозяйства в Челябинской области на 2015-2017 годы"</t>
  </si>
  <si>
    <t>618 05 00</t>
  </si>
  <si>
    <t>Капитальный ремонт, ремонт и содержание автомобильных дорог общего пользования местного значения</t>
  </si>
  <si>
    <t>618 05 02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</si>
  <si>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 </t>
  </si>
  <si>
    <t>Подпрограмма "Модернизация объектов коммунальной инфраструктуры"</t>
  </si>
  <si>
    <t>614 00 00</t>
  </si>
  <si>
    <t>614 20 00</t>
  </si>
  <si>
    <t>Государственная программа Челябинской области "Энергосбережениеи повышение энергетической эффективности" на 2014-2020 годы</t>
  </si>
  <si>
    <t>617 00 00</t>
  </si>
  <si>
    <t>Социальное обеспечение и ные выплаты населению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</si>
  <si>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"Развитие образования в Челябинской области" на 2014 - 2017 годы</t>
  </si>
  <si>
    <t>603 01 00</t>
  </si>
  <si>
    <t>Оборудование пунктов проведения государственной итоговой аттестации в форме основного государственного экзамена</t>
  </si>
  <si>
    <t>603 01 01</t>
  </si>
  <si>
    <t>Оборудование пунктов проведения государственной итоговой аттестации в форме единого государственного экзамена</t>
  </si>
  <si>
    <t>603 01 02</t>
  </si>
  <si>
    <t>Муниципальная программа "Организация и обеспечение отдыха, оздоровления и занятости детей Миасского городского округа на 2015 год"</t>
  </si>
  <si>
    <t>7950050</t>
  </si>
  <si>
    <t>Приложение 5</t>
  </si>
  <si>
    <t>МП "Капитальное строительство на территории Миасского городского округа на 2014-2016 годы"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</si>
  <si>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</si>
  <si>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Муниципальная  программа "Развитие физической культуры и спорта в Миасском городском округе на 2014-2016 годы"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</si>
  <si>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</si>
  <si>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</si>
  <si>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</si>
  <si>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</si>
  <si>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</si>
  <si>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</si>
  <si>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</si>
  <si>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</si>
  <si>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</si>
  <si>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</si>
  <si>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</si>
  <si>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</si>
  <si>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009</t>
  </si>
  <si>
    <t>Миинстерство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</si>
  <si>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</si>
  <si>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 2&gt;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</si>
  <si>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</si>
  <si>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 2&gt;</t>
  </si>
  <si>
    <t>1 16 25040 01 0000 140</t>
  </si>
  <si>
    <t>Денежные взыскания (штрафы) за нарушение законодательства об экологической экспертизе &lt;1, 2&gt;</t>
  </si>
  <si>
    <t>1 16 25050 01 0000 140</t>
  </si>
  <si>
    <t>Денежные взыскания (штрафы) за нарушение законодательства в области охраны окружающей среды &lt;1, 2&gt;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</si>
  <si>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</si>
  <si>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</si>
  <si>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</si>
  <si>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</si>
  <si>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</si>
  <si>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</si>
  <si>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</si>
  <si>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</si>
  <si>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</si>
  <si>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 2&gt;</t>
  </si>
  <si>
    <t>032</t>
  </si>
  <si>
    <t>Главное управление по труду и занятости населения Челябинской области</t>
  </si>
  <si>
    <t>034</t>
  </si>
  <si>
    <t>Главное контрольное управление Челябинской области</t>
  </si>
  <si>
    <t>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</si>
  <si>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
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</si>
  <si>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</si>
  <si>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</si>
  <si>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</si>
  <si>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&lt;2&gt;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</si>
  <si>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</si>
  <si>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</si>
  <si>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</si>
  <si>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</si>
  <si>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</si>
  <si>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&lt;2&gt;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</si>
  <si>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</si>
  <si>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&lt;2&gt;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</si>
  <si>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</si>
  <si>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&lt;2&gt;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</si>
  <si>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</si>
  <si>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&lt;2&gt;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</si>
  <si>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</si>
  <si>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</si>
  <si>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</si>
  <si>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</si>
  <si>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</si>
  <si>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&lt;2&gt;</t>
  </si>
  <si>
    <t>Денежные взыскания (штрафы) за нарушение законодательства в области охраны окружающей среды &lt;2&gt;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</si>
  <si>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</si>
  <si>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&lt;2&gt;</t>
  </si>
  <si>
    <t>150</t>
  </si>
  <si>
    <t>161</t>
  </si>
  <si>
    <t>Управление Федеральной антимонопольной службы по Челябинской области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</si>
  <si>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</si>
  <si>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</si>
  <si>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</si>
  <si>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</si>
  <si>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&lt;2&gt;</t>
  </si>
  <si>
    <t>182</t>
  </si>
  <si>
    <t>Управление Федеральной налоговой службы по Челябинской области
(Межрайонная инспекция Федеральной налоговой службы №23 по Челябинской области)</t>
  </si>
  <si>
    <t>1 01 02000 01 0000 110</t>
  </si>
  <si>
    <t>Налог на доходы физических лиц &lt;2&gt;</t>
  </si>
  <si>
    <t>1 05 02000 02 0000 110</t>
  </si>
  <si>
    <t>Единый налог на вмененный доход для отдельных видов деятельности &lt;2&gt;</t>
  </si>
  <si>
    <t>1 05 03000 01 0000 110</t>
  </si>
  <si>
    <t>Единый сельскохозяйственный налог &lt;2&gt;</t>
  </si>
  <si>
    <t>1 05 04000 02 0000 110</t>
  </si>
  <si>
    <t>Налог, взимаемый в связи с применением патентной системы налогообложения &lt;2&gt;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</si>
  <si>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</si>
  <si>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</si>
  <si>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</si>
  <si>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</si>
  <si>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1 08 03000 01 0000 110</t>
  </si>
  <si>
    <t>Государственная пошлина по делам, рассматриваемым в судах общей юрисдикции, мировыми судьями &lt;2, 3&gt;</t>
  </si>
  <si>
    <t>1 09 00000 00 0000 000</t>
  </si>
  <si>
    <t>Задолженность и перерасчеты по отмененным налогам, сборам и иным обязательным платежам &lt;2, 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</si>
  <si>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</si>
  <si>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&lt;2&gt;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</si>
  <si>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</si>
  <si>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</si>
  <si>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</si>
  <si>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&lt;2&gt;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</si>
  <si>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</si>
  <si>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</si>
  <si>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&lt;2&gt;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</si>
  <si>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</si>
  <si>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&lt;2&gt;</t>
  </si>
  <si>
    <t>1 16 30030 01 0000 140</t>
  </si>
  <si>
    <t>Прочие денежные взыскания (штрафы) за правонарушения в области дорожного движения &lt;2&gt;</t>
  </si>
  <si>
    <t>1 08 07150 01 0000 110</t>
  </si>
  <si>
    <t>Государственная пошлина за выдачу разрешения на установку рекламной конструкции  &lt;3&gt;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</si>
  <si>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</si>
  <si>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&lt;3&gt;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</si>
  <si>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</si>
  <si>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</si>
  <si>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</si>
  <si>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</si>
  <si>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</si>
  <si>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</si>
  <si>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</si>
  <si>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</si>
  <si>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</si>
  <si>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</si>
  <si>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</si>
  <si>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</si>
  <si>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</si>
  <si>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</si>
  <si>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</si>
  <si>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</si>
  <si>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</si>
  <si>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</si>
  <si>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</si>
  <si>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</si>
  <si>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</si>
  <si>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</si>
  <si>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</si>
  <si>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</si>
  <si>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</si>
  <si>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</si>
  <si>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</si>
  <si>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</si>
  <si>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</si>
  <si>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</si>
  <si>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</si>
  <si>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</si>
  <si>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</si>
  <si>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</si>
  <si>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</si>
  <si>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</si>
  <si>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</si>
  <si>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</si>
  <si>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</si>
  <si>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</si>
  <si>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</si>
  <si>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</si>
  <si>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</si>
  <si>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</si>
  <si>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</si>
  <si>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</si>
  <si>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</si>
  <si>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</si>
  <si>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</si>
  <si>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</si>
  <si>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</si>
  <si>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</si>
  <si>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</si>
  <si>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</si>
  <si>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</si>
  <si>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</si>
  <si>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</si>
  <si>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</si>
  <si>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</si>
  <si>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</si>
  <si>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</si>
  <si>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</si>
  <si>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</si>
  <si>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</si>
  <si>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</si>
  <si>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</si>
  <si>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</si>
  <si>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</si>
  <si>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</si>
  <si>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</si>
  <si>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</si>
  <si>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</si>
  <si>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</si>
  <si>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</si>
  <si>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</si>
  <si>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</si>
  <si>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</si>
  <si>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</si>
  <si>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</si>
  <si>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</si>
  <si>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</si>
  <si>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</si>
  <si>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</si>
  <si>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</si>
  <si>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</si>
  <si>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</si>
  <si>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</si>
  <si>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</si>
  <si>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</si>
  <si>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</si>
  <si>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</si>
  <si>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</si>
  <si>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</si>
  <si>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</si>
  <si>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</si>
  <si>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</si>
  <si>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</si>
  <si>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</si>
  <si>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</si>
  <si>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</si>
  <si>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</si>
  <si>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</si>
  <si>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</si>
  <si>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</si>
  <si>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</si>
  <si>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</si>
  <si>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</si>
  <si>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</si>
  <si>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2 02 02220 04 0000 151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</si>
  <si>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</si>
  <si>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</si>
  <si>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1 13 01994 04 0000 130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</si>
  <si>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 &lt;4&gt;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</si>
  <si>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</si>
  <si>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</si>
  <si>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</si>
  <si>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</si>
  <si>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</si>
  <si>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платы, 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</si>
  <si>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</si>
  <si>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</si>
  <si>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</si>
  <si>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</si>
  <si>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</si>
  <si>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</si>
  <si>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</si>
  <si>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</si>
  <si>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Федеральной службы государственной регистрации, кадастра и картографии по Челябинской области</t>
  </si>
  <si>
    <t>1 16 25060 01 0000 140</t>
  </si>
  <si>
    <t>Денежные взыскания (штрафы) за нарушение земельного законодательства &lt;2&gt;</t>
  </si>
  <si>
    <t>Управление Федеральной службы судебных приставов по Челябинской области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</si>
  <si>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</si>
  <si>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</si>
  <si>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</si>
  <si>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</si>
  <si>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</si>
  <si>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</si>
  <si>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</si>
  <si>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</si>
  <si>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</si>
  <si>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</si>
  <si>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</si>
  <si>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</si>
  <si>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</si>
  <si>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</si>
  <si>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</si>
  <si>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</si>
  <si>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</si>
  <si>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</si>
  <si>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</si>
  <si>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</si>
  <si>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</si>
  <si>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</si>
  <si>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</si>
  <si>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</si>
  <si>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</si>
  <si>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</si>
  <si>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</si>
  <si>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</si>
  <si>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</si>
  <si>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</si>
  <si>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</si>
  <si>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</si>
  <si>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</si>
  <si>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</si>
  <si>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</si>
  <si>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</si>
  <si>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</si>
  <si>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</si>
  <si>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</si>
  <si>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</si>
  <si>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</si>
  <si>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</si>
  <si>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</si>
  <si>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</si>
  <si>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</si>
  <si>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</si>
  <si>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</si>
  <si>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</si>
  <si>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</si>
  <si>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</si>
  <si>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</si>
  <si>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</si>
  <si>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</si>
  <si>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</si>
  <si>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</si>
  <si>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</si>
  <si>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</si>
  <si>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</si>
  <si>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</si>
  <si>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</si>
  <si>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</si>
  <si>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</si>
  <si>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</si>
  <si>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</si>
  <si>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</si>
  <si>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</si>
  <si>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</si>
  <si>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</si>
  <si>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</si>
  <si>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</si>
  <si>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</si>
  <si>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</si>
  <si>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</si>
  <si>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</si>
  <si>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</si>
  <si>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</si>
  <si>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</si>
  <si>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</si>
  <si>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</si>
  <si>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</si>
  <si>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</si>
  <si>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 &lt;1&gt; 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государственной власти Челябинской области в соответствии с Постановлением Правительства Челябинской области от 20.03.2008 г. №52-П "О порядке осуществления органами государственной власти Челябинской области, органами управления территориальными государственными внебюджетными фондами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Федерации";</t>
    </r>
  </si>
  <si>
    <r>
      <rPr>
        <b/>
        <sz val="10"/>
        <rFont val="Arial"/>
        <family val="2"/>
      </rPr>
      <t xml:space="preserve"> &lt;2&gt;</t>
    </r>
    <r>
      <rPr>
        <sz val="10"/>
        <rFont val="Arial"/>
        <family val="2"/>
      </rPr>
      <t xml:space="preserve"> В части доходов, зачисляемых в бюджет Миасского городского округа;</t>
    </r>
  </si>
  <si>
    <r>
      <rPr>
        <b/>
        <sz val="10"/>
        <rFont val="Arial"/>
        <family val="2"/>
      </rPr>
      <t xml:space="preserve"> &lt;3&gt;</t>
    </r>
    <r>
      <rPr>
        <sz val="10"/>
        <rFont val="Arial"/>
        <family val="2"/>
      </rPr>
      <t xml:space="preserve"> Администрирование данных поступлений осуществляется с примененим следующих кодов подвида доходов - 1000, 2000, 3000, 4000;</t>
    </r>
  </si>
  <si>
    <r>
      <rPr>
        <b/>
        <sz val="10"/>
        <rFont val="Arial"/>
        <family val="2"/>
      </rPr>
      <t xml:space="preserve"> &lt;4&gt;</t>
    </r>
    <r>
      <rPr>
        <sz val="10"/>
        <rFont val="Arial"/>
        <family val="2"/>
      </rPr>
      <t xml:space="preserve"> Администрирование данных поступлений осуществляется с примененим следующего кода подвида доходов - 0010.</t>
    </r>
  </si>
  <si>
    <t>Приложение 2</t>
  </si>
  <si>
    <t>Приложение 4</t>
  </si>
  <si>
    <t xml:space="preserve">Программа муниципальных внутренних заимствований </t>
  </si>
  <si>
    <t xml:space="preserve">на 2015 год </t>
  </si>
  <si>
    <t>1. Источники внутренних заимствований</t>
  </si>
  <si>
    <t>тыс.руб.</t>
  </si>
  <si>
    <t>Сумма,                 2015г.</t>
  </si>
  <si>
    <t>Сумма,                 2013г.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</si>
  <si>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</si>
  <si>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</si>
  <si>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</si>
  <si>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</si>
  <si>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</si>
  <si>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 xml:space="preserve"> - реконструкция ЛЭП-10кВ фидера Курортный от ПС Тургояк 110/10кВ(подключение части существующего фидера от ПС Ильменсая 110/10кВ), в том числе проектно-изыскательские работы;</t>
  </si>
  <si>
    <t>Муниципальная программа "Развитие физической культуры, спорта и туризма в Миасском городском округе на 2014-2016 годы":</t>
  </si>
  <si>
    <t>Муниципальная программа "Энергосбережение и повышение энергетической эффективности Миасского городского округа на 2015 год":</t>
  </si>
  <si>
    <t>420 82 23</t>
  </si>
  <si>
    <t>Развитие базовых площадок в целях распространения моделей государственно-общественного управления образованием, обучения и повышения квалификации педагогических и управленческих работников системы образования по государственно-общественному управлению образованием</t>
  </si>
  <si>
    <t>603 01 03</t>
  </si>
  <si>
    <t>Проведение ремонтных работ в муниципальных образовательных организациях</t>
  </si>
  <si>
    <t>603 01 71</t>
  </si>
  <si>
    <t>Государственная программа Челябинской области "Развитие образованиев Челябинской области на 2014-2017 годы"</t>
  </si>
  <si>
    <t>Организация отдыха детей в каникулярное время</t>
  </si>
  <si>
    <t>603 01 80</t>
  </si>
  <si>
    <t>Муниципальная программа "молодеж Миасса" на 2014-2016 годы"</t>
  </si>
  <si>
    <t>601 82 20</t>
  </si>
  <si>
    <t>601 82 24</t>
  </si>
  <si>
    <t>Муниципальная программа Миасского городского округа "Молодежь Миасса" на  2014-2016 годы</t>
  </si>
  <si>
    <t>Физкультурно-оздоровительная работа и спортивные мероприятия</t>
  </si>
  <si>
    <t>512 00 00</t>
  </si>
  <si>
    <t>Реализация мероприятий по поэтапному внедрению Всероссийского физкультурно-спортивного комплекса "Готов к труду и обороне"(ГТО)</t>
  </si>
  <si>
    <t>512 51 27</t>
  </si>
  <si>
    <t>Государственная программа Челябинской области "Развитие физической культуры и спорта в Челябинской области" на 2015-2017 годы</t>
  </si>
  <si>
    <t>Подпрограмма "Развитие физической культуры, массового спорта и спорта высших достижений" на 2015-2017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</si>
  <si>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продпрограммы  "Развитие физической культуры, массового спорта и спорта высших достижений"</t>
  </si>
  <si>
    <t>620 00 00</t>
  </si>
  <si>
    <t>620 10 00</t>
  </si>
  <si>
    <t>620 11 00</t>
  </si>
  <si>
    <t>Подпрограмма "Развитие адаптивной физической культуры и спорта" на 2015-2017 годы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</si>
  <si>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продпрограммы  "Развитие адаптивной физической культуры и спорта" </t>
  </si>
  <si>
    <t>620 20 00</t>
  </si>
  <si>
    <t>620 21 00</t>
  </si>
  <si>
    <t>Подпрограмма "Развитие системы подготовки спортивного резерва" на 2015-2017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</si>
  <si>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продпрограммы  "Развитие системы подготовки спортивного резерва"</t>
  </si>
  <si>
    <t>620 60 00</t>
  </si>
  <si>
    <t>620 61 00</t>
  </si>
  <si>
    <t>Спорт высших достижений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</si>
  <si>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</si>
  <si>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340 53 92</t>
  </si>
  <si>
    <t xml:space="preserve">Предоставление субсидий бюджетным,
автономным учреждениям и иным некоммерческим организациям
</t>
  </si>
  <si>
    <t>Муниципальная программа Миасского городского округа "Молодежь Миасса" на 2014-2016 годы</t>
  </si>
  <si>
    <t>Муниципальная программа "Развитие улично-дорожной сети Миасского городского округа на 2015-2017 годы"</t>
  </si>
  <si>
    <t>795 00 84</t>
  </si>
  <si>
    <t>подпрограмма "Модернизация объектов коммунальной инфраструктуры"</t>
  </si>
  <si>
    <t xml:space="preserve">Муниципальная программа по реализации НП "Доступное и комфортное жилье - гражданам России"  на территории МГО на 2014-2020 г.г., </t>
  </si>
  <si>
    <t>Муниципальная программа "Энергосбережение и повышение энергетической эффективности Миасского городского округа на 2015 год"</t>
  </si>
  <si>
    <t>795 00 50</t>
  </si>
  <si>
    <t>Мероприятия, реализуемые в рамках государственной программы Челябинской области "Создание систем оповещения и информирования населения о чрезвычайных ситуациях природного и техногенного характера на территории Челябинской области" на 2015-2017 годы</t>
  </si>
  <si>
    <t>636 01 00</t>
  </si>
  <si>
    <t>Муниципальная программа "Снос и обрезка сухих, аварийных, больных деревьев на территории Миасского городского округа на 2015 год"</t>
  </si>
  <si>
    <t>795 00 69</t>
  </si>
  <si>
    <t>Муниципальная программа "Развитие физической культуры, спорта и туризма в Миасском городском округе на 2014-2016 годы"</t>
  </si>
  <si>
    <t>на 9 мес.2015 года                (тыс. руб.)</t>
  </si>
  <si>
    <t>Другие мероприятия по реализации муниципальных функций</t>
  </si>
  <si>
    <t>005 15 01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</si>
  <si>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</si>
  <si>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313 02 72</t>
  </si>
  <si>
    <t>312 82 20</t>
  </si>
  <si>
    <t>312 82 24</t>
  </si>
  <si>
    <t>Озеленение</t>
  </si>
  <si>
    <t>600 03 00</t>
  </si>
  <si>
    <t>Программа "Улучшение водоснабжения частного сектора Миасского городского округа на 2014-2016 годы"</t>
  </si>
  <si>
    <t>795 00 21</t>
  </si>
  <si>
    <t>Муниципальная программа "Доступное и комфортное жилье - гражданам России" на территории Миасского городского округа на 2014-2020 годы", подпрограмма "Подготовка земельных участков для освоения в целях жилищного строительства"</t>
  </si>
  <si>
    <t>795 19 12</t>
  </si>
  <si>
    <t>420 82 22</t>
  </si>
  <si>
    <t>в 2,1 раза</t>
  </si>
  <si>
    <t>в 2,2 раза</t>
  </si>
  <si>
    <t>в 18,6 раз</t>
  </si>
  <si>
    <t>в 10,0 раз</t>
  </si>
  <si>
    <t>в 2,4 раза</t>
  </si>
  <si>
    <t>в 3,0 раза</t>
  </si>
  <si>
    <t>в 5,3 раза</t>
  </si>
  <si>
    <t>-Строительство сетей теплоснабжения ж/д №1,2,3,4 на пл.Революции</t>
  </si>
  <si>
    <t xml:space="preserve"> -реконструкция нижнего поля спортивного комплекса, расположенного в центральном районе г.Миасса на правом берегу р.Миасс, в том числе проектно-изыскательские работы</t>
  </si>
  <si>
    <t xml:space="preserve"> -объекты коммунального, инженерно-технического обеспечения "Комплекса зданий и сооружений горнолыжного центра. Подъездная дорога от ул. Ильмен-Тау" в Северной части г. Миасса, в том числе проектно-изыскательские работы</t>
  </si>
  <si>
    <t xml:space="preserve"> - МБОУ ДОД ДШИ № 2, в том числе проектно-изыскательские работы</t>
  </si>
  <si>
    <t xml:space="preserve"> - ГТС Миасского городского пруда,в том числе проектно-изыскательские работы</t>
  </si>
  <si>
    <t xml:space="preserve"> - модернизация системы теплоснабжения жилого дома №2 по ул.Известковой в п.Известковый,в том числе проектно-изыскательские работы</t>
  </si>
  <si>
    <t xml:space="preserve"> -бурение скважины в п.Северные Печи, в том числе проектно-изыскательские работы;</t>
  </si>
  <si>
    <t xml:space="preserve"> -бурение скважины в п.Ленинск, в том числе проектно-изыскательские работы</t>
  </si>
  <si>
    <t>Фактическое исполнение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</si>
  <si>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</si>
  <si>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</si>
  <si>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</si>
  <si>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01  05  00  00  00  0000  500</t>
  </si>
  <si>
    <t>01  05  02  00  00  0000  500</t>
  </si>
  <si>
    <t>01  05  02  01  00  0000  510</t>
  </si>
  <si>
    <t>01  05  02  01  04  0000  510</t>
  </si>
  <si>
    <t xml:space="preserve">Перечень 
главных администраторов источников финансирования дефицита
 бюджета Миасского городского округа 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</si>
  <si>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</si>
  <si>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</si>
  <si>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</si>
  <si>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</si>
  <si>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</si>
  <si>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</si>
  <si>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</si>
  <si>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</si>
  <si>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</si>
  <si>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01 02 00 00 04 0000 810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</si>
  <si>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</si>
  <si>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</si>
  <si>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</si>
  <si>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</si>
  <si>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</si>
  <si>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</si>
  <si>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</si>
  <si>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</si>
  <si>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</si>
  <si>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</si>
  <si>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</si>
  <si>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</si>
  <si>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</si>
  <si>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</si>
  <si>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</si>
  <si>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</si>
  <si>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</si>
  <si>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</si>
  <si>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</si>
  <si>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</si>
  <si>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</si>
  <si>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</si>
  <si>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</si>
  <si>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</si>
  <si>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</si>
  <si>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</si>
  <si>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</si>
  <si>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</si>
  <si>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</si>
  <si>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</si>
  <si>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</si>
  <si>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</si>
  <si>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</si>
  <si>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</si>
  <si>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Приложение 6</t>
  </si>
  <si>
    <t>Приложение 1</t>
  </si>
  <si>
    <t>к решению Собрания</t>
  </si>
  <si>
    <t xml:space="preserve">депутатов Миасского </t>
  </si>
  <si>
    <t>городского округа</t>
  </si>
  <si>
    <t xml:space="preserve">от                       № </t>
  </si>
  <si>
    <t>Субсидии бюджетным и автономных учреждениям на капитальный ремонт зданий и сооружений</t>
  </si>
  <si>
    <t>Подключение 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</si>
  <si>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440 51 46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</si>
  <si>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</si>
  <si>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440 51 48</t>
  </si>
  <si>
    <t>Иные безвозмездные и безвозвратные перечисления</t>
  </si>
  <si>
    <t>520 00 00</t>
  </si>
  <si>
    <t>Муниципальная программа "Профилактика преступлений и иных правонарушений на территории Миасского городского округа на 2015-2016 годы"</t>
  </si>
  <si>
    <t>795 00 64</t>
  </si>
  <si>
    <t>Муниципальная программа "Создание комплексной системы экстренного оповещения населения МГО на 2015-2017гг"</t>
  </si>
  <si>
    <t>795 00 11</t>
  </si>
  <si>
    <t>Строительство и реконструкция автомобильных дорог общего пользования местного значения</t>
  </si>
  <si>
    <t>618 05 01</t>
  </si>
  <si>
    <t>Государственная поддержка малого и среднего предпринимательства, включая крестьянские (фермерские) хозяйства, в рамках государственной программы Челябинской области "Комплексная поддержка и развитие малого и среднего предпринимательства в Челябинской области на 2015-2017 годы"</t>
  </si>
  <si>
    <t>627 50 64</t>
  </si>
  <si>
    <t>Государственная программа Челябинской области «Комплексная поддержка и развитие малого и среднего предпринимательства в Челябинской области на 2015–2017 годы»</t>
  </si>
  <si>
    <t>627 00 00</t>
  </si>
  <si>
    <t>Муниципальная программа ""Организация мероприятий и создание условий для обеспечения жизнедеятельности Миасского городского округа в 2015 году"</t>
  </si>
  <si>
    <t>795 00 79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</si>
  <si>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</si>
  <si>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</si>
  <si>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614 50 20</t>
  </si>
  <si>
    <t>Подпрограмма "Оказание молодым семьям государственной поддержки для улучшения жилищных условий"</t>
  </si>
  <si>
    <t>614 60 00</t>
  </si>
  <si>
    <t xml:space="preserve"> - электроснабжение  в п. Тыелга, в том числе проектно-изыскательские работы</t>
  </si>
  <si>
    <t xml:space="preserve"> - блочно-модульная котельная в п. Новоандреевка, в том числе проектно-изыскательские работы</t>
  </si>
  <si>
    <t xml:space="preserve"> - котельная к зданию школы в п. Северные Печи, в том числе проектно-изыскательские работы</t>
  </si>
  <si>
    <t xml:space="preserve"> - строительство подводящих сетей к котельной п.Хребет (газопровод от п.Сыростан до п.Хребет), в том числе проектно-изыскательские работы;</t>
  </si>
  <si>
    <t xml:space="preserve"> - газоснабжение ж/д п.Ленинск;</t>
  </si>
  <si>
    <t xml:space="preserve"> -  очистные сооружения п.Хребет, в том числе проектно-изыскательские работы</t>
  </si>
  <si>
    <t xml:space="preserve"> - газоснабжение ФАП в п.В.Атлян, в том числе проектно-изыскательские работы</t>
  </si>
  <si>
    <t>Газоснабжение жилых домов по ул.Чебаркульской, Чернореченской, Силкина, Кутузова, Родниковой, в переулках Жебруна, Песчаном г.Миасса Челябинской области,  в том числе проектно-изыскательские работы</t>
  </si>
  <si>
    <t>Газоснабжение индивидуальных ж/д по улицам Красноуральской, Красноармейской, Миасской, Западной и переулкам Рабочему, Малому, Старательскому в г.Миассе,  в том числе проектно-изыскательские работы</t>
  </si>
  <si>
    <t>Газификация запрудной части г.Миасса Челябинской области (1 очередь), ул.Трактовая, Полевая, пер.Крутой,  в том числе проектно-изыскательские работы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</si>
  <si>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области,  в том числе проектно-изыскательские работы</t>
  </si>
  <si>
    <t>Газопровод высокого давления и распределительный газопровод для газификации жилых домов №1,3,5,7,9,11,13 по пер.Известковому и №14,16,18 по ул.Магистральной в пос.Известковый,  в том числе проектно-изыскательские работы</t>
  </si>
  <si>
    <t>на плановый период 2016 и 2017 гг.</t>
  </si>
  <si>
    <t>Сумма,                 2016г.</t>
  </si>
  <si>
    <t>Сумма,                 2017г.</t>
  </si>
  <si>
    <t>Приложение 8</t>
  </si>
  <si>
    <t>Приложение 11</t>
  </si>
  <si>
    <t xml:space="preserve">от                         № </t>
  </si>
  <si>
    <t xml:space="preserve">Источники 
внутреннего финансирования дефицита бюджета Миасского  городского округа 
на на  плановый период 2016 и 2017 гг.  </t>
  </si>
  <si>
    <t>Сумма, 2015 год
тыс. руб.</t>
  </si>
  <si>
    <t>Сумма, 2016 год
тыс. руб.</t>
  </si>
  <si>
    <t>Сумма, 2017 год
тыс. руб.</t>
  </si>
  <si>
    <t>Погашение бюджетами городских округов бюджетных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</si>
  <si>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 средств бюджета</t>
  </si>
  <si>
    <t xml:space="preserve">от                      № </t>
  </si>
  <si>
    <t xml:space="preserve">от   № 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</si>
  <si>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"Поддержка и развитие дошкольного образования в Челябинской области" на 2015 - 2025 годы</t>
  </si>
  <si>
    <t>604 01 00</t>
  </si>
  <si>
    <t>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</si>
  <si>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604 01 01</t>
  </si>
  <si>
    <t>421 82 23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</si>
  <si>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</si>
  <si>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603 01 04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</si>
  <si>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</si>
  <si>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603 01 05</t>
  </si>
  <si>
    <t>Иные межбюджетные трансферты местным бюджетам в рамках государственной программы Челябинской области «Развитие образования в Челябинской области на 2014–2017 годы</t>
  </si>
  <si>
    <t>603 03 00</t>
  </si>
  <si>
    <t>603 03 01</t>
  </si>
  <si>
    <t>Проведение областного конкурса педагогических коллективов и учителей образовательных организаций, реализующих образовательные программы начального общего, основного общего и (или) среднего общего образования, "Современные образовательные технологии" и выплата его победителям денежного поощрения</t>
  </si>
  <si>
    <t>Реализация мероприятий государственной программы Российской Федерации "Доступная среда" на 2011-2015 годы</t>
  </si>
  <si>
    <t>603 50 27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</si>
  <si>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</si>
  <si>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603 50 97</t>
  </si>
  <si>
    <t>Председатель представительного органа муниципального образования</t>
  </si>
  <si>
    <t>002 11 00</t>
  </si>
  <si>
    <t>Приложение 9</t>
  </si>
  <si>
    <t>Приложение  11</t>
  </si>
  <si>
    <t>к  решению Собрания депутатов</t>
  </si>
  <si>
    <t>Миасского городского округа</t>
  </si>
  <si>
    <t>(в процентах)</t>
  </si>
  <si>
    <t>Наименование дохода</t>
  </si>
  <si>
    <t>Бюджет Миасского городского округа</t>
  </si>
  <si>
    <t>В части погашения задолженности и перерасчетов по отмененным налогам, 
сборам и иным обязательным платежам</t>
  </si>
  <si>
    <t>Земельный налог  (по  обязательствам, возникшим до  1  января  2006  года), мобилизуемый на территориях городских округов</t>
  </si>
  <si>
    <t>Налог  на  рекламу,  мобилизуемый 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</si>
  <si>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</si>
  <si>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Лицензионный сбор за право тоговли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</si>
  <si>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</si>
  <si>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В части доходов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</si>
  <si>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 средств бюджетов городских округов </t>
  </si>
  <si>
    <t>Доходы, поступающие в порядке возмещения расходов, понесенных в связи с эксплуатацией  имущества городских округов</t>
  </si>
  <si>
    <t>В части административных платежей и сборов</t>
  </si>
  <si>
    <t xml:space="preserve">Платежи, взимаемые органами местного самоуправления (организациями) городских округов за выполнение определенных функций    </t>
  </si>
  <si>
    <t>В части штрафов, санкций, возмещения ущерба</t>
  </si>
  <si>
    <t>В части прочих неналоговых доходов</t>
  </si>
  <si>
    <t>В части безвозмездных поступлений от других бюджетов бюджетной системы Российской Федерации</t>
  </si>
  <si>
    <t>Дотации бюджетам  городских округов</t>
  </si>
  <si>
    <t xml:space="preserve">Субсидии бюджетам городских округов </t>
  </si>
  <si>
    <t>Субвенции бюджетам  городских округов</t>
  </si>
  <si>
    <t>Иные межбюджетные трансферты, передаваемые бюджетам городских округов</t>
  </si>
  <si>
    <t>Прочие безвозмездные поступления от других бюджетов бюджетной системы</t>
  </si>
  <si>
    <t>В части безвозмездных поступлений от государственных (муниципальных) 
организаций</t>
  </si>
  <si>
    <t>Безвозмездные поступления от государственных (муниципальных) организаций в бюджеты городских округов</t>
  </si>
  <si>
    <t>В части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</si>
  <si>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</si>
  <si>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 xml:space="preserve">В части прочих безвозмездных поступлений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</si>
  <si>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</si>
  <si>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В части перечислений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</si>
  <si>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</si>
  <si>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остатков,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</si>
  <si>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организациями остатков субсидий прошлых лет </t>
  </si>
  <si>
    <t>В части возврата остатков субсидий, субвенций и иных межбюджетных трансфертов, имеющих целевое назначение, прошлых лет</t>
  </si>
  <si>
    <t>Нормативы распределения доходов
в бюджет Миасского городского округа на 2015 год и 
на плановый период 2016 и 2017 годов</t>
  </si>
  <si>
    <t>главного администратора доходов</t>
  </si>
  <si>
    <t>Министерство дорожного хозяйства и транспорта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</si>
  <si>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 2&gt;</t>
  </si>
  <si>
    <t>018</t>
  </si>
  <si>
    <t>Государственный комитет по делам архивов Челябинской области</t>
  </si>
  <si>
    <t>078</t>
  </si>
  <si>
    <t>Главное управление "Государственная жилищная инспекция Челябинской области"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</si>
  <si>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</si>
  <si>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</si>
  <si>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</si>
  <si>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</si>
  <si>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</si>
  <si>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</si>
  <si>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</si>
  <si>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</si>
  <si>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</si>
  <si>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</si>
  <si>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главного администратора источников финансирования дефицита </t>
  </si>
  <si>
    <t>Приложение 3</t>
  </si>
  <si>
    <t>Наименование главного администратора источников 
финансирования дефицита 
бюджета Миасского городского округа, 
кода бюджетной классификации Российской Федерации</t>
  </si>
  <si>
    <t>Приложение  12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</si>
  <si>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</si>
  <si>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520 54 22</t>
  </si>
  <si>
    <t>601 82 21</t>
  </si>
  <si>
    <t>601 82 23</t>
  </si>
  <si>
    <t>от  04.12.2015 г. №17</t>
  </si>
  <si>
    <t>от 04.12.2015 г. №17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</si>
</sst>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i/>
      <sz val="11"/>
      <name val="Arial Cyr"/>
      <family val="0"/>
    </font>
    <font>
      <sz val="13"/>
      <name val="Arial"/>
      <family val="2"/>
    </font>
    <font>
      <b/>
      <sz val="10"/>
      <name val="Arial"/>
      <family val="2"/>
    </font>
    <font>
      <b/>
      <sz val="11.5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sz val="13"/>
      <color indexed="8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rgb="FFFF0000"/>
      <name val="Arial"/>
      <family val="2"/>
    </font>
    <font>
      <sz val="13"/>
      <color theme="1"/>
      <name val="Times New Roman"/>
      <family val="1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8" applyNumberFormat="1" applyFont="1" applyAlignment="1">
      <alignment horizontal="left"/>
      <protection/>
    </xf>
    <xf numFmtId="0" fontId="11" fillId="0" borderId="0" xfId="58" applyFont="1">
      <alignment/>
      <protection/>
    </xf>
    <xf numFmtId="0" fontId="9" fillId="0" borderId="0" xfId="58" applyFont="1" applyAlignment="1">
      <alignment/>
      <protection/>
    </xf>
    <xf numFmtId="0" fontId="11" fillId="0" borderId="0" xfId="58" applyFont="1" applyAlignment="1">
      <alignment/>
      <protection/>
    </xf>
    <xf numFmtId="49" fontId="7" fillId="0" borderId="12" xfId="58" applyNumberFormat="1" applyFont="1" applyBorder="1" applyAlignment="1">
      <alignment horizontal="left" vertical="center" wrapText="1"/>
      <protection/>
    </xf>
    <xf numFmtId="0" fontId="5" fillId="0" borderId="12" xfId="57" applyFont="1" applyBorder="1" applyAlignment="1">
      <alignment vertical="justify"/>
      <protection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 wrapText="1" readingOrder="1"/>
    </xf>
    <xf numFmtId="0" fontId="7" fillId="0" borderId="0" xfId="58" applyFont="1">
      <alignment/>
      <protection/>
    </xf>
    <xf numFmtId="0" fontId="9" fillId="0" borderId="14" xfId="0" applyFont="1" applyBorder="1" applyAlignment="1">
      <alignment horizontal="left" vertical="justify" wrapText="1"/>
    </xf>
    <xf numFmtId="0" fontId="9" fillId="0" borderId="12" xfId="0" applyFont="1" applyBorder="1" applyAlignment="1">
      <alignment vertical="center" wrapText="1"/>
    </xf>
    <xf numFmtId="49" fontId="7" fillId="0" borderId="12" xfId="58" applyNumberFormat="1" applyFont="1" applyBorder="1" applyAlignment="1">
      <alignment horizontal="left" vertical="center"/>
      <protection/>
    </xf>
    <xf numFmtId="0" fontId="9" fillId="0" borderId="12" xfId="0" applyFont="1" applyBorder="1" applyAlignment="1">
      <alignment vertical="justify"/>
    </xf>
    <xf numFmtId="164" fontId="7" fillId="0" borderId="12" xfId="58" applyNumberFormat="1" applyFont="1" applyBorder="1" applyAlignment="1">
      <alignment vertical="center"/>
      <protection/>
    </xf>
    <xf numFmtId="0" fontId="9" fillId="0" borderId="12" xfId="0" applyNumberFormat="1" applyFont="1" applyBorder="1" applyAlignment="1">
      <alignment vertical="justify"/>
    </xf>
    <xf numFmtId="0" fontId="9" fillId="0" borderId="1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5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9" fillId="0" borderId="13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25" borderId="15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4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43" fontId="9" fillId="0" borderId="0" xfId="66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25" borderId="16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 vertical="center" wrapText="1"/>
    </xf>
    <xf numFmtId="0" fontId="6" fillId="25" borderId="16" xfId="0" applyFont="1" applyFill="1" applyBorder="1" applyAlignment="1">
      <alignment vertical="center" wrapText="1"/>
    </xf>
    <xf numFmtId="43" fontId="7" fillId="0" borderId="0" xfId="0" applyNumberFormat="1" applyFont="1" applyAlignment="1">
      <alignment horizontal="center"/>
    </xf>
    <xf numFmtId="49" fontId="7" fillId="25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24" borderId="18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24" borderId="18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7" fillId="25" borderId="18" xfId="0" applyNumberFormat="1" applyFont="1" applyFill="1" applyBorder="1" applyAlignment="1">
      <alignment horizontal="left" vertical="center" wrapText="1"/>
    </xf>
    <xf numFmtId="164" fontId="7" fillId="0" borderId="12" xfId="58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40" fillId="0" borderId="0" xfId="58" applyFont="1" applyAlignment="1">
      <alignment horizontal="center" vertical="center" wrapText="1"/>
      <protection/>
    </xf>
    <xf numFmtId="164" fontId="7" fillId="0" borderId="0" xfId="58" applyNumberFormat="1" applyFont="1">
      <alignment/>
      <protection/>
    </xf>
    <xf numFmtId="49" fontId="9" fillId="0" borderId="12" xfId="0" applyNumberFormat="1" applyFont="1" applyBorder="1" applyAlignment="1">
      <alignment horizontal="left" vertical="justify"/>
    </xf>
    <xf numFmtId="0" fontId="7" fillId="0" borderId="16" xfId="0" applyFont="1" applyFill="1" applyBorder="1" applyAlignment="1">
      <alignment vertical="center" wrapText="1"/>
    </xf>
    <xf numFmtId="0" fontId="5" fillId="0" borderId="12" xfId="57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164" fontId="38" fillId="0" borderId="2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164" fontId="38" fillId="0" borderId="21" xfId="66" applyNumberFormat="1" applyFont="1" applyFill="1" applyBorder="1" applyAlignment="1">
      <alignment horizontal="center"/>
    </xf>
    <xf numFmtId="164" fontId="38" fillId="25" borderId="21" xfId="66" applyNumberFormat="1" applyFont="1" applyFill="1" applyBorder="1" applyAlignment="1">
      <alignment horizontal="center"/>
    </xf>
    <xf numFmtId="164" fontId="38" fillId="25" borderId="21" xfId="0" applyNumberFormat="1" applyFont="1" applyFill="1" applyBorder="1" applyAlignment="1">
      <alignment horizontal="center" vertical="center" wrapText="1"/>
    </xf>
    <xf numFmtId="164" fontId="38" fillId="25" borderId="21" xfId="0" applyNumberFormat="1" applyFont="1" applyFill="1" applyBorder="1" applyAlignment="1">
      <alignment horizontal="center"/>
    </xf>
    <xf numFmtId="164" fontId="38" fillId="25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 wrapText="1"/>
    </xf>
    <xf numFmtId="164" fontId="38" fillId="0" borderId="20" xfId="0" applyNumberFormat="1" applyFont="1" applyFill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 wrapText="1"/>
    </xf>
    <xf numFmtId="164" fontId="38" fillId="25" borderId="20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8" fillId="25" borderId="2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25" borderId="12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36" fillId="0" borderId="15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2" fillId="0" borderId="15" xfId="0" applyNumberFormat="1" applyFont="1" applyBorder="1" applyAlignment="1">
      <alignment vertical="center" wrapText="1"/>
    </xf>
    <xf numFmtId="49" fontId="13" fillId="25" borderId="15" xfId="0" applyNumberFormat="1" applyFont="1" applyFill="1" applyBorder="1" applyAlignment="1">
      <alignment vertical="center" wrapText="1"/>
    </xf>
    <xf numFmtId="49" fontId="36" fillId="25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7" fillId="25" borderId="15" xfId="0" applyNumberFormat="1" applyFont="1" applyFill="1" applyBorder="1" applyAlignment="1">
      <alignment vertical="center" wrapText="1"/>
    </xf>
    <xf numFmtId="49" fontId="41" fillId="0" borderId="15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25" borderId="15" xfId="0" applyNumberFormat="1" applyFont="1" applyFill="1" applyBorder="1" applyAlignment="1">
      <alignment vertical="center"/>
    </xf>
    <xf numFmtId="49" fontId="7" fillId="25" borderId="12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9" fontId="4" fillId="25" borderId="12" xfId="0" applyNumberFormat="1" applyFont="1" applyFill="1" applyBorder="1" applyAlignment="1">
      <alignment vertical="center"/>
    </xf>
    <xf numFmtId="49" fontId="4" fillId="25" borderId="12" xfId="0" applyNumberFormat="1" applyFont="1" applyFill="1" applyBorder="1" applyAlignment="1">
      <alignment vertical="center"/>
    </xf>
    <xf numFmtId="49" fontId="36" fillId="25" borderId="15" xfId="0" applyNumberFormat="1" applyFont="1" applyFill="1" applyBorder="1" applyAlignment="1">
      <alignment vertical="center"/>
    </xf>
    <xf numFmtId="49" fontId="6" fillId="25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164" fontId="5" fillId="25" borderId="2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24" borderId="18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25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25" borderId="15" xfId="0" applyNumberFormat="1" applyFont="1" applyFill="1" applyBorder="1" applyAlignment="1">
      <alignment vertical="center"/>
    </xf>
    <xf numFmtId="49" fontId="4" fillId="25" borderId="18" xfId="0" applyNumberFormat="1" applyFont="1" applyFill="1" applyBorder="1" applyAlignment="1">
      <alignment vertical="center"/>
    </xf>
    <xf numFmtId="49" fontId="7" fillId="25" borderId="18" xfId="0" applyNumberFormat="1" applyFont="1" applyFill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25" borderId="16" xfId="0" applyFont="1" applyFill="1" applyBorder="1" applyAlignment="1">
      <alignment vertical="center" wrapText="1"/>
    </xf>
    <xf numFmtId="0" fontId="4" fillId="25" borderId="16" xfId="0" applyNumberFormat="1" applyFont="1" applyFill="1" applyBorder="1" applyAlignment="1">
      <alignment vertical="center" wrapText="1"/>
    </xf>
    <xf numFmtId="0" fontId="4" fillId="25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6" fillId="25" borderId="16" xfId="0" applyFont="1" applyFill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49" fontId="7" fillId="0" borderId="30" xfId="0" applyNumberFormat="1" applyFont="1" applyBorder="1" applyAlignment="1">
      <alignment vertical="center" wrapText="1"/>
    </xf>
    <xf numFmtId="49" fontId="7" fillId="0" borderId="31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49" fontId="7" fillId="0" borderId="32" xfId="0" applyNumberFormat="1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49" fontId="7" fillId="25" borderId="15" xfId="0" applyNumberFormat="1" applyFont="1" applyFill="1" applyBorder="1" applyAlignment="1">
      <alignment horizontal="left" vertical="center"/>
    </xf>
    <xf numFmtId="49" fontId="7" fillId="25" borderId="12" xfId="0" applyNumberFormat="1" applyFont="1" applyFill="1" applyBorder="1" applyAlignment="1">
      <alignment horizontal="left" vertical="center"/>
    </xf>
    <xf numFmtId="49" fontId="7" fillId="25" borderId="18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/>
    </xf>
    <xf numFmtId="49" fontId="13" fillId="0" borderId="26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186" fontId="7" fillId="0" borderId="18" xfId="66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 wrapText="1"/>
    </xf>
    <xf numFmtId="0" fontId="6" fillId="25" borderId="18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 horizontal="left" vertical="center" wrapText="1"/>
    </xf>
    <xf numFmtId="49" fontId="4" fillId="25" borderId="15" xfId="0" applyNumberFormat="1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>
      <alignment horizontal="left" vertical="center"/>
    </xf>
    <xf numFmtId="49" fontId="4" fillId="25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>
      <alignment horizontal="left" vertical="center"/>
    </xf>
    <xf numFmtId="49" fontId="4" fillId="25" borderId="18" xfId="0" applyNumberFormat="1" applyFont="1" applyFill="1" applyBorder="1" applyAlignment="1">
      <alignment horizontal="left" vertical="center"/>
    </xf>
    <xf numFmtId="164" fontId="38" fillId="0" borderId="20" xfId="66" applyNumberFormat="1" applyFont="1" applyFill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8" fillId="25" borderId="20" xfId="66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39" fillId="25" borderId="20" xfId="0" applyNumberFormat="1" applyFont="1" applyFill="1" applyBorder="1" applyAlignment="1">
      <alignment horizontal="center" vertical="center"/>
    </xf>
    <xf numFmtId="164" fontId="39" fillId="25" borderId="20" xfId="0" applyNumberFormat="1" applyFont="1" applyFill="1" applyBorder="1" applyAlignment="1">
      <alignment horizontal="center" vertical="center"/>
    </xf>
    <xf numFmtId="164" fontId="37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 wrapText="1"/>
    </xf>
    <xf numFmtId="49" fontId="7" fillId="25" borderId="23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left" vertical="center" wrapText="1"/>
    </xf>
    <xf numFmtId="49" fontId="13" fillId="25" borderId="23" xfId="0" applyNumberFormat="1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left" vertical="center" wrapText="1"/>
    </xf>
    <xf numFmtId="49" fontId="7" fillId="25" borderId="23" xfId="0" applyNumberFormat="1" applyFont="1" applyFill="1" applyBorder="1" applyAlignment="1">
      <alignment horizontal="left" vertical="center" wrapText="1"/>
    </xf>
    <xf numFmtId="49" fontId="36" fillId="25" borderId="23" xfId="0" applyNumberFormat="1" applyFont="1" applyFill="1" applyBorder="1" applyAlignment="1">
      <alignment horizontal="left" vertical="center" wrapText="1"/>
    </xf>
    <xf numFmtId="49" fontId="6" fillId="25" borderId="23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4" fillId="25" borderId="23" xfId="0" applyNumberFormat="1" applyFont="1" applyFill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49" fontId="36" fillId="25" borderId="23" xfId="0" applyNumberFormat="1" applyFont="1" applyFill="1" applyBorder="1" applyAlignment="1">
      <alignment horizontal="left" vertical="center"/>
    </xf>
    <xf numFmtId="49" fontId="13" fillId="0" borderId="38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7" fillId="25" borderId="20" xfId="0" applyNumberFormat="1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0" fontId="6" fillId="25" borderId="2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4" fillId="25" borderId="20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justify"/>
    </xf>
    <xf numFmtId="190" fontId="0" fillId="0" borderId="0" xfId="0" applyNumberFormat="1" applyAlignment="1">
      <alignment/>
    </xf>
    <xf numFmtId="0" fontId="7" fillId="0" borderId="39" xfId="0" applyFont="1" applyBorder="1" applyAlignment="1">
      <alignment vertical="center" wrapText="1"/>
    </xf>
    <xf numFmtId="49" fontId="7" fillId="0" borderId="40" xfId="0" applyNumberFormat="1" applyFont="1" applyBorder="1" applyAlignment="1">
      <alignment vertical="center" wrapText="1"/>
    </xf>
    <xf numFmtId="49" fontId="7" fillId="0" borderId="41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55" fillId="0" borderId="0" xfId="0" applyFont="1" applyAlignment="1">
      <alignment vertical="center" wrapText="1"/>
    </xf>
    <xf numFmtId="0" fontId="9" fillId="0" borderId="12" xfId="58" applyFont="1" applyBorder="1" applyAlignment="1">
      <alignment wrapText="1"/>
      <protection/>
    </xf>
    <xf numFmtId="0" fontId="7" fillId="0" borderId="12" xfId="58" applyFont="1" applyBorder="1" applyAlignment="1">
      <alignment/>
      <protection/>
    </xf>
    <xf numFmtId="164" fontId="7" fillId="0" borderId="12" xfId="58" applyNumberFormat="1" applyFont="1" applyBorder="1" applyAlignment="1">
      <alignment horizontal="center" vertical="center"/>
      <protection/>
    </xf>
    <xf numFmtId="165" fontId="7" fillId="0" borderId="12" xfId="58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42" xfId="0" applyFont="1" applyBorder="1" applyAlignment="1">
      <alignment horizontal="center" wrapText="1"/>
    </xf>
    <xf numFmtId="0" fontId="43" fillId="0" borderId="0" xfId="0" applyFont="1" applyAlignment="1">
      <alignment/>
    </xf>
    <xf numFmtId="49" fontId="7" fillId="25" borderId="16" xfId="0" applyNumberFormat="1" applyFont="1" applyFill="1" applyBorder="1" applyAlignment="1">
      <alignment horizontal="left" vertical="center" wrapText="1"/>
    </xf>
    <xf numFmtId="164" fontId="38" fillId="25" borderId="21" xfId="66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49" fontId="7" fillId="0" borderId="43" xfId="0" applyNumberFormat="1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53" fillId="25" borderId="16" xfId="0" applyNumberFormat="1" applyFont="1" applyFill="1" applyBorder="1" applyAlignment="1">
      <alignment vertical="center" wrapText="1"/>
    </xf>
    <xf numFmtId="0" fontId="53" fillId="25" borderId="12" xfId="0" applyFont="1" applyFill="1" applyBorder="1" applyAlignment="1">
      <alignment vertical="center" wrapText="1"/>
    </xf>
    <xf numFmtId="0" fontId="53" fillId="25" borderId="18" xfId="0" applyFont="1" applyFill="1" applyBorder="1" applyAlignment="1">
      <alignment vertical="center" wrapText="1"/>
    </xf>
    <xf numFmtId="0" fontId="53" fillId="25" borderId="16" xfId="0" applyFont="1" applyFill="1" applyBorder="1" applyAlignment="1">
      <alignment vertical="center" wrapText="1"/>
    </xf>
    <xf numFmtId="49" fontId="13" fillId="0" borderId="23" xfId="0" applyNumberFormat="1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horizontal="left" vertical="center"/>
    </xf>
    <xf numFmtId="0" fontId="1" fillId="25" borderId="0" xfId="54" applyFont="1" applyFill="1" applyAlignment="1">
      <alignment horizontal="center" vertical="center" wrapText="1"/>
      <protection/>
    </xf>
    <xf numFmtId="0" fontId="1" fillId="25" borderId="0" xfId="54" applyFont="1" applyFill="1" applyAlignment="1">
      <alignment horizontal="right" vertical="center" wrapText="1"/>
      <protection/>
    </xf>
    <xf numFmtId="0" fontId="44" fillId="25" borderId="0" xfId="54" applyFont="1" applyFill="1" applyAlignment="1">
      <alignment horizontal="right" vertical="center" wrapText="1"/>
      <protection/>
    </xf>
    <xf numFmtId="0" fontId="44" fillId="25" borderId="12" xfId="54" applyFont="1" applyFill="1" applyBorder="1" applyAlignment="1">
      <alignment horizontal="left" vertical="center" wrapText="1"/>
      <protection/>
    </xf>
    <xf numFmtId="49" fontId="1" fillId="25" borderId="45" xfId="54" applyNumberFormat="1" applyFont="1" applyFill="1" applyBorder="1" applyAlignment="1">
      <alignment horizontal="center" vertical="center" wrapText="1"/>
      <protection/>
    </xf>
    <xf numFmtId="49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vertical="center" wrapText="1"/>
      <protection/>
    </xf>
    <xf numFmtId="0" fontId="1" fillId="25" borderId="12" xfId="54" applyFont="1" applyFill="1" applyBorder="1" applyAlignment="1">
      <alignment horizontal="left" vertical="center" wrapText="1"/>
      <protection/>
    </xf>
    <xf numFmtId="0" fontId="44" fillId="25" borderId="12" xfId="54" applyFont="1" applyFill="1" applyBorder="1" applyAlignment="1">
      <alignment vertical="center" wrapText="1"/>
      <protection/>
    </xf>
    <xf numFmtId="0" fontId="1" fillId="25" borderId="12" xfId="54" applyFont="1" applyFill="1" applyBorder="1" applyAlignment="1">
      <alignment horizontal="left" vertical="top" wrapText="1"/>
      <protection/>
    </xf>
    <xf numFmtId="49" fontId="1" fillId="25" borderId="12" xfId="54" applyNumberFormat="1" applyFont="1" applyFill="1" applyBorder="1" applyAlignment="1">
      <alignment horizontal="left" vertical="center" wrapText="1"/>
      <protection/>
    </xf>
    <xf numFmtId="0" fontId="1" fillId="25" borderId="12" xfId="54" applyNumberFormat="1" applyFont="1" applyFill="1" applyBorder="1" applyAlignment="1">
      <alignment vertical="center" wrapText="1"/>
      <protection/>
    </xf>
    <xf numFmtId="49" fontId="0" fillId="25" borderId="12" xfId="54" applyNumberFormat="1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vertical="center" wrapText="1"/>
    </xf>
    <xf numFmtId="49" fontId="1" fillId="25" borderId="13" xfId="54" applyNumberFormat="1" applyFont="1" applyFill="1" applyBorder="1" applyAlignment="1">
      <alignment horizontal="center" vertical="center" wrapText="1"/>
      <protection/>
    </xf>
    <xf numFmtId="0" fontId="1" fillId="25" borderId="0" xfId="54" applyFont="1" applyFill="1" applyAlignment="1">
      <alignment vertical="center"/>
      <protection/>
    </xf>
    <xf numFmtId="0" fontId="1" fillId="25" borderId="12" xfId="54" applyFont="1" applyFill="1" applyBorder="1" applyAlignment="1">
      <alignment vertical="center"/>
      <protection/>
    </xf>
    <xf numFmtId="49" fontId="44" fillId="25" borderId="12" xfId="54" applyNumberFormat="1" applyFont="1" applyFill="1" applyBorder="1" applyAlignment="1">
      <alignment horizontal="left" vertical="center" wrapText="1"/>
      <protection/>
    </xf>
    <xf numFmtId="0" fontId="0" fillId="0" borderId="0" xfId="56">
      <alignment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56" applyFont="1">
      <alignment/>
      <protection/>
    </xf>
    <xf numFmtId="0" fontId="5" fillId="0" borderId="0" xfId="56" applyFont="1">
      <alignment/>
      <protection/>
    </xf>
    <xf numFmtId="0" fontId="3" fillId="0" borderId="0" xfId="56" applyFont="1">
      <alignment/>
      <protection/>
    </xf>
    <xf numFmtId="0" fontId="5" fillId="0" borderId="32" xfId="56" applyFont="1" applyBorder="1">
      <alignment/>
      <protection/>
    </xf>
    <xf numFmtId="0" fontId="5" fillId="0" borderId="36" xfId="56" applyFont="1" applyBorder="1" applyAlignment="1">
      <alignment horizontal="center" vertical="justify"/>
      <protection/>
    </xf>
    <xf numFmtId="0" fontId="5" fillId="0" borderId="46" xfId="56" applyFont="1" applyBorder="1" applyAlignment="1">
      <alignment horizontal="left" wrapText="1"/>
      <protection/>
    </xf>
    <xf numFmtId="164" fontId="5" fillId="0" borderId="47" xfId="56" applyNumberFormat="1" applyFont="1" applyBorder="1" applyAlignment="1">
      <alignment horizontal="center" vertical="center"/>
      <protection/>
    </xf>
    <xf numFmtId="165" fontId="5" fillId="0" borderId="0" xfId="56" applyNumberFormat="1" applyFont="1">
      <alignment/>
      <protection/>
    </xf>
    <xf numFmtId="0" fontId="5" fillId="0" borderId="16" xfId="56" applyFont="1" applyBorder="1" applyAlignment="1">
      <alignment horizontal="center"/>
      <protection/>
    </xf>
    <xf numFmtId="164" fontId="5" fillId="0" borderId="20" xfId="56" applyNumberFormat="1" applyFont="1" applyBorder="1" applyAlignment="1">
      <alignment horizontal="center" vertical="center"/>
      <protection/>
    </xf>
    <xf numFmtId="0" fontId="5" fillId="0" borderId="48" xfId="56" applyFont="1" applyBorder="1" applyAlignment="1">
      <alignment horizontal="center"/>
      <protection/>
    </xf>
    <xf numFmtId="0" fontId="5" fillId="0" borderId="36" xfId="56" applyFont="1" applyBorder="1" applyAlignment="1">
      <alignment horizontal="left" wrapText="1"/>
      <protection/>
    </xf>
    <xf numFmtId="164" fontId="5" fillId="0" borderId="36" xfId="56" applyNumberFormat="1" applyFont="1" applyBorder="1" applyAlignment="1">
      <alignment horizontal="center" vertical="center"/>
      <protection/>
    </xf>
    <xf numFmtId="0" fontId="5" fillId="0" borderId="24" xfId="56" applyFont="1" applyBorder="1" applyAlignment="1">
      <alignment wrapText="1"/>
      <protection/>
    </xf>
    <xf numFmtId="0" fontId="5" fillId="0" borderId="29" xfId="56" applyFont="1" applyBorder="1" applyAlignment="1">
      <alignment horizontal="center"/>
      <protection/>
    </xf>
    <xf numFmtId="164" fontId="5" fillId="0" borderId="49" xfId="56" applyNumberFormat="1" applyFont="1" applyBorder="1" applyAlignment="1">
      <alignment horizontal="center" vertical="center"/>
      <protection/>
    </xf>
    <xf numFmtId="0" fontId="5" fillId="0" borderId="36" xfId="56" applyFont="1" applyBorder="1">
      <alignment/>
      <protection/>
    </xf>
    <xf numFmtId="0" fontId="5" fillId="0" borderId="24" xfId="56" applyFont="1" applyBorder="1" applyAlignment="1">
      <alignment horizontal="center"/>
      <protection/>
    </xf>
    <xf numFmtId="164" fontId="5" fillId="0" borderId="50" xfId="56" applyNumberFormat="1" applyFont="1" applyBorder="1" applyAlignment="1">
      <alignment horizontal="center" vertical="center"/>
      <protection/>
    </xf>
    <xf numFmtId="165" fontId="7" fillId="0" borderId="51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left"/>
    </xf>
    <xf numFmtId="0" fontId="4" fillId="25" borderId="12" xfId="0" applyFont="1" applyFill="1" applyBorder="1" applyAlignment="1">
      <alignment horizontal="left"/>
    </xf>
    <xf numFmtId="49" fontId="4" fillId="25" borderId="12" xfId="0" applyNumberFormat="1" applyFont="1" applyFill="1" applyBorder="1" applyAlignment="1">
      <alignment horizontal="left"/>
    </xf>
    <xf numFmtId="164" fontId="38" fillId="0" borderId="49" xfId="0" applyNumberFormat="1" applyFont="1" applyFill="1" applyBorder="1" applyAlignment="1">
      <alignment horizontal="center" vertical="center" wrapText="1"/>
    </xf>
    <xf numFmtId="164" fontId="38" fillId="0" borderId="22" xfId="0" applyNumberFormat="1" applyFont="1" applyFill="1" applyBorder="1" applyAlignment="1">
      <alignment horizontal="center" vertical="center" wrapText="1"/>
    </xf>
    <xf numFmtId="164" fontId="39" fillId="0" borderId="2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49" fontId="55" fillId="0" borderId="0" xfId="0" applyNumberFormat="1" applyFont="1" applyAlignment="1">
      <alignment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164" fontId="45" fillId="0" borderId="52" xfId="0" applyNumberFormat="1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164" fontId="45" fillId="0" borderId="20" xfId="0" applyNumberFormat="1" applyFont="1" applyFill="1" applyBorder="1" applyAlignment="1">
      <alignment horizontal="center" vertical="center"/>
    </xf>
    <xf numFmtId="164" fontId="39" fillId="0" borderId="49" xfId="0" applyNumberFormat="1" applyFont="1" applyFill="1" applyBorder="1" applyAlignment="1">
      <alignment horizontal="center" vertical="center"/>
    </xf>
    <xf numFmtId="164" fontId="45" fillId="0" borderId="36" xfId="0" applyNumberFormat="1" applyFont="1" applyFill="1" applyBorder="1" applyAlignment="1">
      <alignment horizontal="center" vertical="center"/>
    </xf>
    <xf numFmtId="164" fontId="37" fillId="0" borderId="51" xfId="0" applyNumberFormat="1" applyFont="1" applyFill="1" applyBorder="1" applyAlignment="1">
      <alignment horizontal="center" vertical="center"/>
    </xf>
    <xf numFmtId="164" fontId="38" fillId="0" borderId="21" xfId="0" applyNumberFormat="1" applyFont="1" applyFill="1" applyBorder="1" applyAlignment="1">
      <alignment horizontal="center" vertical="center"/>
    </xf>
    <xf numFmtId="164" fontId="38" fillId="0" borderId="21" xfId="66" applyNumberFormat="1" applyFont="1" applyFill="1" applyBorder="1" applyAlignment="1">
      <alignment horizontal="center" vertical="center"/>
    </xf>
    <xf numFmtId="164" fontId="37" fillId="0" borderId="21" xfId="0" applyNumberFormat="1" applyFont="1" applyFill="1" applyBorder="1" applyAlignment="1">
      <alignment horizontal="center" vertical="center"/>
    </xf>
    <xf numFmtId="164" fontId="38" fillId="0" borderId="21" xfId="0" applyNumberFormat="1" applyFont="1" applyBorder="1" applyAlignment="1">
      <alignment horizontal="center" vertical="center"/>
    </xf>
    <xf numFmtId="164" fontId="39" fillId="25" borderId="13" xfId="0" applyNumberFormat="1" applyFont="1" applyFill="1" applyBorder="1" applyAlignment="1">
      <alignment horizontal="center"/>
    </xf>
    <xf numFmtId="164" fontId="37" fillId="0" borderId="21" xfId="0" applyNumberFormat="1" applyFont="1" applyFill="1" applyBorder="1" applyAlignment="1">
      <alignment horizontal="center" vertical="center" wrapText="1"/>
    </xf>
    <xf numFmtId="164" fontId="39" fillId="25" borderId="21" xfId="0" applyNumberFormat="1" applyFont="1" applyFill="1" applyBorder="1" applyAlignment="1">
      <alignment horizontal="center" vertical="center"/>
    </xf>
    <xf numFmtId="164" fontId="39" fillId="25" borderId="21" xfId="0" applyNumberFormat="1" applyFont="1" applyFill="1" applyBorder="1" applyAlignment="1">
      <alignment horizontal="center" vertical="center"/>
    </xf>
    <xf numFmtId="164" fontId="37" fillId="0" borderId="53" xfId="0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49" fontId="13" fillId="0" borderId="28" xfId="0" applyNumberFormat="1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186" fontId="7" fillId="0" borderId="18" xfId="66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25" borderId="15" xfId="0" applyNumberFormat="1" applyFont="1" applyFill="1" applyBorder="1" applyAlignment="1">
      <alignment/>
    </xf>
    <xf numFmtId="49" fontId="4" fillId="25" borderId="15" xfId="0" applyNumberFormat="1" applyFont="1" applyFill="1" applyBorder="1" applyAlignment="1">
      <alignment/>
    </xf>
    <xf numFmtId="49" fontId="4" fillId="25" borderId="18" xfId="0" applyNumberFormat="1" applyFont="1" applyFill="1" applyBorder="1" applyAlignment="1">
      <alignment horizontal="left"/>
    </xf>
    <xf numFmtId="49" fontId="4" fillId="25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 wrapText="1"/>
    </xf>
    <xf numFmtId="0" fontId="53" fillId="0" borderId="18" xfId="0" applyFont="1" applyFill="1" applyBorder="1" applyAlignment="1">
      <alignment vertical="center" wrapText="1"/>
    </xf>
    <xf numFmtId="49" fontId="7" fillId="0" borderId="55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left" vertical="center" wrapText="1"/>
    </xf>
    <xf numFmtId="164" fontId="53" fillId="0" borderId="47" xfId="0" applyNumberFormat="1" applyFont="1" applyBorder="1" applyAlignment="1">
      <alignment horizontal="right" vertical="center" wrapText="1"/>
    </xf>
    <xf numFmtId="164" fontId="53" fillId="0" borderId="49" xfId="0" applyNumberFormat="1" applyFont="1" applyBorder="1" applyAlignment="1">
      <alignment horizontal="right" vertical="center" wrapText="1"/>
    </xf>
    <xf numFmtId="164" fontId="53" fillId="0" borderId="36" xfId="0" applyNumberFormat="1" applyFont="1" applyBorder="1" applyAlignment="1">
      <alignment horizontal="right" vertical="center" wrapText="1"/>
    </xf>
    <xf numFmtId="164" fontId="53" fillId="0" borderId="56" xfId="0" applyNumberFormat="1" applyFont="1" applyBorder="1" applyAlignment="1">
      <alignment horizontal="right" vertical="center" wrapText="1"/>
    </xf>
    <xf numFmtId="164" fontId="53" fillId="0" borderId="57" xfId="0" applyNumberFormat="1" applyFont="1" applyBorder="1" applyAlignment="1">
      <alignment horizontal="right" vertical="center" wrapText="1"/>
    </xf>
    <xf numFmtId="164" fontId="53" fillId="0" borderId="53" xfId="0" applyNumberFormat="1" applyFont="1" applyBorder="1" applyAlignment="1">
      <alignment horizontal="right" vertical="center" wrapText="1"/>
    </xf>
    <xf numFmtId="164" fontId="53" fillId="0" borderId="58" xfId="0" applyNumberFormat="1" applyFont="1" applyBorder="1" applyAlignment="1">
      <alignment horizontal="center" vertical="center" wrapText="1"/>
    </xf>
    <xf numFmtId="164" fontId="53" fillId="0" borderId="59" xfId="0" applyNumberFormat="1" applyFont="1" applyBorder="1" applyAlignment="1">
      <alignment horizontal="center" vertical="center" wrapText="1"/>
    </xf>
    <xf numFmtId="164" fontId="53" fillId="0" borderId="38" xfId="0" applyNumberFormat="1" applyFont="1" applyBorder="1" applyAlignment="1">
      <alignment horizontal="center" vertical="center" wrapText="1"/>
    </xf>
    <xf numFmtId="164" fontId="53" fillId="0" borderId="47" xfId="0" applyNumberFormat="1" applyFont="1" applyBorder="1" applyAlignment="1">
      <alignment horizontal="center" vertical="center" wrapText="1"/>
    </xf>
    <xf numFmtId="164" fontId="53" fillId="0" borderId="23" xfId="0" applyNumberFormat="1" applyFont="1" applyBorder="1" applyAlignment="1">
      <alignment horizontal="center" vertical="center" wrapText="1"/>
    </xf>
    <xf numFmtId="164" fontId="53" fillId="0" borderId="20" xfId="0" applyNumberFormat="1" applyFont="1" applyBorder="1" applyAlignment="1">
      <alignment horizontal="center" vertical="center" wrapText="1"/>
    </xf>
    <xf numFmtId="164" fontId="53" fillId="0" borderId="49" xfId="0" applyNumberFormat="1" applyFont="1" applyBorder="1" applyAlignment="1">
      <alignment horizontal="center" vertical="center" wrapText="1"/>
    </xf>
    <xf numFmtId="164" fontId="53" fillId="0" borderId="36" xfId="0" applyNumberFormat="1" applyFont="1" applyBorder="1" applyAlignment="1">
      <alignment horizontal="center" vertical="center" wrapText="1"/>
    </xf>
    <xf numFmtId="164" fontId="53" fillId="0" borderId="52" xfId="0" applyNumberFormat="1" applyFont="1" applyBorder="1" applyAlignment="1">
      <alignment horizontal="center" vertical="center" wrapText="1"/>
    </xf>
    <xf numFmtId="164" fontId="53" fillId="0" borderId="37" xfId="0" applyNumberFormat="1" applyFont="1" applyBorder="1" applyAlignment="1">
      <alignment horizontal="center" vertical="center" wrapText="1"/>
    </xf>
    <xf numFmtId="164" fontId="53" fillId="0" borderId="5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49" fontId="53" fillId="0" borderId="25" xfId="0" applyNumberFormat="1" applyFont="1" applyBorder="1" applyAlignment="1">
      <alignment horizontal="justify" vertical="center" wrapText="1"/>
    </xf>
    <xf numFmtId="0" fontId="7" fillId="0" borderId="22" xfId="0" applyFont="1" applyBorder="1" applyAlignment="1">
      <alignment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52" xfId="0" applyFont="1" applyBorder="1" applyAlignment="1">
      <alignment vertical="center" wrapText="1"/>
    </xf>
    <xf numFmtId="0" fontId="7" fillId="0" borderId="51" xfId="0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36" xfId="0" applyFont="1" applyBorder="1" applyAlignment="1">
      <alignment vertical="center" wrapText="1"/>
    </xf>
    <xf numFmtId="165" fontId="7" fillId="0" borderId="53" xfId="0" applyNumberFormat="1" applyFont="1" applyBorder="1" applyAlignment="1">
      <alignment horizontal="center" vertical="center" wrapText="1"/>
    </xf>
    <xf numFmtId="165" fontId="7" fillId="0" borderId="35" xfId="0" applyNumberFormat="1" applyFont="1" applyBorder="1" applyAlignment="1">
      <alignment horizontal="right" vertical="center" wrapText="1"/>
    </xf>
    <xf numFmtId="165" fontId="7" fillId="0" borderId="51" xfId="0" applyNumberFormat="1" applyFont="1" applyBorder="1" applyAlignment="1">
      <alignment horizontal="right" vertical="center" wrapText="1"/>
    </xf>
    <xf numFmtId="165" fontId="7" fillId="0" borderId="21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53" xfId="0" applyFont="1" applyBorder="1" applyAlignment="1">
      <alignment horizontal="center" vertical="center" wrapText="1"/>
    </xf>
    <xf numFmtId="49" fontId="53" fillId="0" borderId="46" xfId="0" applyNumberFormat="1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165" fontId="7" fillId="0" borderId="5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5" fontId="7" fillId="0" borderId="42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47" xfId="0" applyFont="1" applyBorder="1" applyAlignment="1">
      <alignment vertical="center" wrapText="1"/>
    </xf>
    <xf numFmtId="165" fontId="7" fillId="0" borderId="56" xfId="0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left" vertical="center" wrapText="1"/>
    </xf>
    <xf numFmtId="49" fontId="9" fillId="24" borderId="12" xfId="0" applyNumberFormat="1" applyFont="1" applyFill="1" applyBorder="1" applyAlignment="1">
      <alignment horizontal="left" vertical="center" wrapText="1"/>
    </xf>
    <xf numFmtId="0" fontId="46" fillId="24" borderId="0" xfId="54" applyFont="1" applyFill="1" applyAlignment="1">
      <alignment horizontal="center" vertical="center" wrapText="1"/>
      <protection/>
    </xf>
    <xf numFmtId="0" fontId="46" fillId="25" borderId="0" xfId="54" applyFont="1" applyFill="1" applyAlignment="1">
      <alignment horizontal="center" vertical="center" wrapText="1"/>
      <protection/>
    </xf>
    <xf numFmtId="0" fontId="46" fillId="24" borderId="0" xfId="54" applyFont="1" applyFill="1">
      <alignment/>
      <protection/>
    </xf>
    <xf numFmtId="0" fontId="48" fillId="24" borderId="12" xfId="54" applyFont="1" applyFill="1" applyBorder="1" applyAlignment="1">
      <alignment vertical="center" wrapText="1"/>
      <protection/>
    </xf>
    <xf numFmtId="49" fontId="46" fillId="25" borderId="12" xfId="54" applyNumberFormat="1" applyFont="1" applyFill="1" applyBorder="1" applyAlignment="1">
      <alignment horizontal="center" vertical="center" wrapText="1"/>
      <protection/>
    </xf>
    <xf numFmtId="0" fontId="46" fillId="25" borderId="12" xfId="54" applyFont="1" applyFill="1" applyBorder="1" applyAlignment="1">
      <alignment vertical="center" wrapText="1"/>
      <protection/>
    </xf>
    <xf numFmtId="0" fontId="48" fillId="24" borderId="0" xfId="54" applyFont="1" applyFill="1">
      <alignment/>
      <protection/>
    </xf>
    <xf numFmtId="0" fontId="46" fillId="25" borderId="0" xfId="54" applyFont="1" applyFill="1">
      <alignment/>
      <protection/>
    </xf>
    <xf numFmtId="0" fontId="46" fillId="24" borderId="0" xfId="54" applyFont="1" applyFill="1" applyAlignment="1">
      <alignment vertical="center" wrapText="1"/>
      <protection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1" fillId="25" borderId="0" xfId="54" applyFont="1" applyFill="1" applyAlignment="1">
      <alignment horizontal="right" vertical="center"/>
      <protection/>
    </xf>
    <xf numFmtId="0" fontId="1" fillId="0" borderId="0" xfId="0" applyFont="1" applyFill="1" applyAlignment="1">
      <alignment horizontal="left"/>
    </xf>
    <xf numFmtId="49" fontId="7" fillId="0" borderId="61" xfId="0" applyNumberFormat="1" applyFont="1" applyBorder="1" applyAlignment="1">
      <alignment horizontal="left" vertical="center" wrapText="1"/>
    </xf>
    <xf numFmtId="165" fontId="7" fillId="0" borderId="47" xfId="0" applyNumberFormat="1" applyFont="1" applyBorder="1" applyAlignment="1">
      <alignment horizontal="center" vertical="center" wrapText="1"/>
    </xf>
    <xf numFmtId="49" fontId="4" fillId="0" borderId="20" xfId="54" applyNumberFormat="1" applyFont="1" applyBorder="1" applyAlignment="1">
      <alignment horizontal="left" vertical="center" wrapText="1"/>
      <protection/>
    </xf>
    <xf numFmtId="49" fontId="4" fillId="0" borderId="11" xfId="54" applyNumberFormat="1" applyFont="1" applyBorder="1" applyAlignment="1">
      <alignment horizontal="left" vertical="center" wrapText="1"/>
      <protection/>
    </xf>
    <xf numFmtId="164" fontId="53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9" fillId="0" borderId="0" xfId="58" applyFont="1" applyAlignment="1">
      <alignment wrapText="1"/>
      <protection/>
    </xf>
    <xf numFmtId="0" fontId="49" fillId="0" borderId="0" xfId="58" applyFont="1" applyAlignment="1">
      <alignment horizontal="center" vertical="center" wrapText="1"/>
      <protection/>
    </xf>
    <xf numFmtId="0" fontId="13" fillId="0" borderId="0" xfId="58" applyFont="1">
      <alignment/>
      <protection/>
    </xf>
    <xf numFmtId="0" fontId="5" fillId="0" borderId="12" xfId="57" applyFont="1" applyBorder="1" applyAlignment="1">
      <alignment vertical="justify" wrapText="1"/>
      <protection/>
    </xf>
    <xf numFmtId="164" fontId="7" fillId="0" borderId="12" xfId="58" applyNumberFormat="1" applyFont="1" applyBorder="1" applyAlignment="1">
      <alignment vertical="center" wrapText="1"/>
      <protection/>
    </xf>
    <xf numFmtId="49" fontId="9" fillId="0" borderId="12" xfId="0" applyNumberFormat="1" applyFont="1" applyBorder="1" applyAlignment="1">
      <alignment horizontal="left" vertical="justify" wrapText="1"/>
    </xf>
    <xf numFmtId="0" fontId="9" fillId="0" borderId="12" xfId="0" applyFont="1" applyBorder="1" applyAlignment="1">
      <alignment vertical="justify" wrapText="1"/>
    </xf>
    <xf numFmtId="0" fontId="9" fillId="0" borderId="12" xfId="0" applyNumberFormat="1" applyFont="1" applyBorder="1" applyAlignment="1">
      <alignment vertical="justify" wrapText="1"/>
    </xf>
    <xf numFmtId="49" fontId="7" fillId="0" borderId="0" xfId="58" applyNumberFormat="1" applyFont="1" applyAlignment="1">
      <alignment horizontal="left"/>
      <protection/>
    </xf>
    <xf numFmtId="0" fontId="7" fillId="0" borderId="0" xfId="58" applyFont="1" applyAlignment="1">
      <alignment/>
      <protection/>
    </xf>
    <xf numFmtId="0" fontId="0" fillId="0" borderId="0" xfId="0" applyFill="1" applyAlignment="1">
      <alignment horizontal="center"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5" borderId="45" xfId="54" applyFont="1" applyFill="1" applyBorder="1" applyAlignment="1">
      <alignment horizontal="center" vertical="center" wrapText="1"/>
      <protection/>
    </xf>
    <xf numFmtId="0" fontId="47" fillId="25" borderId="0" xfId="54" applyFont="1" applyFill="1" applyAlignment="1">
      <alignment horizontal="center" vertical="center" wrapText="1"/>
      <protection/>
    </xf>
    <xf numFmtId="0" fontId="46" fillId="25" borderId="12" xfId="54" applyFont="1" applyFill="1" applyBorder="1" applyAlignment="1">
      <alignment horizontal="center" vertical="center" wrapText="1"/>
      <protection/>
    </xf>
    <xf numFmtId="0" fontId="48" fillId="25" borderId="12" xfId="5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wrapText="1"/>
    </xf>
    <xf numFmtId="164" fontId="9" fillId="0" borderId="0" xfId="0" applyNumberFormat="1" applyFont="1" applyAlignment="1">
      <alignment/>
    </xf>
    <xf numFmtId="49" fontId="7" fillId="0" borderId="23" xfId="0" applyNumberFormat="1" applyFont="1" applyFill="1" applyBorder="1" applyAlignment="1">
      <alignment vertical="center"/>
    </xf>
    <xf numFmtId="0" fontId="1" fillId="25" borderId="0" xfId="54" applyFont="1" applyFill="1" applyAlignment="1">
      <alignment horizontal="center" vertical="center"/>
      <protection/>
    </xf>
    <xf numFmtId="0" fontId="2" fillId="25" borderId="0" xfId="54" applyFont="1" applyFill="1" applyAlignment="1">
      <alignment horizontal="center" vertical="center" wrapText="1"/>
      <protection/>
    </xf>
    <xf numFmtId="0" fontId="0" fillId="25" borderId="0" xfId="54" applyFont="1" applyFill="1" applyAlignment="1">
      <alignment horizontal="center" vertical="center" wrapText="1"/>
      <protection/>
    </xf>
    <xf numFmtId="0" fontId="46" fillId="24" borderId="0" xfId="54" applyFont="1" applyFill="1" applyAlignment="1">
      <alignment horizontal="right" vertical="center" wrapText="1"/>
      <protection/>
    </xf>
    <xf numFmtId="0" fontId="46" fillId="24" borderId="0" xfId="54" applyFont="1" applyFill="1" applyAlignment="1">
      <alignment horizontal="right" vertical="center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wrapText="1"/>
    </xf>
    <xf numFmtId="49" fontId="7" fillId="25" borderId="23" xfId="0" applyNumberFormat="1" applyFont="1" applyFill="1" applyBorder="1" applyAlignment="1">
      <alignment vertical="center"/>
    </xf>
    <xf numFmtId="49" fontId="4" fillId="25" borderId="23" xfId="0" applyNumberFormat="1" applyFont="1" applyFill="1" applyBorder="1" applyAlignment="1">
      <alignment/>
    </xf>
    <xf numFmtId="49" fontId="7" fillId="0" borderId="23" xfId="0" applyNumberFormat="1" applyFont="1" applyBorder="1" applyAlignment="1">
      <alignment vertical="center" wrapText="1"/>
    </xf>
    <xf numFmtId="49" fontId="7" fillId="0" borderId="23" xfId="0" applyNumberFormat="1" applyFont="1" applyFill="1" applyBorder="1" applyAlignment="1">
      <alignment vertical="center" wrapText="1"/>
    </xf>
    <xf numFmtId="49" fontId="6" fillId="25" borderId="23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13" fillId="25" borderId="23" xfId="0" applyNumberFormat="1" applyFont="1" applyFill="1" applyBorder="1" applyAlignment="1">
      <alignment vertical="center" wrapText="1"/>
    </xf>
    <xf numFmtId="49" fontId="7" fillId="25" borderId="23" xfId="0" applyNumberFormat="1" applyFont="1" applyFill="1" applyBorder="1" applyAlignment="1">
      <alignment vertical="center" wrapText="1"/>
    </xf>
    <xf numFmtId="49" fontId="36" fillId="25" borderId="23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vertical="center" wrapText="1"/>
    </xf>
    <xf numFmtId="49" fontId="4" fillId="25" borderId="23" xfId="0" applyNumberFormat="1" applyFont="1" applyFill="1" applyBorder="1" applyAlignment="1">
      <alignment vertical="center"/>
    </xf>
    <xf numFmtId="49" fontId="36" fillId="25" borderId="23" xfId="0" applyNumberFormat="1" applyFont="1" applyFill="1" applyBorder="1" applyAlignment="1">
      <alignment vertical="center"/>
    </xf>
    <xf numFmtId="0" fontId="13" fillId="0" borderId="47" xfId="0" applyNumberFormat="1" applyFont="1" applyBorder="1" applyAlignment="1">
      <alignment horizontal="left" vertical="center" wrapText="1"/>
    </xf>
    <xf numFmtId="0" fontId="53" fillId="25" borderId="20" xfId="0" applyNumberFormat="1" applyFont="1" applyFill="1" applyBorder="1" applyAlignment="1">
      <alignment horizontal="left" vertical="center" wrapText="1"/>
    </xf>
    <xf numFmtId="0" fontId="53" fillId="25" borderId="20" xfId="0" applyFont="1" applyFill="1" applyBorder="1" applyAlignment="1">
      <alignment horizontal="left" vertical="center" wrapText="1"/>
    </xf>
    <xf numFmtId="0" fontId="6" fillId="25" borderId="20" xfId="0" applyFont="1" applyFill="1" applyBorder="1" applyAlignment="1">
      <alignment horizontal="left" vertical="center"/>
    </xf>
    <xf numFmtId="0" fontId="7" fillId="0" borderId="4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/>
    </xf>
    <xf numFmtId="0" fontId="4" fillId="25" borderId="18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 wrapText="1"/>
    </xf>
    <xf numFmtId="0" fontId="53" fillId="25" borderId="12" xfId="0" applyFont="1" applyFill="1" applyBorder="1" applyAlignment="1">
      <alignment horizontal="left" vertical="center" wrapText="1"/>
    </xf>
    <xf numFmtId="0" fontId="53" fillId="25" borderId="18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5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4" fontId="38" fillId="0" borderId="21" xfId="0" applyNumberFormat="1" applyFont="1" applyBorder="1" applyAlignment="1">
      <alignment horizontal="center"/>
    </xf>
    <xf numFmtId="164" fontId="5" fillId="25" borderId="21" xfId="0" applyNumberFormat="1" applyFont="1" applyFill="1" applyBorder="1" applyAlignment="1">
      <alignment horizontal="center"/>
    </xf>
    <xf numFmtId="164" fontId="38" fillId="0" borderId="57" xfId="0" applyNumberFormat="1" applyFont="1" applyFill="1" applyBorder="1" applyAlignment="1">
      <alignment horizontal="center" vertical="center" wrapText="1"/>
    </xf>
    <xf numFmtId="164" fontId="38" fillId="0" borderId="35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54" xfId="0" applyNumberFormat="1" applyFont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164" fontId="37" fillId="0" borderId="47" xfId="0" applyNumberFormat="1" applyFont="1" applyFill="1" applyBorder="1" applyAlignment="1">
      <alignment horizontal="center" vertical="center"/>
    </xf>
    <xf numFmtId="164" fontId="5" fillId="25" borderId="20" xfId="0" applyNumberFormat="1" applyFont="1" applyFill="1" applyBorder="1" applyAlignment="1">
      <alignment horizontal="center" vertical="center"/>
    </xf>
    <xf numFmtId="164" fontId="5" fillId="25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9" fontId="7" fillId="0" borderId="62" xfId="0" applyNumberFormat="1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164" fontId="37" fillId="0" borderId="51" xfId="0" applyNumberFormat="1" applyFont="1" applyFill="1" applyBorder="1" applyAlignment="1">
      <alignment horizontal="center" vertical="center" wrapText="1"/>
    </xf>
    <xf numFmtId="164" fontId="39" fillId="0" borderId="21" xfId="66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37" fillId="0" borderId="53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/>
    </xf>
    <xf numFmtId="0" fontId="7" fillId="0" borderId="63" xfId="0" applyFont="1" applyBorder="1" applyAlignment="1">
      <alignment vertical="center" wrapText="1"/>
    </xf>
    <xf numFmtId="0" fontId="56" fillId="0" borderId="18" xfId="0" applyFont="1" applyFill="1" applyBorder="1" applyAlignment="1">
      <alignment horizontal="center" vertical="center" wrapText="1"/>
    </xf>
    <xf numFmtId="164" fontId="5" fillId="0" borderId="52" xfId="56" applyNumberFormat="1" applyFont="1" applyBorder="1" applyAlignment="1">
      <alignment horizontal="center" vertical="center"/>
      <protection/>
    </xf>
    <xf numFmtId="0" fontId="7" fillId="25" borderId="20" xfId="0" applyFont="1" applyFill="1" applyBorder="1" applyAlignment="1">
      <alignment vertical="center" wrapText="1"/>
    </xf>
    <xf numFmtId="0" fontId="3" fillId="25" borderId="0" xfId="54" applyFont="1" applyFill="1" applyAlignment="1">
      <alignment horizontal="center" vertical="center" wrapText="1"/>
      <protection/>
    </xf>
    <xf numFmtId="0" fontId="44" fillId="25" borderId="12" xfId="54" applyFont="1" applyFill="1" applyBorder="1" applyAlignment="1">
      <alignment horizontal="left" vertical="center" wrapText="1"/>
      <protection/>
    </xf>
    <xf numFmtId="0" fontId="44" fillId="25" borderId="45" xfId="54" applyFont="1" applyFill="1" applyBorder="1" applyAlignment="1">
      <alignment horizontal="left" vertical="center" wrapText="1"/>
      <protection/>
    </xf>
    <xf numFmtId="0" fontId="44" fillId="25" borderId="13" xfId="54" applyFont="1" applyFill="1" applyBorder="1" applyAlignment="1">
      <alignment horizontal="left" vertical="center" wrapText="1"/>
      <protection/>
    </xf>
    <xf numFmtId="49" fontId="44" fillId="25" borderId="45" xfId="54" applyNumberFormat="1" applyFont="1" applyFill="1" applyBorder="1" applyAlignment="1">
      <alignment horizontal="left" vertical="center" wrapText="1"/>
      <protection/>
    </xf>
    <xf numFmtId="49" fontId="44" fillId="25" borderId="13" xfId="54" applyNumberFormat="1" applyFont="1" applyFill="1" applyBorder="1" applyAlignment="1">
      <alignment horizontal="left" vertical="center" wrapText="1"/>
      <protection/>
    </xf>
    <xf numFmtId="49" fontId="44" fillId="25" borderId="12" xfId="54" applyNumberFormat="1" applyFont="1" applyFill="1" applyBorder="1" applyAlignment="1">
      <alignment horizontal="left" vertical="center" wrapText="1"/>
      <protection/>
    </xf>
    <xf numFmtId="0" fontId="14" fillId="25" borderId="0" xfId="54" applyFont="1" applyFill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5" borderId="0" xfId="54" applyFont="1" applyFill="1" applyBorder="1" applyAlignment="1">
      <alignment horizontal="center" vertical="center" wrapText="1"/>
      <protection/>
    </xf>
    <xf numFmtId="0" fontId="1" fillId="25" borderId="0" xfId="54" applyFont="1" applyFill="1" applyAlignment="1">
      <alignment horizontal="left" vertical="center" wrapText="1"/>
      <protection/>
    </xf>
    <xf numFmtId="0" fontId="1" fillId="25" borderId="45" xfId="54" applyFont="1" applyFill="1" applyBorder="1" applyAlignment="1">
      <alignment horizontal="center" vertical="center" wrapText="1"/>
      <protection/>
    </xf>
    <xf numFmtId="0" fontId="1" fillId="25" borderId="13" xfId="54" applyFont="1" applyFill="1" applyBorder="1" applyAlignment="1">
      <alignment horizontal="center" vertical="center" wrapText="1"/>
      <protection/>
    </xf>
    <xf numFmtId="0" fontId="44" fillId="25" borderId="0" xfId="54" applyFont="1" applyFill="1" applyAlignment="1">
      <alignment horizontal="left" vertical="center" wrapText="1"/>
      <protection/>
    </xf>
    <xf numFmtId="0" fontId="47" fillId="25" borderId="0" xfId="54" applyFont="1" applyFill="1" applyAlignment="1">
      <alignment horizontal="center" vertical="center" wrapText="1"/>
      <protection/>
    </xf>
    <xf numFmtId="0" fontId="46" fillId="25" borderId="12" xfId="54" applyFont="1" applyFill="1" applyBorder="1" applyAlignment="1">
      <alignment horizontal="center" vertical="center" wrapText="1"/>
      <protection/>
    </xf>
    <xf numFmtId="0" fontId="57" fillId="25" borderId="12" xfId="54" applyFont="1" applyFill="1" applyBorder="1" applyAlignment="1">
      <alignment horizontal="center" vertical="center" wrapText="1"/>
      <protection/>
    </xf>
    <xf numFmtId="0" fontId="48" fillId="25" borderId="12" xfId="5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12" xfId="58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 vertical="justify" wrapText="1"/>
      <protection/>
    </xf>
    <xf numFmtId="0" fontId="12" fillId="0" borderId="0" xfId="58" applyFont="1" applyAlignment="1">
      <alignment horizontal="center" vertical="justify"/>
      <protection/>
    </xf>
    <xf numFmtId="0" fontId="7" fillId="0" borderId="31" xfId="58" applyFont="1" applyBorder="1" applyAlignment="1">
      <alignment horizontal="center" vertical="center" wrapText="1"/>
      <protection/>
    </xf>
    <xf numFmtId="0" fontId="7" fillId="0" borderId="65" xfId="58" applyFont="1" applyBorder="1" applyAlignment="1">
      <alignment horizontal="center" vertical="center" wrapText="1"/>
      <protection/>
    </xf>
    <xf numFmtId="0" fontId="7" fillId="0" borderId="66" xfId="58" applyFont="1" applyBorder="1" applyAlignment="1">
      <alignment horizontal="center" vertical="center" wrapText="1"/>
      <protection/>
    </xf>
    <xf numFmtId="49" fontId="35" fillId="0" borderId="12" xfId="58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бюджет на 2008 год 1" xfId="56"/>
    <cellStyle name="Обычный_Источники" xfId="57"/>
    <cellStyle name="Обычный_Приложение №1+№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75.125" style="0" customWidth="1"/>
    <col min="2" max="2" width="22.375" style="0" customWidth="1"/>
  </cols>
  <sheetData>
    <row r="1" spans="1:2" ht="12.75">
      <c r="A1" s="486"/>
      <c r="B1" s="457" t="s">
        <v>1187</v>
      </c>
    </row>
    <row r="2" spans="1:2" ht="12.75">
      <c r="A2" s="486"/>
      <c r="B2" s="457" t="s">
        <v>1263</v>
      </c>
    </row>
    <row r="3" spans="1:2" ht="12.75">
      <c r="A3" s="486"/>
      <c r="B3" s="457" t="s">
        <v>1264</v>
      </c>
    </row>
    <row r="4" spans="1:2" ht="12.75">
      <c r="A4" s="486"/>
      <c r="B4" s="457" t="s">
        <v>1324</v>
      </c>
    </row>
    <row r="5" spans="1:2" ht="56.25" customHeight="1">
      <c r="A5" s="550" t="s">
        <v>1298</v>
      </c>
      <c r="B5" s="550"/>
    </row>
    <row r="6" spans="1:2" ht="12.75">
      <c r="A6" s="487"/>
      <c r="B6" s="488" t="s">
        <v>1265</v>
      </c>
    </row>
    <row r="7" spans="1:2" ht="49.5" customHeight="1">
      <c r="A7" s="478" t="s">
        <v>1266</v>
      </c>
      <c r="B7" s="478" t="s">
        <v>1267</v>
      </c>
    </row>
    <row r="8" spans="1:2" ht="30.75" customHeight="1">
      <c r="A8" s="551" t="s">
        <v>1268</v>
      </c>
      <c r="B8" s="551"/>
    </row>
    <row r="9" spans="1:2" ht="25.5">
      <c r="A9" s="310" t="s">
        <v>1269</v>
      </c>
      <c r="B9" s="478">
        <v>100</v>
      </c>
    </row>
    <row r="10" spans="1:2" ht="12.75">
      <c r="A10" s="310" t="s">
        <v>1270</v>
      </c>
      <c r="B10" s="478">
        <v>100</v>
      </c>
    </row>
    <row r="11" spans="1:2" ht="38.25">
      <c r="A11" s="310" t="s">
        <v>1271</v>
      </c>
      <c r="B11" s="478">
        <v>100</v>
      </c>
    </row>
    <row r="12" spans="1:2" ht="25.5">
      <c r="A12" s="310" t="s">
        <v>1272</v>
      </c>
      <c r="B12" s="478">
        <v>100</v>
      </c>
    </row>
    <row r="13" spans="1:2" ht="12.75">
      <c r="A13" s="310" t="s">
        <v>1273</v>
      </c>
      <c r="B13" s="478">
        <v>100</v>
      </c>
    </row>
    <row r="14" spans="1:2" ht="27" customHeight="1">
      <c r="A14" s="552" t="s">
        <v>1274</v>
      </c>
      <c r="B14" s="553"/>
    </row>
    <row r="15" spans="1:2" ht="25.5">
      <c r="A15" s="310" t="s">
        <v>963</v>
      </c>
      <c r="B15" s="478">
        <v>100</v>
      </c>
    </row>
    <row r="16" spans="1:2" ht="38.25">
      <c r="A16" s="310" t="s">
        <v>851</v>
      </c>
      <c r="B16" s="478">
        <v>100</v>
      </c>
    </row>
    <row r="17" spans="1:2" ht="25.5">
      <c r="A17" s="310" t="s">
        <v>1275</v>
      </c>
      <c r="B17" s="478">
        <v>100</v>
      </c>
    </row>
    <row r="18" spans="1:2" ht="25.5">
      <c r="A18" s="310" t="s">
        <v>1276</v>
      </c>
      <c r="B18" s="478">
        <v>100</v>
      </c>
    </row>
    <row r="19" spans="1:2" ht="12.75">
      <c r="A19" s="310" t="s">
        <v>968</v>
      </c>
      <c r="B19" s="478">
        <v>100</v>
      </c>
    </row>
    <row r="20" spans="1:2" ht="18.75" customHeight="1">
      <c r="A20" s="552" t="s">
        <v>1277</v>
      </c>
      <c r="B20" s="553"/>
    </row>
    <row r="21" spans="1:2" ht="25.5">
      <c r="A21" s="310" t="s">
        <v>1278</v>
      </c>
      <c r="B21" s="478">
        <v>100</v>
      </c>
    </row>
    <row r="22" spans="1:2" ht="20.25" customHeight="1">
      <c r="A22" s="552" t="s">
        <v>1279</v>
      </c>
      <c r="B22" s="553"/>
    </row>
    <row r="23" spans="1:2" ht="51">
      <c r="A23" s="310" t="s">
        <v>985</v>
      </c>
      <c r="B23" s="478">
        <v>100</v>
      </c>
    </row>
    <row r="24" spans="1:2" ht="38.25">
      <c r="A24" s="310" t="s">
        <v>987</v>
      </c>
      <c r="B24" s="478">
        <v>100</v>
      </c>
    </row>
    <row r="25" spans="1:2" ht="12.75">
      <c r="A25" s="552" t="s">
        <v>1280</v>
      </c>
      <c r="B25" s="553"/>
    </row>
    <row r="26" spans="1:2" ht="12.75">
      <c r="A26" s="310" t="s">
        <v>992</v>
      </c>
      <c r="B26" s="478">
        <v>100</v>
      </c>
    </row>
    <row r="27" spans="1:2" ht="12.75">
      <c r="A27" s="310" t="s">
        <v>994</v>
      </c>
      <c r="B27" s="478">
        <v>100</v>
      </c>
    </row>
    <row r="28" spans="1:2" ht="12.75">
      <c r="A28" s="310" t="s">
        <v>996</v>
      </c>
      <c r="B28" s="478">
        <v>100</v>
      </c>
    </row>
    <row r="29" spans="1:2" ht="35.25" customHeight="1">
      <c r="A29" s="554" t="s">
        <v>1281</v>
      </c>
      <c r="B29" s="555"/>
    </row>
    <row r="30" spans="1:2" ht="12.75">
      <c r="A30" s="310" t="s">
        <v>1282</v>
      </c>
      <c r="B30" s="478">
        <v>100</v>
      </c>
    </row>
    <row r="31" spans="1:2" ht="12.75">
      <c r="A31" s="310" t="s">
        <v>1283</v>
      </c>
      <c r="B31" s="478">
        <v>100</v>
      </c>
    </row>
    <row r="32" spans="1:2" ht="12.75">
      <c r="A32" s="310" t="s">
        <v>1284</v>
      </c>
      <c r="B32" s="478">
        <v>100</v>
      </c>
    </row>
    <row r="33" spans="1:2" ht="12.75">
      <c r="A33" s="310" t="s">
        <v>1285</v>
      </c>
      <c r="B33" s="478">
        <v>100</v>
      </c>
    </row>
    <row r="34" spans="1:2" ht="12.75">
      <c r="A34" s="310" t="s">
        <v>1286</v>
      </c>
      <c r="B34" s="478">
        <v>100</v>
      </c>
    </row>
    <row r="35" spans="1:2" ht="28.5" customHeight="1">
      <c r="A35" s="556" t="s">
        <v>1287</v>
      </c>
      <c r="B35" s="556"/>
    </row>
    <row r="36" spans="1:2" ht="25.5">
      <c r="A36" s="310" t="s">
        <v>1288</v>
      </c>
      <c r="B36" s="478">
        <v>100</v>
      </c>
    </row>
    <row r="37" spans="1:2" ht="27" customHeight="1">
      <c r="A37" s="556" t="s">
        <v>1289</v>
      </c>
      <c r="B37" s="556"/>
    </row>
    <row r="38" spans="1:2" ht="25.5">
      <c r="A38" s="310" t="s">
        <v>1290</v>
      </c>
      <c r="B38" s="478">
        <v>100</v>
      </c>
    </row>
    <row r="39" spans="1:2" ht="24" customHeight="1">
      <c r="A39" s="556" t="s">
        <v>1291</v>
      </c>
      <c r="B39" s="556"/>
    </row>
    <row r="40" spans="1:2" ht="51">
      <c r="A40" s="310" t="s">
        <v>1292</v>
      </c>
      <c r="B40" s="478">
        <v>100</v>
      </c>
    </row>
    <row r="41" spans="1:2" ht="25.5">
      <c r="A41" s="309" t="s">
        <v>1024</v>
      </c>
      <c r="B41" s="478">
        <v>100</v>
      </c>
    </row>
    <row r="42" spans="1:2" ht="12.75">
      <c r="A42" s="310" t="s">
        <v>1026</v>
      </c>
      <c r="B42" s="478">
        <v>100</v>
      </c>
    </row>
    <row r="43" spans="1:2" ht="48" customHeight="1">
      <c r="A43" s="551" t="s">
        <v>1293</v>
      </c>
      <c r="B43" s="551"/>
    </row>
    <row r="44" spans="1:2" ht="63.75">
      <c r="A44" s="310" t="s">
        <v>916</v>
      </c>
      <c r="B44" s="478">
        <v>100</v>
      </c>
    </row>
    <row r="45" spans="1:2" ht="51.75" customHeight="1">
      <c r="A45" s="552" t="s">
        <v>1294</v>
      </c>
      <c r="B45" s="553"/>
    </row>
    <row r="46" spans="1:2" ht="38.25">
      <c r="A46" s="310" t="s">
        <v>1295</v>
      </c>
      <c r="B46" s="478">
        <v>100</v>
      </c>
    </row>
    <row r="47" spans="1:2" ht="25.5">
      <c r="A47" s="310" t="s">
        <v>1296</v>
      </c>
      <c r="B47" s="478">
        <v>100</v>
      </c>
    </row>
    <row r="48" spans="1:2" ht="38.25" customHeight="1">
      <c r="A48" s="552" t="s">
        <v>1297</v>
      </c>
      <c r="B48" s="553"/>
    </row>
    <row r="49" spans="1:2" ht="25.5">
      <c r="A49" s="310" t="s">
        <v>1036</v>
      </c>
      <c r="B49" s="478">
        <v>100</v>
      </c>
    </row>
  </sheetData>
  <sheetProtection/>
  <mergeCells count="13">
    <mergeCell ref="A48:B48"/>
    <mergeCell ref="A29:B29"/>
    <mergeCell ref="A35:B35"/>
    <mergeCell ref="A37:B37"/>
    <mergeCell ref="A39:B39"/>
    <mergeCell ref="A43:B43"/>
    <mergeCell ref="A45:B45"/>
    <mergeCell ref="A5:B5"/>
    <mergeCell ref="A8:B8"/>
    <mergeCell ref="A14:B14"/>
    <mergeCell ref="A20:B20"/>
    <mergeCell ref="A22:B22"/>
    <mergeCell ref="A25:B25"/>
  </mergeCells>
  <printOptions/>
  <pageMargins left="1.1023622047244095" right="0.31496062992125984" top="0.35433070866141736" bottom="0.15748031496062992" header="0" footer="0"/>
  <pageSetup fitToHeight="2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0.625" style="26" customWidth="1"/>
    <col min="2" max="2" width="56.375" style="467" customWidth="1"/>
    <col min="3" max="3" width="16.375" style="29" hidden="1" customWidth="1"/>
    <col min="4" max="4" width="15.25390625" style="27" hidden="1" customWidth="1"/>
    <col min="5" max="5" width="14.75390625" style="27" customWidth="1"/>
    <col min="6" max="6" width="15.125" style="27" customWidth="1"/>
    <col min="7" max="16384" width="9.125" style="27" customWidth="1"/>
  </cols>
  <sheetData>
    <row r="1" spans="2:6" ht="12.75">
      <c r="B1" s="464"/>
      <c r="C1" s="51" t="s">
        <v>1232</v>
      </c>
      <c r="D1" s="324"/>
      <c r="E1" s="51" t="s">
        <v>1319</v>
      </c>
      <c r="F1" s="324"/>
    </row>
    <row r="2" spans="2:6" ht="12" customHeight="1">
      <c r="B2" s="465"/>
      <c r="C2" s="466" t="s">
        <v>1188</v>
      </c>
      <c r="D2" s="324"/>
      <c r="E2" s="466" t="s">
        <v>1188</v>
      </c>
      <c r="F2" s="324"/>
    </row>
    <row r="3" spans="2:6" ht="12.75">
      <c r="B3" s="465"/>
      <c r="C3" s="466" t="s">
        <v>1189</v>
      </c>
      <c r="D3" s="324"/>
      <c r="E3" s="466" t="s">
        <v>1189</v>
      </c>
      <c r="F3" s="324"/>
    </row>
    <row r="4" spans="3:6" ht="15">
      <c r="C4" s="466" t="s">
        <v>1190</v>
      </c>
      <c r="D4" s="324"/>
      <c r="E4" s="466" t="s">
        <v>1190</v>
      </c>
      <c r="F4" s="324"/>
    </row>
    <row r="5" spans="3:6" ht="17.25" customHeight="1">
      <c r="C5" s="568" t="s">
        <v>1233</v>
      </c>
      <c r="D5" s="568"/>
      <c r="E5" s="568" t="s">
        <v>1241</v>
      </c>
      <c r="F5" s="568"/>
    </row>
    <row r="6" spans="1:3" ht="75.75" customHeight="1">
      <c r="A6" s="580" t="s">
        <v>1234</v>
      </c>
      <c r="B6" s="581"/>
      <c r="C6" s="581"/>
    </row>
    <row r="7" spans="1:2" s="29" customFormat="1" ht="15">
      <c r="A7" s="26"/>
      <c r="B7" s="467"/>
    </row>
    <row r="8" spans="1:6" s="29" customFormat="1" ht="12.75" customHeight="1">
      <c r="A8" s="582" t="s">
        <v>57</v>
      </c>
      <c r="B8" s="585" t="s">
        <v>9</v>
      </c>
      <c r="C8" s="579" t="s">
        <v>1235</v>
      </c>
      <c r="D8" s="579" t="s">
        <v>1236</v>
      </c>
      <c r="E8" s="579" t="s">
        <v>1236</v>
      </c>
      <c r="F8" s="579" t="s">
        <v>1237</v>
      </c>
    </row>
    <row r="9" spans="1:6" s="29" customFormat="1" ht="11.25" customHeight="1">
      <c r="A9" s="583"/>
      <c r="B9" s="585"/>
      <c r="C9" s="579"/>
      <c r="D9" s="579"/>
      <c r="E9" s="579"/>
      <c r="F9" s="579"/>
    </row>
    <row r="10" spans="1:6" s="468" customFormat="1" ht="37.5" customHeight="1">
      <c r="A10" s="584"/>
      <c r="B10" s="585"/>
      <c r="C10" s="579"/>
      <c r="D10" s="579"/>
      <c r="E10" s="579"/>
      <c r="F10" s="579"/>
    </row>
    <row r="11" spans="1:6" s="469" customFormat="1" ht="34.5" customHeight="1">
      <c r="A11" s="30" t="s">
        <v>11</v>
      </c>
      <c r="B11" s="36" t="s">
        <v>671</v>
      </c>
      <c r="C11" s="104" t="e">
        <f>C12+C18+C23+#REF!</f>
        <v>#REF!</v>
      </c>
      <c r="D11" s="104" t="e">
        <f>D12+D18+D23+#REF!</f>
        <v>#REF!</v>
      </c>
      <c r="E11" s="104">
        <f>E12+E18+E23</f>
        <v>47312.899999999994</v>
      </c>
      <c r="F11" s="104">
        <f>F12+F18+F23</f>
        <v>52603.79999999999</v>
      </c>
    </row>
    <row r="12" spans="1:6" s="469" customFormat="1" ht="30" customHeight="1">
      <c r="A12" s="30" t="s">
        <v>26</v>
      </c>
      <c r="B12" s="470" t="s">
        <v>27</v>
      </c>
      <c r="C12" s="104">
        <f>SUM(C13-C15)</f>
        <v>53800.5</v>
      </c>
      <c r="D12" s="104">
        <f>SUM(D13-D15)</f>
        <v>26307.70000000001</v>
      </c>
      <c r="E12" s="104">
        <f>SUM(E13-E15)</f>
        <v>68712.9</v>
      </c>
      <c r="F12" s="104">
        <f>SUM(F13-F15)</f>
        <v>79603.79999999999</v>
      </c>
    </row>
    <row r="13" spans="1:6" s="469" customFormat="1" ht="30" customHeight="1">
      <c r="A13" s="30" t="s">
        <v>28</v>
      </c>
      <c r="B13" s="470" t="s">
        <v>29</v>
      </c>
      <c r="C13" s="104">
        <f>SUM(C14)</f>
        <v>345414.6</v>
      </c>
      <c r="D13" s="104">
        <f>SUM(D14)</f>
        <v>371722.3</v>
      </c>
      <c r="E13" s="104">
        <f>SUM(E14)</f>
        <v>155450.8</v>
      </c>
      <c r="F13" s="104">
        <f>SUM(F14)</f>
        <v>235054.59999999998</v>
      </c>
    </row>
    <row r="14" spans="1:6" s="469" customFormat="1" ht="45">
      <c r="A14" s="30" t="s">
        <v>30</v>
      </c>
      <c r="B14" s="41" t="s">
        <v>534</v>
      </c>
      <c r="C14" s="104">
        <f>233995.6+28800.5+82618.5</f>
        <v>345414.6</v>
      </c>
      <c r="D14" s="104">
        <f>229342+33454.1+4907.7+82618.5+21400</f>
        <v>371722.3</v>
      </c>
      <c r="E14" s="104">
        <f>246737.9+78912.4-199.5-10000-200000+40000</f>
        <v>155450.8</v>
      </c>
      <c r="F14" s="104">
        <f>325450.8+79603.8-10000-200000+40000</f>
        <v>235054.59999999998</v>
      </c>
    </row>
    <row r="15" spans="1:6" s="469" customFormat="1" ht="46.5" customHeight="1">
      <c r="A15" s="30" t="s">
        <v>31</v>
      </c>
      <c r="B15" s="53" t="s">
        <v>294</v>
      </c>
      <c r="C15" s="104">
        <f>SUM(C16)</f>
        <v>291614.1</v>
      </c>
      <c r="D15" s="104">
        <f>SUM(D16)</f>
        <v>345414.6</v>
      </c>
      <c r="E15" s="104">
        <f>SUM(E16)</f>
        <v>86737.9</v>
      </c>
      <c r="F15" s="104">
        <f>SUM(E14)</f>
        <v>155450.8</v>
      </c>
    </row>
    <row r="16" spans="1:6" s="469" customFormat="1" ht="57" customHeight="1">
      <c r="A16" s="30" t="s">
        <v>295</v>
      </c>
      <c r="B16" s="41" t="s">
        <v>535</v>
      </c>
      <c r="C16" s="104">
        <f>208995.6+82618.5</f>
        <v>291614.1</v>
      </c>
      <c r="D16" s="104">
        <f>233995.6+28800.5+82618.5</f>
        <v>345414.6</v>
      </c>
      <c r="E16" s="104">
        <v>86737.9</v>
      </c>
      <c r="F16" s="104">
        <f>325450.8-10000-200000</f>
        <v>115450.79999999999</v>
      </c>
    </row>
    <row r="17" spans="1:6" s="469" customFormat="1" ht="44.25" customHeight="1">
      <c r="A17" s="30" t="s">
        <v>672</v>
      </c>
      <c r="B17" s="53" t="s">
        <v>673</v>
      </c>
      <c r="C17" s="104"/>
      <c r="D17" s="471"/>
      <c r="E17" s="104">
        <f>E18</f>
        <v>-21400</v>
      </c>
      <c r="F17" s="104">
        <f>F18</f>
        <v>-27000</v>
      </c>
    </row>
    <row r="18" spans="1:6" s="469" customFormat="1" ht="49.5" customHeight="1">
      <c r="A18" s="30" t="s">
        <v>538</v>
      </c>
      <c r="B18" s="32" t="s">
        <v>674</v>
      </c>
      <c r="C18" s="104">
        <f>SUM(C19)-C21</f>
        <v>-25000</v>
      </c>
      <c r="D18" s="471">
        <f>SUM(D19)-D21</f>
        <v>-21400</v>
      </c>
      <c r="E18" s="104">
        <f>SUM(E19)-E21</f>
        <v>-21400</v>
      </c>
      <c r="F18" s="104">
        <f>SUM(F19)-F21</f>
        <v>-27000</v>
      </c>
    </row>
    <row r="19" spans="1:6" s="469" customFormat="1" ht="45" customHeight="1" hidden="1">
      <c r="A19" s="30" t="s">
        <v>296</v>
      </c>
      <c r="B19" s="32" t="s">
        <v>297</v>
      </c>
      <c r="C19" s="104"/>
      <c r="D19" s="104"/>
      <c r="E19" s="104"/>
      <c r="F19" s="104"/>
    </row>
    <row r="20" spans="1:6" s="34" customFormat="1" ht="45" customHeight="1" hidden="1">
      <c r="A20" s="30" t="s">
        <v>376</v>
      </c>
      <c r="B20" s="32" t="s">
        <v>150</v>
      </c>
      <c r="C20" s="104"/>
      <c r="D20" s="104"/>
      <c r="E20" s="104"/>
      <c r="F20" s="104"/>
    </row>
    <row r="21" spans="1:6" s="34" customFormat="1" ht="48.75" customHeight="1">
      <c r="A21" s="30" t="s">
        <v>539</v>
      </c>
      <c r="B21" s="35" t="s">
        <v>377</v>
      </c>
      <c r="C21" s="104">
        <f>SUM(C22)</f>
        <v>25000</v>
      </c>
      <c r="D21" s="104">
        <f>SUM(D22)</f>
        <v>21400</v>
      </c>
      <c r="E21" s="104">
        <f>SUM(E22)</f>
        <v>21400</v>
      </c>
      <c r="F21" s="104">
        <f>SUM(F22)</f>
        <v>27000</v>
      </c>
    </row>
    <row r="22" spans="1:6" s="34" customFormat="1" ht="60" customHeight="1">
      <c r="A22" s="30" t="s">
        <v>540</v>
      </c>
      <c r="B22" s="41" t="s">
        <v>1238</v>
      </c>
      <c r="C22" s="104">
        <v>25000</v>
      </c>
      <c r="D22" s="104">
        <v>21400</v>
      </c>
      <c r="E22" s="104">
        <v>21400</v>
      </c>
      <c r="F22" s="104">
        <v>27000</v>
      </c>
    </row>
    <row r="23" spans="1:6" s="469" customFormat="1" ht="32.25" customHeight="1" hidden="1">
      <c r="A23" s="30" t="s">
        <v>298</v>
      </c>
      <c r="B23" s="36" t="s">
        <v>1239</v>
      </c>
      <c r="C23" s="471">
        <f aca="true" t="shared" si="0" ref="C23:D26">SUM(C24)</f>
        <v>0</v>
      </c>
      <c r="D23" s="471">
        <f t="shared" si="0"/>
        <v>0</v>
      </c>
      <c r="E23" s="34"/>
      <c r="F23" s="34"/>
    </row>
    <row r="24" spans="1:6" s="469" customFormat="1" ht="32.25" customHeight="1" hidden="1">
      <c r="A24" s="30" t="s">
        <v>299</v>
      </c>
      <c r="B24" s="36" t="s">
        <v>300</v>
      </c>
      <c r="C24" s="471">
        <f t="shared" si="0"/>
        <v>0</v>
      </c>
      <c r="D24" s="471">
        <f t="shared" si="0"/>
        <v>0</v>
      </c>
      <c r="E24" s="34"/>
      <c r="F24" s="34"/>
    </row>
    <row r="25" spans="1:6" s="469" customFormat="1" ht="32.25" customHeight="1" hidden="1">
      <c r="A25" s="30" t="s">
        <v>301</v>
      </c>
      <c r="B25" s="36" t="s">
        <v>302</v>
      </c>
      <c r="C25" s="471">
        <f t="shared" si="0"/>
        <v>0</v>
      </c>
      <c r="D25" s="471">
        <f t="shared" si="0"/>
        <v>0</v>
      </c>
      <c r="E25" s="34"/>
      <c r="F25" s="34"/>
    </row>
    <row r="26" spans="1:6" s="469" customFormat="1" ht="32.25" customHeight="1" hidden="1">
      <c r="A26" s="30" t="s">
        <v>303</v>
      </c>
      <c r="B26" s="36" t="s">
        <v>304</v>
      </c>
      <c r="C26" s="471">
        <f t="shared" si="0"/>
        <v>0</v>
      </c>
      <c r="D26" s="471">
        <f t="shared" si="0"/>
        <v>0</v>
      </c>
      <c r="E26" s="34"/>
      <c r="F26" s="34"/>
    </row>
    <row r="27" spans="1:4" s="34" customFormat="1" ht="38.25" customHeight="1" hidden="1">
      <c r="A27" s="30" t="s">
        <v>305</v>
      </c>
      <c r="B27" s="36" t="s">
        <v>306</v>
      </c>
      <c r="C27" s="471"/>
      <c r="D27" s="471"/>
    </row>
    <row r="28" spans="1:6" ht="33" customHeight="1" hidden="1">
      <c r="A28" s="37" t="s">
        <v>307</v>
      </c>
      <c r="B28" s="472" t="s">
        <v>153</v>
      </c>
      <c r="C28" s="39">
        <f>C29+C32</f>
        <v>0</v>
      </c>
      <c r="D28" s="39">
        <f>D29+D32</f>
        <v>0</v>
      </c>
      <c r="E28" s="34"/>
      <c r="F28" s="34"/>
    </row>
    <row r="29" spans="1:6" ht="0.75" customHeight="1" hidden="1">
      <c r="A29" s="37" t="s">
        <v>308</v>
      </c>
      <c r="B29" s="473" t="s">
        <v>309</v>
      </c>
      <c r="C29" s="39">
        <f>SUM(C30)</f>
        <v>0</v>
      </c>
      <c r="D29" s="39">
        <f>SUM(D30)</f>
        <v>0</v>
      </c>
      <c r="E29" s="34"/>
      <c r="F29" s="34"/>
    </row>
    <row r="30" spans="1:6" ht="128.25" customHeight="1" hidden="1">
      <c r="A30" s="37" t="s">
        <v>310</v>
      </c>
      <c r="B30" s="474" t="s">
        <v>200</v>
      </c>
      <c r="C30" s="39">
        <f>SUM(C31)</f>
        <v>0</v>
      </c>
      <c r="D30" s="39">
        <f>SUM(D31)</f>
        <v>0</v>
      </c>
      <c r="E30" s="34"/>
      <c r="F30" s="34"/>
    </row>
    <row r="31" spans="1:6" ht="42.75" customHeight="1" hidden="1">
      <c r="A31" s="37" t="s">
        <v>201</v>
      </c>
      <c r="B31" s="41" t="s">
        <v>268</v>
      </c>
      <c r="C31" s="39"/>
      <c r="D31" s="39"/>
      <c r="E31" s="34"/>
      <c r="F31" s="34"/>
    </row>
    <row r="32" spans="1:6" ht="30" customHeight="1" hidden="1">
      <c r="A32" s="37" t="s">
        <v>269</v>
      </c>
      <c r="B32" s="473" t="s">
        <v>270</v>
      </c>
      <c r="C32" s="39">
        <f>SUM(C33)</f>
        <v>0</v>
      </c>
      <c r="D32" s="39">
        <f>SUM(D33)</f>
        <v>0</v>
      </c>
      <c r="E32" s="34"/>
      <c r="F32" s="34"/>
    </row>
    <row r="33" spans="1:6" ht="30" customHeight="1" hidden="1">
      <c r="A33" s="37" t="s">
        <v>271</v>
      </c>
      <c r="B33" s="473" t="s">
        <v>272</v>
      </c>
      <c r="C33" s="39">
        <f>SUM(C34)</f>
        <v>0</v>
      </c>
      <c r="D33" s="39">
        <f>SUM(D34)</f>
        <v>0</v>
      </c>
      <c r="E33" s="34"/>
      <c r="F33" s="34"/>
    </row>
    <row r="34" spans="1:6" ht="45" customHeight="1" hidden="1">
      <c r="A34" s="37" t="s">
        <v>273</v>
      </c>
      <c r="B34" s="41" t="s">
        <v>274</v>
      </c>
      <c r="C34" s="39"/>
      <c r="D34" s="39"/>
      <c r="E34" s="34"/>
      <c r="F34" s="34"/>
    </row>
    <row r="35" spans="1:6" ht="15" hidden="1">
      <c r="A35" s="475"/>
      <c r="C35" s="476"/>
      <c r="D35" s="34"/>
      <c r="E35" s="34"/>
      <c r="F35" s="34"/>
    </row>
  </sheetData>
  <sheetProtection/>
  <mergeCells count="9">
    <mergeCell ref="C5:D5"/>
    <mergeCell ref="E5:F5"/>
    <mergeCell ref="A6:C6"/>
    <mergeCell ref="A8:A10"/>
    <mergeCell ref="B8:B10"/>
    <mergeCell ref="C8:C10"/>
    <mergeCell ref="D8:D10"/>
    <mergeCell ref="E8:E10"/>
    <mergeCell ref="F8:F10"/>
  </mergeCells>
  <printOptions/>
  <pageMargins left="1.1023622047244095" right="0.5118110236220472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6.75390625" style="445" customWidth="1"/>
    <col min="2" max="2" width="22.375" style="446" customWidth="1"/>
    <col min="3" max="3" width="89.875" style="453" customWidth="1"/>
    <col min="4" max="16384" width="9.125" style="447" customWidth="1"/>
  </cols>
  <sheetData>
    <row r="1" spans="1:3" ht="12.75">
      <c r="A1" s="303"/>
      <c r="B1" s="303"/>
      <c r="C1" s="304" t="s">
        <v>1042</v>
      </c>
    </row>
    <row r="2" spans="1:3" ht="12.75">
      <c r="A2" s="303"/>
      <c r="B2" s="303"/>
      <c r="C2" s="304" t="s">
        <v>1263</v>
      </c>
    </row>
    <row r="3" spans="1:3" ht="12.75">
      <c r="A3" s="303"/>
      <c r="B3" s="303"/>
      <c r="C3" s="304" t="s">
        <v>1264</v>
      </c>
    </row>
    <row r="4" spans="1:3" ht="12.75">
      <c r="A4" s="303"/>
      <c r="B4" s="303"/>
      <c r="C4" s="457" t="s">
        <v>1324</v>
      </c>
    </row>
    <row r="5" spans="1:3" ht="53.25" customHeight="1">
      <c r="A5" s="557" t="s">
        <v>720</v>
      </c>
      <c r="B5" s="557"/>
      <c r="C5" s="557"/>
    </row>
    <row r="6" spans="1:3" ht="12" customHeight="1">
      <c r="A6" s="559"/>
      <c r="B6" s="559"/>
      <c r="C6" s="305"/>
    </row>
    <row r="7" spans="1:3" ht="27" customHeight="1">
      <c r="A7" s="558" t="s">
        <v>721</v>
      </c>
      <c r="B7" s="558"/>
      <c r="C7" s="558" t="s">
        <v>722</v>
      </c>
    </row>
    <row r="8" spans="1:3" ht="66.75" customHeight="1">
      <c r="A8" s="478" t="s">
        <v>1299</v>
      </c>
      <c r="B8" s="478" t="s">
        <v>723</v>
      </c>
      <c r="C8" s="558"/>
    </row>
    <row r="9" spans="1:3" ht="28.5" customHeight="1">
      <c r="A9" s="554" t="s">
        <v>8</v>
      </c>
      <c r="B9" s="555"/>
      <c r="C9" s="306" t="s">
        <v>1300</v>
      </c>
    </row>
    <row r="10" spans="1:3" ht="25.5">
      <c r="A10" s="307" t="s">
        <v>8</v>
      </c>
      <c r="B10" s="308" t="s">
        <v>730</v>
      </c>
      <c r="C10" s="309" t="s">
        <v>731</v>
      </c>
    </row>
    <row r="11" spans="1:3" ht="43.5" customHeight="1">
      <c r="A11" s="554" t="s">
        <v>724</v>
      </c>
      <c r="B11" s="555"/>
      <c r="C11" s="306" t="s">
        <v>725</v>
      </c>
    </row>
    <row r="12" spans="1:3" ht="25.5">
      <c r="A12" s="307" t="s">
        <v>724</v>
      </c>
      <c r="B12" s="308" t="s">
        <v>726</v>
      </c>
      <c r="C12" s="309" t="s">
        <v>727</v>
      </c>
    </row>
    <row r="13" spans="1:3" ht="12.75">
      <c r="A13" s="554" t="s">
        <v>728</v>
      </c>
      <c r="B13" s="555"/>
      <c r="C13" s="306" t="s">
        <v>729</v>
      </c>
    </row>
    <row r="14" spans="1:3" ht="38.25">
      <c r="A14" s="307" t="s">
        <v>728</v>
      </c>
      <c r="B14" s="310" t="s">
        <v>816</v>
      </c>
      <c r="C14" s="309" t="s">
        <v>1301</v>
      </c>
    </row>
    <row r="15" spans="1:3" ht="25.5">
      <c r="A15" s="307" t="s">
        <v>728</v>
      </c>
      <c r="B15" s="308" t="s">
        <v>730</v>
      </c>
      <c r="C15" s="309" t="s">
        <v>731</v>
      </c>
    </row>
    <row r="16" spans="1:3" ht="12.75">
      <c r="A16" s="554" t="s">
        <v>732</v>
      </c>
      <c r="B16" s="555"/>
      <c r="C16" s="306" t="s">
        <v>733</v>
      </c>
    </row>
    <row r="17" spans="1:3" ht="27.75" customHeight="1">
      <c r="A17" s="307" t="s">
        <v>732</v>
      </c>
      <c r="B17" s="308" t="s">
        <v>734</v>
      </c>
      <c r="C17" s="310" t="s">
        <v>735</v>
      </c>
    </row>
    <row r="18" spans="1:3" ht="25.5">
      <c r="A18" s="307" t="s">
        <v>732</v>
      </c>
      <c r="B18" s="308" t="s">
        <v>736</v>
      </c>
      <c r="C18" s="310" t="s">
        <v>737</v>
      </c>
    </row>
    <row r="19" spans="1:3" ht="25.5">
      <c r="A19" s="307" t="s">
        <v>732</v>
      </c>
      <c r="B19" s="308" t="s">
        <v>738</v>
      </c>
      <c r="C19" s="310" t="s">
        <v>739</v>
      </c>
    </row>
    <row r="20" spans="1:3" ht="25.5">
      <c r="A20" s="307" t="s">
        <v>732</v>
      </c>
      <c r="B20" s="308" t="s">
        <v>740</v>
      </c>
      <c r="C20" s="310" t="s">
        <v>741</v>
      </c>
    </row>
    <row r="21" spans="1:3" ht="25.5">
      <c r="A21" s="307" t="s">
        <v>732</v>
      </c>
      <c r="B21" s="308" t="s">
        <v>742</v>
      </c>
      <c r="C21" s="310" t="s">
        <v>743</v>
      </c>
    </row>
    <row r="22" spans="1:3" ht="22.5" customHeight="1">
      <c r="A22" s="554" t="s">
        <v>744</v>
      </c>
      <c r="B22" s="555"/>
      <c r="C22" s="306" t="s">
        <v>745</v>
      </c>
    </row>
    <row r="23" spans="1:3" ht="22.5" customHeight="1">
      <c r="A23" s="307" t="s">
        <v>744</v>
      </c>
      <c r="B23" s="308" t="s">
        <v>730</v>
      </c>
      <c r="C23" s="309" t="s">
        <v>731</v>
      </c>
    </row>
    <row r="24" spans="1:3" ht="12.75">
      <c r="A24" s="554" t="s">
        <v>746</v>
      </c>
      <c r="B24" s="555"/>
      <c r="C24" s="311" t="s">
        <v>747</v>
      </c>
    </row>
    <row r="25" spans="1:3" s="451" customFormat="1" ht="33" customHeight="1">
      <c r="A25" s="307" t="s">
        <v>746</v>
      </c>
      <c r="B25" s="308" t="s">
        <v>730</v>
      </c>
      <c r="C25" s="309" t="s">
        <v>731</v>
      </c>
    </row>
    <row r="26" spans="1:3" ht="12.75">
      <c r="A26" s="554" t="s">
        <v>1302</v>
      </c>
      <c r="B26" s="555"/>
      <c r="C26" s="306" t="s">
        <v>1303</v>
      </c>
    </row>
    <row r="27" spans="1:3" ht="25.5">
      <c r="A27" s="307" t="s">
        <v>1302</v>
      </c>
      <c r="B27" s="308" t="s">
        <v>730</v>
      </c>
      <c r="C27" s="309" t="s">
        <v>731</v>
      </c>
    </row>
    <row r="28" spans="1:3" ht="12.75">
      <c r="A28" s="554" t="s">
        <v>748</v>
      </c>
      <c r="B28" s="555"/>
      <c r="C28" s="306" t="s">
        <v>749</v>
      </c>
    </row>
    <row r="29" spans="1:3" ht="21" customHeight="1">
      <c r="A29" s="307" t="s">
        <v>748</v>
      </c>
      <c r="B29" s="308" t="s">
        <v>750</v>
      </c>
      <c r="C29" s="310" t="s">
        <v>751</v>
      </c>
    </row>
    <row r="30" spans="1:3" ht="21" customHeight="1">
      <c r="A30" s="554" t="s">
        <v>752</v>
      </c>
      <c r="B30" s="555"/>
      <c r="C30" s="306" t="s">
        <v>753</v>
      </c>
    </row>
    <row r="31" spans="1:3" ht="25.5">
      <c r="A31" s="307" t="s">
        <v>752</v>
      </c>
      <c r="B31" s="308" t="s">
        <v>730</v>
      </c>
      <c r="C31" s="309" t="s">
        <v>731</v>
      </c>
    </row>
    <row r="32" spans="1:3" ht="12.75">
      <c r="A32" s="554" t="s">
        <v>754</v>
      </c>
      <c r="B32" s="555"/>
      <c r="C32" s="306" t="s">
        <v>755</v>
      </c>
    </row>
    <row r="33" spans="1:3" s="452" customFormat="1" ht="25.5">
      <c r="A33" s="307" t="s">
        <v>754</v>
      </c>
      <c r="B33" s="308" t="s">
        <v>726</v>
      </c>
      <c r="C33" s="309" t="s">
        <v>727</v>
      </c>
    </row>
    <row r="34" spans="1:3" ht="51">
      <c r="A34" s="307" t="s">
        <v>754</v>
      </c>
      <c r="B34" s="308" t="s">
        <v>756</v>
      </c>
      <c r="C34" s="312" t="s">
        <v>757</v>
      </c>
    </row>
    <row r="35" spans="1:3" ht="25.5">
      <c r="A35" s="307" t="s">
        <v>754</v>
      </c>
      <c r="B35" s="308" t="s">
        <v>730</v>
      </c>
      <c r="C35" s="309" t="s">
        <v>731</v>
      </c>
    </row>
    <row r="36" spans="1:3" ht="25.5">
      <c r="A36" s="554" t="s">
        <v>758</v>
      </c>
      <c r="B36" s="555"/>
      <c r="C36" s="311" t="s">
        <v>759</v>
      </c>
    </row>
    <row r="37" spans="1:3" ht="12.75">
      <c r="A37" s="308" t="s">
        <v>758</v>
      </c>
      <c r="B37" s="308" t="s">
        <v>760</v>
      </c>
      <c r="C37" s="309" t="s">
        <v>761</v>
      </c>
    </row>
    <row r="38" spans="1:3" ht="12.75">
      <c r="A38" s="554" t="s">
        <v>1304</v>
      </c>
      <c r="B38" s="555"/>
      <c r="C38" s="311" t="s">
        <v>1305</v>
      </c>
    </row>
    <row r="39" spans="1:3" ht="25.5">
      <c r="A39" s="307" t="s">
        <v>1304</v>
      </c>
      <c r="B39" s="308" t="s">
        <v>730</v>
      </c>
      <c r="C39" s="309" t="s">
        <v>731</v>
      </c>
    </row>
    <row r="40" spans="1:3" ht="25.5">
      <c r="A40" s="554" t="s">
        <v>762</v>
      </c>
      <c r="B40" s="555"/>
      <c r="C40" s="311" t="s">
        <v>763</v>
      </c>
    </row>
    <row r="41" spans="1:3" ht="25.5">
      <c r="A41" s="307" t="s">
        <v>762</v>
      </c>
      <c r="B41" s="308" t="s">
        <v>730</v>
      </c>
      <c r="C41" s="309" t="s">
        <v>764</v>
      </c>
    </row>
    <row r="42" spans="1:3" ht="12.75">
      <c r="A42" s="554" t="s">
        <v>429</v>
      </c>
      <c r="B42" s="555"/>
      <c r="C42" s="311" t="s">
        <v>765</v>
      </c>
    </row>
    <row r="43" spans="1:3" ht="38.25">
      <c r="A43" s="308" t="s">
        <v>429</v>
      </c>
      <c r="B43" s="313" t="s">
        <v>766</v>
      </c>
      <c r="C43" s="309" t="s">
        <v>767</v>
      </c>
    </row>
    <row r="44" spans="1:3" ht="51">
      <c r="A44" s="308" t="s">
        <v>429</v>
      </c>
      <c r="B44" s="313" t="s">
        <v>768</v>
      </c>
      <c r="C44" s="309" t="s">
        <v>769</v>
      </c>
    </row>
    <row r="45" spans="1:3" ht="38.25">
      <c r="A45" s="308" t="s">
        <v>429</v>
      </c>
      <c r="B45" s="313" t="s">
        <v>770</v>
      </c>
      <c r="C45" s="309" t="s">
        <v>771</v>
      </c>
    </row>
    <row r="46" spans="1:3" ht="38.25">
      <c r="A46" s="308" t="s">
        <v>429</v>
      </c>
      <c r="B46" s="313" t="s">
        <v>772</v>
      </c>
      <c r="C46" s="309" t="s">
        <v>773</v>
      </c>
    </row>
    <row r="47" spans="1:3" ht="25.5">
      <c r="A47" s="554" t="s">
        <v>774</v>
      </c>
      <c r="B47" s="555"/>
      <c r="C47" s="311" t="s">
        <v>775</v>
      </c>
    </row>
    <row r="48" spans="1:3" ht="25.5">
      <c r="A48" s="308" t="s">
        <v>774</v>
      </c>
      <c r="B48" s="308" t="s">
        <v>730</v>
      </c>
      <c r="C48" s="309" t="s">
        <v>764</v>
      </c>
    </row>
    <row r="49" spans="1:3" ht="25.5">
      <c r="A49" s="554" t="s">
        <v>776</v>
      </c>
      <c r="B49" s="555"/>
      <c r="C49" s="311" t="s">
        <v>777</v>
      </c>
    </row>
    <row r="50" spans="1:3" ht="38.25">
      <c r="A50" s="308" t="s">
        <v>776</v>
      </c>
      <c r="B50" s="308" t="s">
        <v>816</v>
      </c>
      <c r="C50" s="309" t="s">
        <v>1306</v>
      </c>
    </row>
    <row r="51" spans="1:3" ht="25.5">
      <c r="A51" s="308" t="s">
        <v>776</v>
      </c>
      <c r="B51" s="308" t="s">
        <v>778</v>
      </c>
      <c r="C51" s="309" t="s">
        <v>779</v>
      </c>
    </row>
    <row r="52" spans="1:3" ht="25.5">
      <c r="A52" s="308" t="s">
        <v>776</v>
      </c>
      <c r="B52" s="308" t="s">
        <v>740</v>
      </c>
      <c r="C52" s="310" t="s">
        <v>780</v>
      </c>
    </row>
    <row r="53" spans="1:3" ht="38.25">
      <c r="A53" s="308" t="s">
        <v>776</v>
      </c>
      <c r="B53" s="308" t="s">
        <v>781</v>
      </c>
      <c r="C53" s="309" t="s">
        <v>782</v>
      </c>
    </row>
    <row r="54" spans="1:3" ht="25.5">
      <c r="A54" s="308" t="s">
        <v>776</v>
      </c>
      <c r="B54" s="308" t="s">
        <v>730</v>
      </c>
      <c r="C54" s="309" t="s">
        <v>764</v>
      </c>
    </row>
    <row r="55" spans="1:3" ht="12.75">
      <c r="A55" s="554" t="s">
        <v>783</v>
      </c>
      <c r="B55" s="555"/>
      <c r="C55" s="311" t="s">
        <v>753</v>
      </c>
    </row>
    <row r="56" spans="1:3" ht="25.5">
      <c r="A56" s="308" t="s">
        <v>783</v>
      </c>
      <c r="B56" s="308" t="s">
        <v>730</v>
      </c>
      <c r="C56" s="309" t="s">
        <v>764</v>
      </c>
    </row>
    <row r="57" spans="1:3" ht="12.75">
      <c r="A57" s="554" t="s">
        <v>784</v>
      </c>
      <c r="B57" s="555"/>
      <c r="C57" s="311" t="s">
        <v>785</v>
      </c>
    </row>
    <row r="58" spans="1:3" ht="51">
      <c r="A58" s="308" t="s">
        <v>784</v>
      </c>
      <c r="B58" s="308" t="s">
        <v>756</v>
      </c>
      <c r="C58" s="312" t="s">
        <v>786</v>
      </c>
    </row>
    <row r="59" spans="1:3" ht="38.25">
      <c r="A59" s="554" t="s">
        <v>787</v>
      </c>
      <c r="B59" s="555"/>
      <c r="C59" s="311" t="s">
        <v>788</v>
      </c>
    </row>
    <row r="60" spans="1:3" ht="38.25">
      <c r="A60" s="308" t="s">
        <v>787</v>
      </c>
      <c r="B60" s="308" t="s">
        <v>789</v>
      </c>
      <c r="C60" s="309" t="s">
        <v>790</v>
      </c>
    </row>
    <row r="61" spans="1:3" ht="25.5">
      <c r="A61" s="308" t="s">
        <v>787</v>
      </c>
      <c r="B61" s="308" t="s">
        <v>730</v>
      </c>
      <c r="C61" s="309" t="s">
        <v>764</v>
      </c>
    </row>
    <row r="62" spans="1:3" ht="25.5">
      <c r="A62" s="554" t="s">
        <v>791</v>
      </c>
      <c r="B62" s="555"/>
      <c r="C62" s="311" t="s">
        <v>792</v>
      </c>
    </row>
    <row r="63" spans="1:3" ht="12.75">
      <c r="A63" s="308" t="s">
        <v>791</v>
      </c>
      <c r="B63" s="308" t="s">
        <v>793</v>
      </c>
      <c r="C63" s="309" t="s">
        <v>794</v>
      </c>
    </row>
    <row r="64" spans="1:3" ht="12.75">
      <c r="A64" s="308" t="s">
        <v>791</v>
      </c>
      <c r="B64" s="308" t="s">
        <v>795</v>
      </c>
      <c r="C64" s="309" t="s">
        <v>796</v>
      </c>
    </row>
    <row r="65" spans="1:3" ht="12.75">
      <c r="A65" s="308" t="s">
        <v>791</v>
      </c>
      <c r="B65" s="308" t="s">
        <v>797</v>
      </c>
      <c r="C65" s="309" t="s">
        <v>798</v>
      </c>
    </row>
    <row r="66" spans="1:3" ht="12.75">
      <c r="A66" s="308" t="s">
        <v>791</v>
      </c>
      <c r="B66" s="308" t="s">
        <v>799</v>
      </c>
      <c r="C66" s="309" t="s">
        <v>800</v>
      </c>
    </row>
    <row r="67" spans="1:3" ht="12.75">
      <c r="A67" s="308" t="s">
        <v>791</v>
      </c>
      <c r="B67" s="308" t="s">
        <v>801</v>
      </c>
      <c r="C67" s="309" t="s">
        <v>802</v>
      </c>
    </row>
    <row r="68" spans="1:3" ht="12.75">
      <c r="A68" s="308" t="s">
        <v>791</v>
      </c>
      <c r="B68" s="308" t="s">
        <v>803</v>
      </c>
      <c r="C68" s="309" t="s">
        <v>804</v>
      </c>
    </row>
    <row r="69" spans="1:3" ht="25.5">
      <c r="A69" s="308" t="s">
        <v>791</v>
      </c>
      <c r="B69" s="308" t="s">
        <v>805</v>
      </c>
      <c r="C69" s="309" t="s">
        <v>806</v>
      </c>
    </row>
    <row r="70" spans="1:3" ht="25.5">
      <c r="A70" s="308" t="s">
        <v>791</v>
      </c>
      <c r="B70" s="308" t="s">
        <v>807</v>
      </c>
      <c r="C70" s="309" t="s">
        <v>808</v>
      </c>
    </row>
    <row r="71" spans="1:3" ht="38.25">
      <c r="A71" s="308" t="s">
        <v>791</v>
      </c>
      <c r="B71" s="308" t="s">
        <v>809</v>
      </c>
      <c r="C71" s="309" t="s">
        <v>810</v>
      </c>
    </row>
    <row r="72" spans="1:3" ht="25.5">
      <c r="A72" s="308" t="s">
        <v>791</v>
      </c>
      <c r="B72" s="308" t="s">
        <v>811</v>
      </c>
      <c r="C72" s="309" t="s">
        <v>812</v>
      </c>
    </row>
    <row r="73" spans="1:3" ht="38.25">
      <c r="A73" s="308" t="s">
        <v>791</v>
      </c>
      <c r="B73" s="308" t="s">
        <v>813</v>
      </c>
      <c r="C73" s="309" t="s">
        <v>814</v>
      </c>
    </row>
    <row r="74" spans="1:3" ht="25.5">
      <c r="A74" s="308" t="s">
        <v>791</v>
      </c>
      <c r="B74" s="308" t="s">
        <v>730</v>
      </c>
      <c r="C74" s="309" t="s">
        <v>764</v>
      </c>
    </row>
    <row r="75" spans="1:3" ht="51">
      <c r="A75" s="552">
        <v>188</v>
      </c>
      <c r="B75" s="553"/>
      <c r="C75" s="311" t="s">
        <v>815</v>
      </c>
    </row>
    <row r="76" spans="1:3" ht="38.25">
      <c r="A76" s="478">
        <v>188</v>
      </c>
      <c r="B76" s="310" t="s">
        <v>816</v>
      </c>
      <c r="C76" s="309" t="s">
        <v>817</v>
      </c>
    </row>
    <row r="77" spans="1:3" ht="38.25">
      <c r="A77" s="478">
        <v>188</v>
      </c>
      <c r="B77" s="310" t="s">
        <v>957</v>
      </c>
      <c r="C77" s="310" t="s">
        <v>1307</v>
      </c>
    </row>
    <row r="78" spans="1:3" ht="25.5">
      <c r="A78" s="478">
        <v>188</v>
      </c>
      <c r="B78" s="308" t="s">
        <v>740</v>
      </c>
      <c r="C78" s="310" t="s">
        <v>780</v>
      </c>
    </row>
    <row r="79" spans="1:3" ht="25.5">
      <c r="A79" s="478">
        <v>188</v>
      </c>
      <c r="B79" s="308" t="s">
        <v>818</v>
      </c>
      <c r="C79" s="309" t="s">
        <v>819</v>
      </c>
    </row>
    <row r="80" spans="1:3" ht="12.75">
      <c r="A80" s="478">
        <v>188</v>
      </c>
      <c r="B80" s="310" t="s">
        <v>820</v>
      </c>
      <c r="C80" s="309" t="s">
        <v>821</v>
      </c>
    </row>
    <row r="81" spans="1:3" ht="38.25">
      <c r="A81" s="478">
        <v>188</v>
      </c>
      <c r="B81" s="308" t="s">
        <v>789</v>
      </c>
      <c r="C81" s="309" t="s">
        <v>790</v>
      </c>
    </row>
    <row r="82" spans="1:3" ht="25.5">
      <c r="A82" s="478">
        <v>188</v>
      </c>
      <c r="B82" s="308" t="s">
        <v>730</v>
      </c>
      <c r="C82" s="309" t="s">
        <v>764</v>
      </c>
    </row>
    <row r="83" spans="1:3" ht="12.75">
      <c r="A83" s="552">
        <v>283</v>
      </c>
      <c r="B83" s="553"/>
      <c r="C83" s="311" t="s">
        <v>171</v>
      </c>
    </row>
    <row r="84" spans="1:3" ht="12.75">
      <c r="A84" s="478">
        <v>283</v>
      </c>
      <c r="B84" s="308" t="s">
        <v>822</v>
      </c>
      <c r="C84" s="309" t="s">
        <v>823</v>
      </c>
    </row>
    <row r="85" spans="1:3" ht="51">
      <c r="A85" s="478">
        <v>283</v>
      </c>
      <c r="B85" s="308" t="s">
        <v>824</v>
      </c>
      <c r="C85" s="309" t="s">
        <v>825</v>
      </c>
    </row>
    <row r="86" spans="1:3" ht="38.25">
      <c r="A86" s="478">
        <v>283</v>
      </c>
      <c r="B86" s="308" t="s">
        <v>826</v>
      </c>
      <c r="C86" s="309" t="s">
        <v>827</v>
      </c>
    </row>
    <row r="87" spans="1:3" ht="25.5">
      <c r="A87" s="478">
        <v>283</v>
      </c>
      <c r="B87" s="308" t="s">
        <v>828</v>
      </c>
      <c r="C87" s="309" t="s">
        <v>829</v>
      </c>
    </row>
    <row r="88" spans="1:3" ht="51">
      <c r="A88" s="478">
        <v>283</v>
      </c>
      <c r="B88" s="308" t="s">
        <v>830</v>
      </c>
      <c r="C88" s="314" t="s">
        <v>831</v>
      </c>
    </row>
    <row r="89" spans="1:3" ht="38.25">
      <c r="A89" s="478">
        <v>283</v>
      </c>
      <c r="B89" s="308" t="s">
        <v>832</v>
      </c>
      <c r="C89" s="314" t="s">
        <v>833</v>
      </c>
    </row>
    <row r="90" spans="1:3" ht="38.25">
      <c r="A90" s="478">
        <v>283</v>
      </c>
      <c r="B90" s="308" t="s">
        <v>834</v>
      </c>
      <c r="C90" s="314" t="s">
        <v>835</v>
      </c>
    </row>
    <row r="91" spans="1:3" ht="38.25">
      <c r="A91" s="478">
        <v>283</v>
      </c>
      <c r="B91" s="308" t="s">
        <v>836</v>
      </c>
      <c r="C91" s="313" t="s">
        <v>837</v>
      </c>
    </row>
    <row r="92" spans="1:3" ht="25.5">
      <c r="A92" s="478">
        <v>283</v>
      </c>
      <c r="B92" s="308" t="s">
        <v>838</v>
      </c>
      <c r="C92" s="314" t="s">
        <v>839</v>
      </c>
    </row>
    <row r="93" spans="1:3" ht="38.25">
      <c r="A93" s="478">
        <v>283</v>
      </c>
      <c r="B93" s="308" t="s">
        <v>840</v>
      </c>
      <c r="C93" s="314" t="s">
        <v>841</v>
      </c>
    </row>
    <row r="94" spans="1:3" ht="63.75">
      <c r="A94" s="478">
        <v>283</v>
      </c>
      <c r="B94" s="308" t="s">
        <v>1308</v>
      </c>
      <c r="C94" s="314" t="s">
        <v>1309</v>
      </c>
    </row>
    <row r="95" spans="1:3" ht="51">
      <c r="A95" s="478">
        <v>283</v>
      </c>
      <c r="B95" s="308" t="s">
        <v>1310</v>
      </c>
      <c r="C95" s="314" t="s">
        <v>1311</v>
      </c>
    </row>
    <row r="96" spans="1:3" ht="25.5">
      <c r="A96" s="478">
        <v>283</v>
      </c>
      <c r="B96" s="308" t="s">
        <v>842</v>
      </c>
      <c r="C96" s="309" t="s">
        <v>843</v>
      </c>
    </row>
    <row r="97" spans="1:3" ht="51">
      <c r="A97" s="478">
        <v>283</v>
      </c>
      <c r="B97" s="308" t="s">
        <v>844</v>
      </c>
      <c r="C97" s="309" t="s">
        <v>845</v>
      </c>
    </row>
    <row r="98" spans="1:3" ht="25.5">
      <c r="A98" s="478">
        <v>283</v>
      </c>
      <c r="B98" s="308" t="s">
        <v>846</v>
      </c>
      <c r="C98" s="309" t="s">
        <v>847</v>
      </c>
    </row>
    <row r="99" spans="1:3" ht="38.25">
      <c r="A99" s="478">
        <v>283</v>
      </c>
      <c r="B99" s="308" t="s">
        <v>848</v>
      </c>
      <c r="C99" s="309" t="s">
        <v>849</v>
      </c>
    </row>
    <row r="100" spans="1:3" ht="25.5">
      <c r="A100" s="478">
        <v>283</v>
      </c>
      <c r="B100" s="308" t="s">
        <v>850</v>
      </c>
      <c r="C100" s="313" t="s">
        <v>851</v>
      </c>
    </row>
    <row r="101" spans="1:3" ht="12.75">
      <c r="A101" s="478">
        <v>283</v>
      </c>
      <c r="B101" s="308" t="s">
        <v>852</v>
      </c>
      <c r="C101" s="309" t="s">
        <v>853</v>
      </c>
    </row>
    <row r="102" spans="1:3" ht="51">
      <c r="A102" s="478">
        <v>283</v>
      </c>
      <c r="B102" s="308" t="s">
        <v>854</v>
      </c>
      <c r="C102" s="314" t="s">
        <v>855</v>
      </c>
    </row>
    <row r="103" spans="1:3" ht="51">
      <c r="A103" s="478">
        <v>283</v>
      </c>
      <c r="B103" s="308" t="s">
        <v>856</v>
      </c>
      <c r="C103" s="314" t="s">
        <v>857</v>
      </c>
    </row>
    <row r="104" spans="1:3" ht="12.75">
      <c r="A104" s="478">
        <v>283</v>
      </c>
      <c r="B104" s="308" t="s">
        <v>858</v>
      </c>
      <c r="C104" s="309" t="s">
        <v>859</v>
      </c>
    </row>
    <row r="105" spans="1:3" ht="25.5">
      <c r="A105" s="478">
        <v>283</v>
      </c>
      <c r="B105" s="308" t="s">
        <v>860</v>
      </c>
      <c r="C105" s="309" t="s">
        <v>861</v>
      </c>
    </row>
    <row r="106" spans="1:3" ht="25.5">
      <c r="A106" s="478">
        <v>283</v>
      </c>
      <c r="B106" s="308" t="s">
        <v>862</v>
      </c>
      <c r="C106" s="309" t="s">
        <v>863</v>
      </c>
    </row>
    <row r="107" spans="1:3" ht="38.25">
      <c r="A107" s="478">
        <v>283</v>
      </c>
      <c r="B107" s="308" t="s">
        <v>864</v>
      </c>
      <c r="C107" s="309" t="s">
        <v>865</v>
      </c>
    </row>
    <row r="108" spans="1:3" ht="51">
      <c r="A108" s="478">
        <v>283</v>
      </c>
      <c r="B108" s="308" t="s">
        <v>866</v>
      </c>
      <c r="C108" s="309" t="s">
        <v>867</v>
      </c>
    </row>
    <row r="109" spans="1:3" ht="25.5">
      <c r="A109" s="478">
        <v>283</v>
      </c>
      <c r="B109" s="308" t="s">
        <v>868</v>
      </c>
      <c r="C109" s="309" t="s">
        <v>869</v>
      </c>
    </row>
    <row r="110" spans="1:3" ht="12.75">
      <c r="A110" s="478">
        <v>283</v>
      </c>
      <c r="B110" s="315" t="s">
        <v>870</v>
      </c>
      <c r="C110" s="313" t="s">
        <v>871</v>
      </c>
    </row>
    <row r="111" spans="1:3" ht="25.5">
      <c r="A111" s="478">
        <v>283</v>
      </c>
      <c r="B111" s="315" t="s">
        <v>872</v>
      </c>
      <c r="C111" s="313" t="s">
        <v>873</v>
      </c>
    </row>
    <row r="112" spans="1:3" ht="38.25">
      <c r="A112" s="478">
        <v>283</v>
      </c>
      <c r="B112" s="315" t="s">
        <v>874</v>
      </c>
      <c r="C112" s="309" t="s">
        <v>875</v>
      </c>
    </row>
    <row r="113" spans="1:3" ht="12.75">
      <c r="A113" s="478">
        <v>283</v>
      </c>
      <c r="B113" s="315" t="s">
        <v>876</v>
      </c>
      <c r="C113" s="313" t="s">
        <v>877</v>
      </c>
    </row>
    <row r="114" spans="1:3" ht="25.5">
      <c r="A114" s="478">
        <v>283</v>
      </c>
      <c r="B114" s="315" t="s">
        <v>878</v>
      </c>
      <c r="C114" s="313" t="s">
        <v>879</v>
      </c>
    </row>
    <row r="115" spans="1:3" ht="38.25">
      <c r="A115" s="478">
        <v>283</v>
      </c>
      <c r="B115" s="308" t="s">
        <v>880</v>
      </c>
      <c r="C115" s="309" t="s">
        <v>881</v>
      </c>
    </row>
    <row r="116" spans="1:3" ht="38.25">
      <c r="A116" s="478">
        <v>283</v>
      </c>
      <c r="B116" s="308" t="s">
        <v>882</v>
      </c>
      <c r="C116" s="309" t="s">
        <v>883</v>
      </c>
    </row>
    <row r="117" spans="1:3" ht="51">
      <c r="A117" s="478">
        <v>283</v>
      </c>
      <c r="B117" s="308" t="s">
        <v>884</v>
      </c>
      <c r="C117" s="309" t="s">
        <v>885</v>
      </c>
    </row>
    <row r="118" spans="1:3" ht="25.5">
      <c r="A118" s="478">
        <v>283</v>
      </c>
      <c r="B118" s="308" t="s">
        <v>886</v>
      </c>
      <c r="C118" s="309" t="s">
        <v>887</v>
      </c>
    </row>
    <row r="119" spans="1:3" ht="25.5">
      <c r="A119" s="478">
        <v>283</v>
      </c>
      <c r="B119" s="308" t="s">
        <v>888</v>
      </c>
      <c r="C119" s="309" t="s">
        <v>889</v>
      </c>
    </row>
    <row r="120" spans="1:3" ht="38.25">
      <c r="A120" s="478">
        <v>283</v>
      </c>
      <c r="B120" s="308" t="s">
        <v>890</v>
      </c>
      <c r="C120" s="309" t="s">
        <v>891</v>
      </c>
    </row>
    <row r="121" spans="1:3" ht="25.5">
      <c r="A121" s="478">
        <v>283</v>
      </c>
      <c r="B121" s="315" t="s">
        <v>892</v>
      </c>
      <c r="C121" s="309" t="s">
        <v>893</v>
      </c>
    </row>
    <row r="122" spans="1:3" ht="25.5">
      <c r="A122" s="478">
        <v>283</v>
      </c>
      <c r="B122" s="308" t="s">
        <v>894</v>
      </c>
      <c r="C122" s="309" t="s">
        <v>895</v>
      </c>
    </row>
    <row r="123" spans="1:3" ht="25.5">
      <c r="A123" s="478">
        <v>283</v>
      </c>
      <c r="B123" s="308" t="s">
        <v>896</v>
      </c>
      <c r="C123" s="309" t="s">
        <v>897</v>
      </c>
    </row>
    <row r="124" spans="1:3" ht="38.25">
      <c r="A124" s="478">
        <v>283</v>
      </c>
      <c r="B124" s="308" t="s">
        <v>898</v>
      </c>
      <c r="C124" s="309" t="s">
        <v>899</v>
      </c>
    </row>
    <row r="125" spans="1:3" ht="25.5">
      <c r="A125" s="478">
        <v>283</v>
      </c>
      <c r="B125" s="308" t="s">
        <v>900</v>
      </c>
      <c r="C125" s="309" t="s">
        <v>901</v>
      </c>
    </row>
    <row r="126" spans="1:3" ht="38.25">
      <c r="A126" s="478">
        <v>283</v>
      </c>
      <c r="B126" s="308" t="s">
        <v>902</v>
      </c>
      <c r="C126" s="309" t="s">
        <v>903</v>
      </c>
    </row>
    <row r="127" spans="1:3" ht="25.5">
      <c r="A127" s="316">
        <v>283</v>
      </c>
      <c r="B127" s="317" t="s">
        <v>904</v>
      </c>
      <c r="C127" s="318" t="s">
        <v>905</v>
      </c>
    </row>
    <row r="128" spans="1:3" ht="25.5">
      <c r="A128" s="552">
        <v>284</v>
      </c>
      <c r="B128" s="553"/>
      <c r="C128" s="306" t="s">
        <v>906</v>
      </c>
    </row>
    <row r="129" spans="1:3" ht="12.75">
      <c r="A129" s="478">
        <v>284</v>
      </c>
      <c r="B129" s="308" t="s">
        <v>907</v>
      </c>
      <c r="C129" s="309" t="s">
        <v>908</v>
      </c>
    </row>
    <row r="130" spans="1:3" ht="25.5">
      <c r="A130" s="478">
        <v>284</v>
      </c>
      <c r="B130" s="308" t="s">
        <v>909</v>
      </c>
      <c r="C130" s="309" t="s">
        <v>910</v>
      </c>
    </row>
    <row r="131" spans="1:3" ht="12.75">
      <c r="A131" s="478">
        <v>284</v>
      </c>
      <c r="B131" s="308" t="s">
        <v>911</v>
      </c>
      <c r="C131" s="310" t="s">
        <v>912</v>
      </c>
    </row>
    <row r="132" spans="1:3" ht="25.5">
      <c r="A132" s="478">
        <v>284</v>
      </c>
      <c r="B132" s="308" t="s">
        <v>913</v>
      </c>
      <c r="C132" s="309" t="s">
        <v>914</v>
      </c>
    </row>
    <row r="133" spans="1:3" ht="51">
      <c r="A133" s="478">
        <v>284</v>
      </c>
      <c r="B133" s="308" t="s">
        <v>915</v>
      </c>
      <c r="C133" s="309" t="s">
        <v>916</v>
      </c>
    </row>
    <row r="134" spans="1:3" ht="25.5">
      <c r="A134" s="554" t="s">
        <v>226</v>
      </c>
      <c r="B134" s="555"/>
      <c r="C134" s="306" t="s">
        <v>917</v>
      </c>
    </row>
    <row r="135" spans="1:3" ht="25.5">
      <c r="A135" s="478">
        <v>285</v>
      </c>
      <c r="B135" s="308" t="s">
        <v>918</v>
      </c>
      <c r="C135" s="309" t="s">
        <v>919</v>
      </c>
    </row>
    <row r="136" spans="1:3" ht="38.25">
      <c r="A136" s="478">
        <v>285</v>
      </c>
      <c r="B136" s="308" t="s">
        <v>920</v>
      </c>
      <c r="C136" s="309" t="s">
        <v>921</v>
      </c>
    </row>
    <row r="137" spans="1:3" ht="38.25">
      <c r="A137" s="478">
        <v>285</v>
      </c>
      <c r="B137" s="308" t="s">
        <v>922</v>
      </c>
      <c r="C137" s="309" t="s">
        <v>923</v>
      </c>
    </row>
    <row r="138" spans="1:3" ht="25.5">
      <c r="A138" s="478">
        <v>285</v>
      </c>
      <c r="B138" s="308" t="s">
        <v>924</v>
      </c>
      <c r="C138" s="309" t="s">
        <v>925</v>
      </c>
    </row>
    <row r="139" spans="1:3" ht="25.5">
      <c r="A139" s="478">
        <v>285</v>
      </c>
      <c r="B139" s="308" t="s">
        <v>926</v>
      </c>
      <c r="C139" s="309" t="s">
        <v>927</v>
      </c>
    </row>
    <row r="140" spans="1:3" ht="25.5">
      <c r="A140" s="478">
        <v>285</v>
      </c>
      <c r="B140" s="308" t="s">
        <v>928</v>
      </c>
      <c r="C140" s="309" t="s">
        <v>929</v>
      </c>
    </row>
    <row r="141" spans="1:3" ht="51">
      <c r="A141" s="478">
        <v>285</v>
      </c>
      <c r="B141" s="308" t="s">
        <v>930</v>
      </c>
      <c r="C141" s="309" t="s">
        <v>931</v>
      </c>
    </row>
    <row r="142" spans="1:3" ht="38.25">
      <c r="A142" s="478">
        <v>285</v>
      </c>
      <c r="B142" s="319" t="s">
        <v>932</v>
      </c>
      <c r="C142" s="309" t="s">
        <v>933</v>
      </c>
    </row>
    <row r="143" spans="1:3" ht="25.5">
      <c r="A143" s="552">
        <v>287</v>
      </c>
      <c r="B143" s="553"/>
      <c r="C143" s="311" t="s">
        <v>423</v>
      </c>
    </row>
    <row r="144" spans="1:3" ht="25.5">
      <c r="A144" s="478">
        <v>287</v>
      </c>
      <c r="B144" s="308" t="s">
        <v>934</v>
      </c>
      <c r="C144" s="309" t="s">
        <v>935</v>
      </c>
    </row>
    <row r="145" spans="1:3" ht="12.75">
      <c r="A145" s="552">
        <v>288</v>
      </c>
      <c r="B145" s="553"/>
      <c r="C145" s="311" t="s">
        <v>936</v>
      </c>
    </row>
    <row r="146" spans="1:3" ht="38.25">
      <c r="A146" s="478">
        <v>288</v>
      </c>
      <c r="B146" s="308" t="s">
        <v>937</v>
      </c>
      <c r="C146" s="313" t="s">
        <v>938</v>
      </c>
    </row>
    <row r="147" spans="1:3" ht="25.5">
      <c r="A147" s="478">
        <v>288</v>
      </c>
      <c r="B147" s="308" t="s">
        <v>939</v>
      </c>
      <c r="C147" s="309" t="s">
        <v>940</v>
      </c>
    </row>
    <row r="148" spans="1:3" ht="25.5">
      <c r="A148" s="478">
        <v>288</v>
      </c>
      <c r="B148" s="308" t="s">
        <v>1312</v>
      </c>
      <c r="C148" s="309" t="s">
        <v>1313</v>
      </c>
    </row>
    <row r="149" spans="1:3" ht="25.5">
      <c r="A149" s="478">
        <v>288</v>
      </c>
      <c r="B149" s="308" t="s">
        <v>941</v>
      </c>
      <c r="C149" s="309" t="s">
        <v>942</v>
      </c>
    </row>
    <row r="150" spans="1:3" ht="38.25">
      <c r="A150" s="478">
        <v>288</v>
      </c>
      <c r="B150" s="308" t="s">
        <v>943</v>
      </c>
      <c r="C150" s="309" t="s">
        <v>944</v>
      </c>
    </row>
    <row r="151" spans="1:3" ht="25.5">
      <c r="A151" s="552">
        <v>289</v>
      </c>
      <c r="B151" s="553"/>
      <c r="C151" s="311" t="s">
        <v>945</v>
      </c>
    </row>
    <row r="152" spans="1:3" ht="25.5">
      <c r="A152" s="478">
        <v>289</v>
      </c>
      <c r="B152" s="320" t="s">
        <v>946</v>
      </c>
      <c r="C152" s="309" t="s">
        <v>947</v>
      </c>
    </row>
    <row r="153" spans="1:3" ht="38.25">
      <c r="A153" s="478">
        <v>289</v>
      </c>
      <c r="B153" s="321" t="s">
        <v>948</v>
      </c>
      <c r="C153" s="309" t="s">
        <v>949</v>
      </c>
    </row>
    <row r="154" spans="1:3" ht="38.25">
      <c r="A154" s="478">
        <v>289</v>
      </c>
      <c r="B154" s="321" t="s">
        <v>1314</v>
      </c>
      <c r="C154" s="309" t="s">
        <v>1315</v>
      </c>
    </row>
    <row r="155" spans="1:3" ht="25.5">
      <c r="A155" s="554" t="s">
        <v>230</v>
      </c>
      <c r="B155" s="555"/>
      <c r="C155" s="311" t="s">
        <v>950</v>
      </c>
    </row>
    <row r="156" spans="1:3" ht="12.75">
      <c r="A156" s="552">
        <v>291</v>
      </c>
      <c r="B156" s="553"/>
      <c r="C156" s="311" t="s">
        <v>951</v>
      </c>
    </row>
    <row r="157" spans="1:3" ht="12.75">
      <c r="A157" s="552">
        <v>292</v>
      </c>
      <c r="B157" s="553"/>
      <c r="C157" s="306" t="s">
        <v>952</v>
      </c>
    </row>
    <row r="158" spans="1:3" ht="25.5">
      <c r="A158" s="552">
        <v>321</v>
      </c>
      <c r="B158" s="553"/>
      <c r="C158" s="306" t="s">
        <v>953</v>
      </c>
    </row>
    <row r="159" spans="1:3" ht="12.75">
      <c r="A159" s="479">
        <v>321</v>
      </c>
      <c r="B159" s="308" t="s">
        <v>954</v>
      </c>
      <c r="C159" s="310" t="s">
        <v>955</v>
      </c>
    </row>
    <row r="160" spans="1:3" ht="38.25">
      <c r="A160" s="479">
        <v>321</v>
      </c>
      <c r="B160" s="308" t="s">
        <v>789</v>
      </c>
      <c r="C160" s="309" t="s">
        <v>790</v>
      </c>
    </row>
    <row r="161" spans="1:3" ht="12.75">
      <c r="A161" s="552">
        <v>322</v>
      </c>
      <c r="B161" s="553"/>
      <c r="C161" s="306" t="s">
        <v>956</v>
      </c>
    </row>
    <row r="162" spans="1:3" ht="25.5">
      <c r="A162" s="479">
        <v>322</v>
      </c>
      <c r="B162" s="310" t="s">
        <v>957</v>
      </c>
      <c r="C162" s="310" t="s">
        <v>958</v>
      </c>
    </row>
    <row r="163" spans="1:3" ht="12.75">
      <c r="A163" s="552">
        <v>388</v>
      </c>
      <c r="B163" s="553"/>
      <c r="C163" s="306" t="s">
        <v>959</v>
      </c>
    </row>
    <row r="164" spans="1:3" ht="38.25">
      <c r="A164" s="479">
        <v>388</v>
      </c>
      <c r="B164" s="310" t="s">
        <v>781</v>
      </c>
      <c r="C164" s="310" t="s">
        <v>782</v>
      </c>
    </row>
    <row r="165" spans="1:3" ht="12.75">
      <c r="A165" s="552">
        <v>415</v>
      </c>
      <c r="B165" s="553"/>
      <c r="C165" s="306" t="s">
        <v>960</v>
      </c>
    </row>
    <row r="166" spans="1:3" ht="25.5">
      <c r="A166" s="479">
        <v>415</v>
      </c>
      <c r="B166" s="308" t="s">
        <v>730</v>
      </c>
      <c r="C166" s="309" t="s">
        <v>764</v>
      </c>
    </row>
    <row r="167" spans="1:3" ht="38.25">
      <c r="A167" s="561"/>
      <c r="B167" s="562"/>
      <c r="C167" s="322" t="s">
        <v>961</v>
      </c>
    </row>
    <row r="168" spans="1:3" ht="25.5">
      <c r="A168" s="479"/>
      <c r="B168" s="308" t="s">
        <v>962</v>
      </c>
      <c r="C168" s="313" t="s">
        <v>963</v>
      </c>
    </row>
    <row r="169" spans="1:3" ht="25.5">
      <c r="A169" s="479"/>
      <c r="B169" s="308" t="s">
        <v>937</v>
      </c>
      <c r="C169" s="313" t="s">
        <v>964</v>
      </c>
    </row>
    <row r="170" spans="1:3" ht="25.5">
      <c r="A170" s="479"/>
      <c r="B170" s="308" t="s">
        <v>965</v>
      </c>
      <c r="C170" s="313" t="s">
        <v>966</v>
      </c>
    </row>
    <row r="171" spans="1:3" ht="12.75">
      <c r="A171" s="479"/>
      <c r="B171" s="308" t="s">
        <v>967</v>
      </c>
      <c r="C171" s="309" t="s">
        <v>968</v>
      </c>
    </row>
    <row r="172" spans="1:3" ht="51">
      <c r="A172" s="479"/>
      <c r="B172" s="308" t="s">
        <v>969</v>
      </c>
      <c r="C172" s="314" t="s">
        <v>970</v>
      </c>
    </row>
    <row r="173" spans="1:3" ht="51">
      <c r="A173" s="479"/>
      <c r="B173" s="308" t="s">
        <v>971</v>
      </c>
      <c r="C173" s="314" t="s">
        <v>972</v>
      </c>
    </row>
    <row r="174" spans="1:3" ht="25.5">
      <c r="A174" s="479"/>
      <c r="B174" s="308" t="s">
        <v>973</v>
      </c>
      <c r="C174" s="314" t="s">
        <v>974</v>
      </c>
    </row>
    <row r="175" spans="1:3" ht="25.5">
      <c r="A175" s="478"/>
      <c r="B175" s="308" t="s">
        <v>975</v>
      </c>
      <c r="C175" s="309" t="s">
        <v>976</v>
      </c>
    </row>
    <row r="176" spans="1:3" ht="25.5">
      <c r="A176" s="478"/>
      <c r="B176" s="308" t="s">
        <v>977</v>
      </c>
      <c r="C176" s="309" t="s">
        <v>978</v>
      </c>
    </row>
    <row r="177" spans="1:3" ht="25.5">
      <c r="A177" s="478"/>
      <c r="B177" s="308" t="s">
        <v>979</v>
      </c>
      <c r="C177" s="309" t="s">
        <v>980</v>
      </c>
    </row>
    <row r="178" spans="1:3" ht="25.5">
      <c r="A178" s="478"/>
      <c r="B178" s="308" t="s">
        <v>981</v>
      </c>
      <c r="C178" s="309" t="s">
        <v>982</v>
      </c>
    </row>
    <row r="179" spans="1:3" ht="25.5">
      <c r="A179" s="479"/>
      <c r="B179" s="308" t="s">
        <v>726</v>
      </c>
      <c r="C179" s="309" t="s">
        <v>983</v>
      </c>
    </row>
    <row r="180" spans="1:3" ht="25.5">
      <c r="A180" s="479"/>
      <c r="B180" s="308" t="s">
        <v>957</v>
      </c>
      <c r="C180" s="309" t="s">
        <v>958</v>
      </c>
    </row>
    <row r="181" spans="1:3" ht="38.25">
      <c r="A181" s="479"/>
      <c r="B181" s="308" t="s">
        <v>984</v>
      </c>
      <c r="C181" s="309" t="s">
        <v>985</v>
      </c>
    </row>
    <row r="182" spans="1:3" ht="25.5">
      <c r="A182" s="479"/>
      <c r="B182" s="308" t="s">
        <v>986</v>
      </c>
      <c r="C182" s="309" t="s">
        <v>987</v>
      </c>
    </row>
    <row r="183" spans="1:3" ht="25.5">
      <c r="A183" s="479"/>
      <c r="B183" s="308" t="s">
        <v>988</v>
      </c>
      <c r="C183" s="309" t="s">
        <v>989</v>
      </c>
    </row>
    <row r="184" spans="1:3" ht="38.25">
      <c r="A184" s="479"/>
      <c r="B184" s="308" t="s">
        <v>756</v>
      </c>
      <c r="C184" s="309" t="s">
        <v>990</v>
      </c>
    </row>
    <row r="185" spans="1:3" ht="25.5">
      <c r="A185" s="479"/>
      <c r="B185" s="308" t="s">
        <v>730</v>
      </c>
      <c r="C185" s="309" t="s">
        <v>764</v>
      </c>
    </row>
    <row r="186" spans="1:3" ht="12.75">
      <c r="A186" s="479"/>
      <c r="B186" s="308" t="s">
        <v>991</v>
      </c>
      <c r="C186" s="309" t="s">
        <v>992</v>
      </c>
    </row>
    <row r="187" spans="1:3" ht="12.75">
      <c r="A187" s="479"/>
      <c r="B187" s="308" t="s">
        <v>993</v>
      </c>
      <c r="C187" s="309" t="s">
        <v>994</v>
      </c>
    </row>
    <row r="188" spans="1:3" ht="12.75">
      <c r="A188" s="479"/>
      <c r="B188" s="308" t="s">
        <v>995</v>
      </c>
      <c r="C188" s="309" t="s">
        <v>996</v>
      </c>
    </row>
    <row r="189" spans="1:3" ht="12.75">
      <c r="A189" s="479"/>
      <c r="B189" s="315" t="s">
        <v>876</v>
      </c>
      <c r="C189" s="313" t="s">
        <v>877</v>
      </c>
    </row>
    <row r="190" spans="1:3" ht="25.5">
      <c r="A190" s="478"/>
      <c r="B190" s="315" t="s">
        <v>878</v>
      </c>
      <c r="C190" s="313" t="s">
        <v>879</v>
      </c>
    </row>
    <row r="191" spans="1:3" ht="25.5">
      <c r="A191" s="479"/>
      <c r="B191" s="315" t="s">
        <v>997</v>
      </c>
      <c r="C191" s="309" t="s">
        <v>998</v>
      </c>
    </row>
    <row r="192" spans="1:3" ht="12.75">
      <c r="A192" s="479"/>
      <c r="B192" s="308" t="s">
        <v>999</v>
      </c>
      <c r="C192" s="309" t="s">
        <v>1000</v>
      </c>
    </row>
    <row r="193" spans="1:3" ht="25.5">
      <c r="A193" s="479"/>
      <c r="B193" s="308" t="s">
        <v>1001</v>
      </c>
      <c r="C193" s="309" t="s">
        <v>1002</v>
      </c>
    </row>
    <row r="194" spans="1:3" ht="12.75">
      <c r="A194" s="479"/>
      <c r="B194" s="308" t="s">
        <v>1003</v>
      </c>
      <c r="C194" s="309" t="s">
        <v>1004</v>
      </c>
    </row>
    <row r="195" spans="1:3" ht="12.75">
      <c r="A195" s="479"/>
      <c r="B195" s="308" t="s">
        <v>1005</v>
      </c>
      <c r="C195" s="309" t="s">
        <v>1006</v>
      </c>
    </row>
    <row r="196" spans="1:3" ht="25.5">
      <c r="A196" s="479"/>
      <c r="B196" s="308" t="s">
        <v>1007</v>
      </c>
      <c r="C196" s="309" t="s">
        <v>1008</v>
      </c>
    </row>
    <row r="197" spans="1:3" ht="25.5">
      <c r="A197" s="479"/>
      <c r="B197" s="308" t="s">
        <v>1009</v>
      </c>
      <c r="C197" s="309" t="s">
        <v>1010</v>
      </c>
    </row>
    <row r="198" spans="1:3" ht="25.5">
      <c r="A198" s="479"/>
      <c r="B198" s="308" t="s">
        <v>1011</v>
      </c>
      <c r="C198" s="309" t="s">
        <v>1012</v>
      </c>
    </row>
    <row r="199" spans="1:3" ht="25.5">
      <c r="A199" s="479"/>
      <c r="B199" s="308" t="s">
        <v>1013</v>
      </c>
      <c r="C199" s="309" t="s">
        <v>1014</v>
      </c>
    </row>
    <row r="200" spans="1:3" ht="25.5">
      <c r="A200" s="479"/>
      <c r="B200" s="308" t="s">
        <v>1015</v>
      </c>
      <c r="C200" s="309" t="s">
        <v>1016</v>
      </c>
    </row>
    <row r="201" spans="1:3" ht="25.5">
      <c r="A201" s="479"/>
      <c r="B201" s="308" t="s">
        <v>1017</v>
      </c>
      <c r="C201" s="309" t="s">
        <v>1018</v>
      </c>
    </row>
    <row r="202" spans="1:3" ht="25.5">
      <c r="A202" s="479"/>
      <c r="B202" s="308" t="s">
        <v>1019</v>
      </c>
      <c r="C202" s="309" t="s">
        <v>1020</v>
      </c>
    </row>
    <row r="203" spans="1:3" ht="38.25">
      <c r="A203" s="479"/>
      <c r="B203" s="308" t="s">
        <v>1021</v>
      </c>
      <c r="C203" s="309" t="s">
        <v>1022</v>
      </c>
    </row>
    <row r="204" spans="1:3" ht="25.5">
      <c r="A204" s="479"/>
      <c r="B204" s="308" t="s">
        <v>1023</v>
      </c>
      <c r="C204" s="309" t="s">
        <v>1024</v>
      </c>
    </row>
    <row r="205" spans="1:3" ht="12.75">
      <c r="A205" s="479"/>
      <c r="B205" s="308" t="s">
        <v>1025</v>
      </c>
      <c r="C205" s="309" t="s">
        <v>1026</v>
      </c>
    </row>
    <row r="206" spans="1:3" ht="38.25">
      <c r="A206" s="479"/>
      <c r="B206" s="308" t="s">
        <v>1027</v>
      </c>
      <c r="C206" s="309" t="s">
        <v>1028</v>
      </c>
    </row>
    <row r="207" spans="1:3" ht="25.5">
      <c r="A207" s="479"/>
      <c r="B207" s="308" t="s">
        <v>1029</v>
      </c>
      <c r="C207" s="309" t="s">
        <v>1030</v>
      </c>
    </row>
    <row r="208" spans="1:3" ht="25.5">
      <c r="A208" s="479"/>
      <c r="B208" s="308" t="s">
        <v>1031</v>
      </c>
      <c r="C208" s="309" t="s">
        <v>1032</v>
      </c>
    </row>
    <row r="209" spans="1:3" ht="25.5">
      <c r="A209" s="479"/>
      <c r="B209" s="308" t="s">
        <v>1033</v>
      </c>
      <c r="C209" s="309" t="s">
        <v>1034</v>
      </c>
    </row>
    <row r="210" spans="1:3" ht="25.5">
      <c r="A210" s="479"/>
      <c r="B210" s="308" t="s">
        <v>1035</v>
      </c>
      <c r="C210" s="309" t="s">
        <v>1036</v>
      </c>
    </row>
    <row r="211" spans="1:3" ht="12.75">
      <c r="A211" s="560" t="s">
        <v>1037</v>
      </c>
      <c r="B211" s="560"/>
      <c r="C211" s="560"/>
    </row>
    <row r="212" spans="1:3" ht="72.75" customHeight="1">
      <c r="A212" s="563" t="s">
        <v>1038</v>
      </c>
      <c r="B212" s="560"/>
      <c r="C212" s="560"/>
    </row>
    <row r="213" spans="1:3" ht="14.25" customHeight="1">
      <c r="A213" s="560" t="s">
        <v>1039</v>
      </c>
      <c r="B213" s="560"/>
      <c r="C213" s="560"/>
    </row>
    <row r="214" spans="1:3" ht="24" customHeight="1">
      <c r="A214" s="560" t="s">
        <v>1040</v>
      </c>
      <c r="B214" s="560"/>
      <c r="C214" s="560"/>
    </row>
    <row r="215" spans="1:3" ht="21.75" customHeight="1">
      <c r="A215" s="560" t="s">
        <v>1041</v>
      </c>
      <c r="B215" s="560"/>
      <c r="C215" s="560"/>
    </row>
  </sheetData>
  <sheetProtection/>
  <mergeCells count="44">
    <mergeCell ref="A214:C214"/>
    <mergeCell ref="A215:C215"/>
    <mergeCell ref="A163:B163"/>
    <mergeCell ref="A165:B165"/>
    <mergeCell ref="A167:B167"/>
    <mergeCell ref="A211:C211"/>
    <mergeCell ref="A212:C212"/>
    <mergeCell ref="A213:C213"/>
    <mergeCell ref="A151:B151"/>
    <mergeCell ref="A155:B155"/>
    <mergeCell ref="A156:B156"/>
    <mergeCell ref="A157:B157"/>
    <mergeCell ref="A158:B158"/>
    <mergeCell ref="A161:B161"/>
    <mergeCell ref="A75:B75"/>
    <mergeCell ref="A83:B83"/>
    <mergeCell ref="A128:B128"/>
    <mergeCell ref="A134:B134"/>
    <mergeCell ref="A143:B143"/>
    <mergeCell ref="A145:B145"/>
    <mergeCell ref="A47:B47"/>
    <mergeCell ref="A49:B49"/>
    <mergeCell ref="A55:B55"/>
    <mergeCell ref="A57:B57"/>
    <mergeCell ref="A59:B59"/>
    <mergeCell ref="A62:B62"/>
    <mergeCell ref="A30:B30"/>
    <mergeCell ref="A32:B32"/>
    <mergeCell ref="A36:B36"/>
    <mergeCell ref="A38:B38"/>
    <mergeCell ref="A40:B40"/>
    <mergeCell ref="A42:B42"/>
    <mergeCell ref="A13:B13"/>
    <mergeCell ref="A16:B16"/>
    <mergeCell ref="A22:B22"/>
    <mergeCell ref="A24:B24"/>
    <mergeCell ref="A26:B26"/>
    <mergeCell ref="A28:B28"/>
    <mergeCell ref="A5:C5"/>
    <mergeCell ref="A7:B7"/>
    <mergeCell ref="C7:C8"/>
    <mergeCell ref="A9:B9"/>
    <mergeCell ref="A11:B11"/>
    <mergeCell ref="A6:B6"/>
  </mergeCells>
  <printOptions/>
  <pageMargins left="1.1023622047244095" right="0.31496062992125984" top="0.15748031496062992" bottom="0" header="0" footer="0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10.875" style="0" customWidth="1"/>
    <col min="2" max="2" width="24.875" style="0" customWidth="1"/>
    <col min="3" max="3" width="68.125" style="0" customWidth="1"/>
  </cols>
  <sheetData>
    <row r="1" spans="1:3" ht="12.75">
      <c r="A1" s="445"/>
      <c r="B1" s="446"/>
      <c r="C1" s="489" t="s">
        <v>1317</v>
      </c>
    </row>
    <row r="2" spans="1:3" ht="12.75">
      <c r="A2" s="445"/>
      <c r="B2" s="446"/>
      <c r="C2" s="489" t="s">
        <v>1263</v>
      </c>
    </row>
    <row r="3" spans="1:3" ht="12.75">
      <c r="A3" s="445"/>
      <c r="B3" s="446"/>
      <c r="C3" s="489" t="s">
        <v>1264</v>
      </c>
    </row>
    <row r="4" spans="1:3" ht="12.75">
      <c r="A4" s="445"/>
      <c r="B4" s="446"/>
      <c r="C4" s="490" t="s">
        <v>1325</v>
      </c>
    </row>
    <row r="5" spans="1:3" ht="56.25" customHeight="1">
      <c r="A5" s="564" t="s">
        <v>1141</v>
      </c>
      <c r="B5" s="564"/>
      <c r="C5" s="564"/>
    </row>
    <row r="6" spans="1:3" ht="15.75">
      <c r="A6" s="480"/>
      <c r="B6" s="480"/>
      <c r="C6" s="480"/>
    </row>
    <row r="7" spans="1:3" ht="12.75">
      <c r="A7" s="565" t="s">
        <v>721</v>
      </c>
      <c r="B7" s="565"/>
      <c r="C7" s="566" t="s">
        <v>1318</v>
      </c>
    </row>
    <row r="8" spans="1:3" ht="89.25">
      <c r="A8" s="481" t="s">
        <v>1316</v>
      </c>
      <c r="B8" s="481" t="s">
        <v>1142</v>
      </c>
      <c r="C8" s="566"/>
    </row>
    <row r="9" spans="1:3" ht="12.75">
      <c r="A9" s="567">
        <v>283</v>
      </c>
      <c r="B9" s="567"/>
      <c r="C9" s="448" t="s">
        <v>1143</v>
      </c>
    </row>
    <row r="10" spans="1:3" ht="25.5">
      <c r="A10" s="481">
        <v>283</v>
      </c>
      <c r="B10" s="449" t="s">
        <v>1144</v>
      </c>
      <c r="C10" s="450" t="s">
        <v>1145</v>
      </c>
    </row>
    <row r="11" spans="1:3" ht="38.25">
      <c r="A11" s="567">
        <v>284</v>
      </c>
      <c r="B11" s="567"/>
      <c r="C11" s="482" t="s">
        <v>906</v>
      </c>
    </row>
    <row r="12" spans="1:3" ht="25.5">
      <c r="A12" s="481">
        <v>284</v>
      </c>
      <c r="B12" s="449" t="s">
        <v>1146</v>
      </c>
      <c r="C12" s="450" t="s">
        <v>1147</v>
      </c>
    </row>
    <row r="13" spans="1:3" ht="25.5">
      <c r="A13" s="481">
        <v>284</v>
      </c>
      <c r="B13" s="449" t="s">
        <v>1148</v>
      </c>
      <c r="C13" s="450" t="s">
        <v>1149</v>
      </c>
    </row>
    <row r="14" spans="1:3" ht="25.5">
      <c r="A14" s="481">
        <v>284</v>
      </c>
      <c r="B14" s="449" t="s">
        <v>1150</v>
      </c>
      <c r="C14" s="450" t="s">
        <v>534</v>
      </c>
    </row>
    <row r="15" spans="1:3" ht="25.5">
      <c r="A15" s="481">
        <v>284</v>
      </c>
      <c r="B15" s="449" t="s">
        <v>1151</v>
      </c>
      <c r="C15" s="450" t="s">
        <v>535</v>
      </c>
    </row>
    <row r="16" spans="1:3" ht="38.25">
      <c r="A16" s="481">
        <v>284</v>
      </c>
      <c r="B16" s="449" t="s">
        <v>1152</v>
      </c>
      <c r="C16" s="450" t="s">
        <v>1153</v>
      </c>
    </row>
    <row r="17" spans="1:3" ht="38.25">
      <c r="A17" s="481">
        <v>284</v>
      </c>
      <c r="B17" s="449" t="s">
        <v>1154</v>
      </c>
      <c r="C17" s="450" t="s">
        <v>537</v>
      </c>
    </row>
    <row r="18" spans="1:3" ht="25.5">
      <c r="A18" s="481">
        <v>284</v>
      </c>
      <c r="B18" s="449" t="s">
        <v>1155</v>
      </c>
      <c r="C18" s="450" t="s">
        <v>1156</v>
      </c>
    </row>
    <row r="19" spans="1:3" ht="25.5">
      <c r="A19" s="481">
        <v>284</v>
      </c>
      <c r="B19" s="449" t="s">
        <v>1157</v>
      </c>
      <c r="C19" s="450" t="s">
        <v>1158</v>
      </c>
    </row>
    <row r="20" spans="1:3" ht="25.5">
      <c r="A20" s="481">
        <v>284</v>
      </c>
      <c r="B20" s="449" t="s">
        <v>1159</v>
      </c>
      <c r="C20" s="450" t="s">
        <v>1160</v>
      </c>
    </row>
    <row r="21" spans="1:3" ht="25.5">
      <c r="A21" s="481">
        <v>284</v>
      </c>
      <c r="B21" s="449" t="s">
        <v>1161</v>
      </c>
      <c r="C21" s="450" t="s">
        <v>1162</v>
      </c>
    </row>
    <row r="22" spans="1:3" ht="25.5">
      <c r="A22" s="481">
        <v>284</v>
      </c>
      <c r="B22" s="449" t="s">
        <v>1163</v>
      </c>
      <c r="C22" s="450" t="s">
        <v>1136</v>
      </c>
    </row>
    <row r="23" spans="1:3" ht="25.5">
      <c r="A23" s="481">
        <v>284</v>
      </c>
      <c r="B23" s="449" t="s">
        <v>1164</v>
      </c>
      <c r="C23" s="450" t="s">
        <v>1165</v>
      </c>
    </row>
    <row r="24" spans="1:3" ht="25.5">
      <c r="A24" s="481">
        <v>284</v>
      </c>
      <c r="B24" s="449" t="s">
        <v>1166</v>
      </c>
      <c r="C24" s="450" t="s">
        <v>1167</v>
      </c>
    </row>
    <row r="25" spans="1:3" ht="25.5">
      <c r="A25" s="481">
        <v>284</v>
      </c>
      <c r="B25" s="449" t="s">
        <v>1168</v>
      </c>
      <c r="C25" s="450" t="s">
        <v>1169</v>
      </c>
    </row>
    <row r="26" spans="1:3" ht="63.75">
      <c r="A26" s="481">
        <v>284</v>
      </c>
      <c r="B26" s="449" t="s">
        <v>1170</v>
      </c>
      <c r="C26" s="450" t="s">
        <v>1171</v>
      </c>
    </row>
    <row r="27" spans="1:3" ht="25.5">
      <c r="A27" s="481">
        <v>284</v>
      </c>
      <c r="B27" s="449" t="s">
        <v>1172</v>
      </c>
      <c r="C27" s="450" t="s">
        <v>1173</v>
      </c>
    </row>
    <row r="28" spans="1:3" ht="25.5">
      <c r="A28" s="481">
        <v>284</v>
      </c>
      <c r="B28" s="449" t="s">
        <v>1174</v>
      </c>
      <c r="C28" s="450" t="s">
        <v>1175</v>
      </c>
    </row>
    <row r="29" spans="1:3" ht="12.75">
      <c r="A29" s="481">
        <v>284</v>
      </c>
      <c r="B29" s="449" t="s">
        <v>1176</v>
      </c>
      <c r="C29" s="450" t="s">
        <v>1177</v>
      </c>
    </row>
    <row r="30" spans="1:3" ht="12.75">
      <c r="A30" s="481">
        <v>284</v>
      </c>
      <c r="B30" s="449" t="s">
        <v>1178</v>
      </c>
      <c r="C30" s="450" t="s">
        <v>1179</v>
      </c>
    </row>
    <row r="31" spans="1:3" ht="25.5">
      <c r="A31" s="481">
        <v>284</v>
      </c>
      <c r="B31" s="449" t="s">
        <v>1180</v>
      </c>
      <c r="C31" s="450" t="s">
        <v>1181</v>
      </c>
    </row>
    <row r="32" spans="1:3" ht="25.5">
      <c r="A32" s="481">
        <v>284</v>
      </c>
      <c r="B32" s="449" t="s">
        <v>1182</v>
      </c>
      <c r="C32" s="450" t="s">
        <v>1183</v>
      </c>
    </row>
    <row r="33" spans="1:3" ht="63.75">
      <c r="A33" s="481">
        <v>284</v>
      </c>
      <c r="B33" s="449" t="s">
        <v>1184</v>
      </c>
      <c r="C33" s="314" t="s">
        <v>1185</v>
      </c>
    </row>
  </sheetData>
  <sheetProtection/>
  <mergeCells count="5">
    <mergeCell ref="A5:C5"/>
    <mergeCell ref="A7:B7"/>
    <mergeCell ref="C7:C8"/>
    <mergeCell ref="A9:B9"/>
    <mergeCell ref="A11:B11"/>
  </mergeCells>
  <printOptions/>
  <pageMargins left="1.1023622047244095" right="0.31496062992125984" top="0.35433070866141736" bottom="0.15748031496062992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830"/>
  <sheetViews>
    <sheetView tabSelected="1" zoomScalePageLayoutView="0" workbookViewId="0" topLeftCell="A1">
      <selection activeCell="R817" sqref="R817"/>
    </sheetView>
  </sheetViews>
  <sheetFormatPr defaultColWidth="9.125" defaultRowHeight="12.75"/>
  <cols>
    <col min="1" max="1" width="69.00390625" style="44" customWidth="1"/>
    <col min="2" max="2" width="6.75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3.375" style="3" customWidth="1"/>
    <col min="8" max="8" width="14.25390625" style="3" hidden="1" customWidth="1"/>
    <col min="9" max="9" width="12.00390625" style="3" hidden="1" customWidth="1"/>
    <col min="10" max="10" width="12.625" style="21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5" width="11.25390625" style="0" hidden="1" customWidth="1"/>
    <col min="16" max="17" width="9.125" style="0" customWidth="1"/>
  </cols>
  <sheetData>
    <row r="1" spans="3:6" ht="12.75">
      <c r="C1" s="20"/>
      <c r="D1" s="20"/>
      <c r="E1" s="20"/>
      <c r="F1" s="456" t="s">
        <v>1043</v>
      </c>
    </row>
    <row r="2" spans="3:8" ht="15.75" customHeight="1">
      <c r="C2" s="457"/>
      <c r="D2" s="20"/>
      <c r="E2" s="20"/>
      <c r="F2" s="4" t="s">
        <v>1188</v>
      </c>
      <c r="G2" s="324"/>
      <c r="H2" s="20"/>
    </row>
    <row r="3" spans="3:8" ht="16.5" customHeight="1">
      <c r="C3" s="457"/>
      <c r="D3" s="20"/>
      <c r="E3" s="20"/>
      <c r="F3" s="4" t="s">
        <v>1189</v>
      </c>
      <c r="G3" s="324"/>
      <c r="H3" s="20"/>
    </row>
    <row r="4" spans="3:8" ht="17.25" customHeight="1">
      <c r="C4" s="457"/>
      <c r="D4" s="20"/>
      <c r="E4" s="20"/>
      <c r="F4" s="4" t="s">
        <v>1190</v>
      </c>
      <c r="G4" s="324"/>
      <c r="H4" s="20"/>
    </row>
    <row r="5" spans="6:9" ht="12.75">
      <c r="F5" s="568" t="s">
        <v>1191</v>
      </c>
      <c r="G5" s="568"/>
      <c r="H5" s="5"/>
      <c r="I5" s="5"/>
    </row>
    <row r="6" spans="6:9" ht="12.75">
      <c r="F6" s="483"/>
      <c r="G6" s="483"/>
      <c r="H6" s="5"/>
      <c r="I6" s="5"/>
    </row>
    <row r="7" spans="3:6" ht="12.75">
      <c r="C7" s="6" t="s">
        <v>644</v>
      </c>
      <c r="F7" s="4"/>
    </row>
    <row r="8" spans="3:6" ht="12.75">
      <c r="C8" s="6" t="s">
        <v>233</v>
      </c>
      <c r="F8" s="7"/>
    </row>
    <row r="9" spans="3:6" ht="12.75">
      <c r="C9" s="6" t="s">
        <v>234</v>
      </c>
      <c r="F9" s="7"/>
    </row>
    <row r="10" ht="12.75">
      <c r="C10" s="8" t="s">
        <v>235</v>
      </c>
    </row>
    <row r="11" spans="2:9" ht="16.5" thickBot="1">
      <c r="B11" s="9"/>
      <c r="G11" s="5"/>
      <c r="H11" s="5"/>
      <c r="I11" s="5"/>
    </row>
    <row r="12" spans="1:15" ht="15" thickBot="1">
      <c r="A12" s="569" t="s">
        <v>236</v>
      </c>
      <c r="B12" s="214"/>
      <c r="C12" s="206" t="s">
        <v>533</v>
      </c>
      <c r="D12" s="207"/>
      <c r="E12" s="207"/>
      <c r="F12" s="208"/>
      <c r="G12" s="454" t="s">
        <v>238</v>
      </c>
      <c r="H12" s="10" t="s">
        <v>239</v>
      </c>
      <c r="I12" s="10" t="s">
        <v>240</v>
      </c>
      <c r="O12" s="43"/>
    </row>
    <row r="13" spans="1:9" ht="46.5" customHeight="1" thickBot="1">
      <c r="A13" s="570"/>
      <c r="B13" s="278" t="s">
        <v>241</v>
      </c>
      <c r="C13" s="492" t="s">
        <v>242</v>
      </c>
      <c r="D13" s="493" t="s">
        <v>243</v>
      </c>
      <c r="E13" s="493" t="s">
        <v>244</v>
      </c>
      <c r="F13" s="491" t="s">
        <v>442</v>
      </c>
      <c r="G13" s="494" t="s">
        <v>645</v>
      </c>
      <c r="H13" s="11" t="s">
        <v>1104</v>
      </c>
      <c r="I13" s="11" t="s">
        <v>396</v>
      </c>
    </row>
    <row r="14" spans="1:13" s="12" customFormat="1" ht="15">
      <c r="A14" s="508" t="s">
        <v>397</v>
      </c>
      <c r="B14" s="239"/>
      <c r="C14" s="528" t="s">
        <v>398</v>
      </c>
      <c r="D14" s="529"/>
      <c r="E14" s="529"/>
      <c r="F14" s="530"/>
      <c r="G14" s="534">
        <f>SUM(G15+G19+G26+G48+G63+G66)+G57</f>
        <v>176303</v>
      </c>
      <c r="H14" s="365">
        <f>SUM(H15+H19+H26+H48+H63+H66)+H57</f>
        <v>132552.5</v>
      </c>
      <c r="I14" s="360">
        <f>SUM(H14/G14*100)</f>
        <v>75.18448353119346</v>
      </c>
      <c r="K14" s="46">
        <f>SUM(J15:J94)</f>
        <v>176302.99999999994</v>
      </c>
      <c r="L14" s="12">
        <f>SUM('ведомствен.2015'!G13+'ведомствен.2015'!G37+'ведомствен.2015'!G57+'ведомствен.2015'!G361)</f>
        <v>176303.00000000003</v>
      </c>
      <c r="M14" s="46">
        <f>SUM(L14-K14)</f>
        <v>8.731149137020111E-11</v>
      </c>
    </row>
    <row r="15" spans="1:15" ht="28.5">
      <c r="A15" s="260" t="s">
        <v>399</v>
      </c>
      <c r="B15" s="240"/>
      <c r="C15" s="45" t="s">
        <v>398</v>
      </c>
      <c r="D15" s="55" t="s">
        <v>400</v>
      </c>
      <c r="E15" s="55"/>
      <c r="F15" s="94"/>
      <c r="G15" s="129">
        <f>SUM(G16)</f>
        <v>1796.4</v>
      </c>
      <c r="H15" s="118">
        <f>SUM(H16)</f>
        <v>1569.1</v>
      </c>
      <c r="I15" s="361">
        <f>SUM(H15/G15*100)</f>
        <v>87.34691605433088</v>
      </c>
      <c r="J15"/>
      <c r="M15" s="204">
        <f>SUM(G14-K14)</f>
        <v>5.820766091346741E-11</v>
      </c>
      <c r="O15" s="43" t="e">
        <f>SUM(G15+G19+G26+G48+#REF!)</f>
        <v>#REF!</v>
      </c>
    </row>
    <row r="16" spans="1:10" ht="42.75">
      <c r="A16" s="260" t="s">
        <v>88</v>
      </c>
      <c r="B16" s="240"/>
      <c r="C16" s="45" t="s">
        <v>398</v>
      </c>
      <c r="D16" s="55" t="s">
        <v>400</v>
      </c>
      <c r="E16" s="55" t="s">
        <v>89</v>
      </c>
      <c r="F16" s="94"/>
      <c r="G16" s="129">
        <f>SUM(G18)</f>
        <v>1796.4</v>
      </c>
      <c r="H16" s="118">
        <f>SUM(H18)</f>
        <v>1569.1</v>
      </c>
      <c r="I16" s="361">
        <f aca="true" t="shared" si="0" ref="I16:I80">SUM(H16/G16*100)</f>
        <v>87.34691605433088</v>
      </c>
      <c r="J16"/>
    </row>
    <row r="17" spans="1:10" ht="14.25">
      <c r="A17" s="260" t="s">
        <v>90</v>
      </c>
      <c r="B17" s="240"/>
      <c r="C17" s="45" t="s">
        <v>398</v>
      </c>
      <c r="D17" s="55" t="s">
        <v>400</v>
      </c>
      <c r="E17" s="55" t="s">
        <v>91</v>
      </c>
      <c r="F17" s="94"/>
      <c r="G17" s="129">
        <f>SUM(G18)</f>
        <v>1796.4</v>
      </c>
      <c r="H17" s="118">
        <f>SUM(H18)</f>
        <v>1569.1</v>
      </c>
      <c r="I17" s="361">
        <f t="shared" si="0"/>
        <v>87.34691605433088</v>
      </c>
      <c r="J17"/>
    </row>
    <row r="18" spans="1:10" ht="28.5">
      <c r="A18" s="260" t="s">
        <v>428</v>
      </c>
      <c r="B18" s="240"/>
      <c r="C18" s="45" t="s">
        <v>398</v>
      </c>
      <c r="D18" s="55" t="s">
        <v>400</v>
      </c>
      <c r="E18" s="55" t="s">
        <v>91</v>
      </c>
      <c r="F18" s="94" t="s">
        <v>429</v>
      </c>
      <c r="G18" s="129">
        <v>1796.4</v>
      </c>
      <c r="H18" s="118">
        <v>1569.1</v>
      </c>
      <c r="I18" s="361">
        <f t="shared" si="0"/>
        <v>87.34691605433088</v>
      </c>
      <c r="J18" s="21">
        <f>SUM('ведомствен.2015'!G17)+'ведомствен.2015'!G61</f>
        <v>1796.4</v>
      </c>
    </row>
    <row r="19" spans="1:10" ht="42.75">
      <c r="A19" s="260" t="s">
        <v>94</v>
      </c>
      <c r="B19" s="240"/>
      <c r="C19" s="45" t="s">
        <v>398</v>
      </c>
      <c r="D19" s="55" t="s">
        <v>95</v>
      </c>
      <c r="E19" s="55"/>
      <c r="F19" s="94"/>
      <c r="G19" s="129">
        <f>SUM(G20)</f>
        <v>11939.5</v>
      </c>
      <c r="H19" s="118">
        <f>SUM(H20)</f>
        <v>7832.9</v>
      </c>
      <c r="I19" s="361">
        <f t="shared" si="0"/>
        <v>65.60492482934795</v>
      </c>
      <c r="J19"/>
    </row>
    <row r="20" spans="1:10" ht="42.75">
      <c r="A20" s="260" t="s">
        <v>88</v>
      </c>
      <c r="B20" s="240"/>
      <c r="C20" s="45" t="s">
        <v>398</v>
      </c>
      <c r="D20" s="55" t="s">
        <v>95</v>
      </c>
      <c r="E20" s="55" t="s">
        <v>89</v>
      </c>
      <c r="F20" s="95"/>
      <c r="G20" s="129">
        <f>SUM(G21+G24)</f>
        <v>11939.5</v>
      </c>
      <c r="H20" s="118">
        <f>SUM(H21+H24)</f>
        <v>7832.9</v>
      </c>
      <c r="I20" s="361">
        <f t="shared" si="0"/>
        <v>65.60492482934795</v>
      </c>
      <c r="J20"/>
    </row>
    <row r="21" spans="1:10" ht="14.25">
      <c r="A21" s="260" t="s">
        <v>96</v>
      </c>
      <c r="B21" s="240"/>
      <c r="C21" s="45" t="s">
        <v>97</v>
      </c>
      <c r="D21" s="55" t="s">
        <v>95</v>
      </c>
      <c r="E21" s="55" t="s">
        <v>98</v>
      </c>
      <c r="F21" s="95"/>
      <c r="G21" s="129">
        <f>SUM(G22)+G23</f>
        <v>11551.8</v>
      </c>
      <c r="H21" s="118">
        <f>SUM(H22)+H23</f>
        <v>7832.9</v>
      </c>
      <c r="I21" s="361">
        <f t="shared" si="0"/>
        <v>67.80674873179937</v>
      </c>
      <c r="J21"/>
    </row>
    <row r="22" spans="1:10" ht="28.5">
      <c r="A22" s="260" t="s">
        <v>428</v>
      </c>
      <c r="B22" s="240"/>
      <c r="C22" s="45" t="s">
        <v>398</v>
      </c>
      <c r="D22" s="55" t="s">
        <v>95</v>
      </c>
      <c r="E22" s="55" t="s">
        <v>98</v>
      </c>
      <c r="F22" s="94" t="s">
        <v>429</v>
      </c>
      <c r="G22" s="129">
        <v>11551.8</v>
      </c>
      <c r="H22" s="118">
        <v>7832.9</v>
      </c>
      <c r="I22" s="361">
        <f t="shared" si="0"/>
        <v>67.80674873179937</v>
      </c>
      <c r="J22" s="21">
        <f>SUM('ведомствен.2015'!G21)</f>
        <v>11551.8</v>
      </c>
    </row>
    <row r="23" spans="1:10" ht="28.5" hidden="1">
      <c r="A23" s="260" t="s">
        <v>675</v>
      </c>
      <c r="B23" s="240"/>
      <c r="C23" s="45" t="s">
        <v>398</v>
      </c>
      <c r="D23" s="55" t="s">
        <v>95</v>
      </c>
      <c r="E23" s="55" t="s">
        <v>98</v>
      </c>
      <c r="F23" s="94" t="s">
        <v>107</v>
      </c>
      <c r="G23" s="130"/>
      <c r="H23" s="366"/>
      <c r="I23" s="361" t="e">
        <f t="shared" si="0"/>
        <v>#DIV/0!</v>
      </c>
      <c r="J23" s="21">
        <f>SUM('ведомствен.2015'!G22)</f>
        <v>0</v>
      </c>
    </row>
    <row r="24" spans="1:10" ht="28.5">
      <c r="A24" s="260" t="s">
        <v>1259</v>
      </c>
      <c r="B24" s="498"/>
      <c r="C24" s="45" t="s">
        <v>97</v>
      </c>
      <c r="D24" s="55" t="s">
        <v>95</v>
      </c>
      <c r="E24" s="55" t="s">
        <v>1260</v>
      </c>
      <c r="F24" s="94"/>
      <c r="G24" s="129">
        <f>SUM(G25)</f>
        <v>387.7</v>
      </c>
      <c r="H24" s="366">
        <f>SUM(H25)</f>
        <v>0</v>
      </c>
      <c r="I24" s="361">
        <f t="shared" si="0"/>
        <v>0</v>
      </c>
      <c r="J24"/>
    </row>
    <row r="25" spans="1:10" ht="28.5">
      <c r="A25" s="260" t="s">
        <v>428</v>
      </c>
      <c r="B25" s="498"/>
      <c r="C25" s="45" t="s">
        <v>97</v>
      </c>
      <c r="D25" s="55" t="s">
        <v>95</v>
      </c>
      <c r="E25" s="55" t="s">
        <v>1260</v>
      </c>
      <c r="F25" s="94" t="s">
        <v>429</v>
      </c>
      <c r="G25" s="129">
        <v>387.7</v>
      </c>
      <c r="H25" s="366"/>
      <c r="I25" s="361">
        <f t="shared" si="0"/>
        <v>0</v>
      </c>
      <c r="J25" s="21">
        <f>SUM('ведомствен.2015'!G24)</f>
        <v>387.7</v>
      </c>
    </row>
    <row r="26" spans="1:10" ht="42.75">
      <c r="A26" s="260" t="s">
        <v>220</v>
      </c>
      <c r="B26" s="240"/>
      <c r="C26" s="45" t="s">
        <v>398</v>
      </c>
      <c r="D26" s="55" t="s">
        <v>109</v>
      </c>
      <c r="E26" s="55"/>
      <c r="F26" s="94"/>
      <c r="G26" s="129">
        <f>SUM(G27)</f>
        <v>86017.7</v>
      </c>
      <c r="H26" s="118">
        <f>SUM(H27)</f>
        <v>68248.2</v>
      </c>
      <c r="I26" s="361">
        <f t="shared" si="0"/>
        <v>79.3420423936004</v>
      </c>
      <c r="J26"/>
    </row>
    <row r="27" spans="1:10" ht="42.75">
      <c r="A27" s="260" t="s">
        <v>88</v>
      </c>
      <c r="B27" s="240"/>
      <c r="C27" s="45" t="s">
        <v>398</v>
      </c>
      <c r="D27" s="55" t="s">
        <v>109</v>
      </c>
      <c r="E27" s="55" t="s">
        <v>89</v>
      </c>
      <c r="F27" s="95"/>
      <c r="G27" s="129">
        <f>SUM(G28+G43+G31+G34+G37+G40)</f>
        <v>86017.7</v>
      </c>
      <c r="H27" s="118">
        <f>SUM(H28+H43+H31+H34+H37+H40)</f>
        <v>68248.2</v>
      </c>
      <c r="I27" s="361">
        <f t="shared" si="0"/>
        <v>79.3420423936004</v>
      </c>
      <c r="J27"/>
    </row>
    <row r="28" spans="1:10" ht="14.25">
      <c r="A28" s="260" t="s">
        <v>96</v>
      </c>
      <c r="B28" s="240"/>
      <c r="C28" s="45" t="s">
        <v>398</v>
      </c>
      <c r="D28" s="55" t="s">
        <v>109</v>
      </c>
      <c r="E28" s="55" t="s">
        <v>98</v>
      </c>
      <c r="F28" s="95"/>
      <c r="G28" s="129">
        <f>SUM(G29+G30)</f>
        <v>83153.7</v>
      </c>
      <c r="H28" s="118">
        <f>SUM(H29+H30)</f>
        <v>66064.29999999999</v>
      </c>
      <c r="I28" s="361">
        <f t="shared" si="0"/>
        <v>79.44841901202231</v>
      </c>
      <c r="J28"/>
    </row>
    <row r="29" spans="1:10" ht="28.5">
      <c r="A29" s="260" t="s">
        <v>428</v>
      </c>
      <c r="B29" s="240"/>
      <c r="C29" s="45" t="s">
        <v>398</v>
      </c>
      <c r="D29" s="55" t="s">
        <v>109</v>
      </c>
      <c r="E29" s="55" t="s">
        <v>98</v>
      </c>
      <c r="F29" s="94" t="s">
        <v>429</v>
      </c>
      <c r="G29" s="129">
        <v>83123.8</v>
      </c>
      <c r="H29" s="118">
        <v>66034.4</v>
      </c>
      <c r="I29" s="361">
        <f t="shared" si="0"/>
        <v>79.44102651707452</v>
      </c>
      <c r="J29" s="21">
        <f>SUM('ведомствен.2015'!G65)</f>
        <v>83123.8</v>
      </c>
    </row>
    <row r="30" spans="1:10" ht="28.5">
      <c r="A30" s="260" t="s">
        <v>675</v>
      </c>
      <c r="B30" s="240"/>
      <c r="C30" s="45" t="s">
        <v>398</v>
      </c>
      <c r="D30" s="55" t="s">
        <v>109</v>
      </c>
      <c r="E30" s="55" t="s">
        <v>98</v>
      </c>
      <c r="F30" s="94" t="s">
        <v>107</v>
      </c>
      <c r="G30" s="130">
        <v>29.9</v>
      </c>
      <c r="H30" s="366">
        <v>29.9</v>
      </c>
      <c r="I30" s="361">
        <f t="shared" si="0"/>
        <v>100</v>
      </c>
      <c r="J30" s="21">
        <f>SUM('ведомствен.2015'!G66)</f>
        <v>29.900000000000006</v>
      </c>
    </row>
    <row r="31" spans="1:9" ht="42.75">
      <c r="A31" s="260" t="s">
        <v>113</v>
      </c>
      <c r="B31" s="240"/>
      <c r="C31" s="45" t="s">
        <v>398</v>
      </c>
      <c r="D31" s="55" t="s">
        <v>109</v>
      </c>
      <c r="E31" s="55" t="s">
        <v>114</v>
      </c>
      <c r="F31" s="94"/>
      <c r="G31" s="129">
        <f>SUM(G32:G33)</f>
        <v>1358.3</v>
      </c>
      <c r="H31" s="118">
        <f>SUM(H32:H33)</f>
        <v>1012.5</v>
      </c>
      <c r="I31" s="361">
        <f t="shared" si="0"/>
        <v>74.5417065449459</v>
      </c>
    </row>
    <row r="32" spans="1:10" ht="28.5">
      <c r="A32" s="260" t="s">
        <v>428</v>
      </c>
      <c r="B32" s="240"/>
      <c r="C32" s="45" t="s">
        <v>398</v>
      </c>
      <c r="D32" s="55" t="s">
        <v>109</v>
      </c>
      <c r="E32" s="55" t="s">
        <v>114</v>
      </c>
      <c r="F32" s="94" t="s">
        <v>429</v>
      </c>
      <c r="G32" s="129">
        <v>1334.7</v>
      </c>
      <c r="H32" s="118">
        <v>996</v>
      </c>
      <c r="I32" s="361">
        <f t="shared" si="0"/>
        <v>74.62351090132614</v>
      </c>
      <c r="J32" s="21">
        <f>SUM('ведомствен.2015'!G68)</f>
        <v>1334.7</v>
      </c>
    </row>
    <row r="33" spans="1:10" ht="28.5">
      <c r="A33" s="260" t="s">
        <v>675</v>
      </c>
      <c r="B33" s="240"/>
      <c r="C33" s="45" t="s">
        <v>398</v>
      </c>
      <c r="D33" s="55" t="s">
        <v>109</v>
      </c>
      <c r="E33" s="55" t="s">
        <v>114</v>
      </c>
      <c r="F33" s="94" t="s">
        <v>107</v>
      </c>
      <c r="G33" s="130">
        <v>23.6</v>
      </c>
      <c r="H33" s="366">
        <v>16.5</v>
      </c>
      <c r="I33" s="361">
        <f t="shared" si="0"/>
        <v>69.91525423728812</v>
      </c>
      <c r="J33" s="21">
        <f>SUM('ведомствен.2015'!G69)</f>
        <v>23.6</v>
      </c>
    </row>
    <row r="34" spans="1:9" ht="42.75">
      <c r="A34" s="260" t="s">
        <v>326</v>
      </c>
      <c r="B34" s="240"/>
      <c r="C34" s="45" t="s">
        <v>398</v>
      </c>
      <c r="D34" s="55" t="s">
        <v>109</v>
      </c>
      <c r="E34" s="55" t="s">
        <v>327</v>
      </c>
      <c r="F34" s="94"/>
      <c r="G34" s="129">
        <f>SUM(G35:G36)</f>
        <v>93.8</v>
      </c>
      <c r="H34" s="118">
        <f>SUM(H35:H36)</f>
        <v>49</v>
      </c>
      <c r="I34" s="361">
        <f t="shared" si="0"/>
        <v>52.23880597014926</v>
      </c>
    </row>
    <row r="35" spans="1:10" ht="28.5">
      <c r="A35" s="260" t="s">
        <v>428</v>
      </c>
      <c r="B35" s="240"/>
      <c r="C35" s="45" t="s">
        <v>398</v>
      </c>
      <c r="D35" s="55" t="s">
        <v>109</v>
      </c>
      <c r="E35" s="55" t="s">
        <v>327</v>
      </c>
      <c r="F35" s="94" t="s">
        <v>429</v>
      </c>
      <c r="G35" s="129">
        <v>72.3</v>
      </c>
      <c r="H35" s="118">
        <v>46.7</v>
      </c>
      <c r="I35" s="361">
        <f t="shared" si="0"/>
        <v>64.59197786998617</v>
      </c>
      <c r="J35" s="21">
        <f>SUM('ведомствен.2015'!G71)</f>
        <v>72.3</v>
      </c>
    </row>
    <row r="36" spans="1:10" ht="31.5" customHeight="1">
      <c r="A36" s="260" t="s">
        <v>675</v>
      </c>
      <c r="B36" s="240"/>
      <c r="C36" s="45" t="s">
        <v>398</v>
      </c>
      <c r="D36" s="55" t="s">
        <v>109</v>
      </c>
      <c r="E36" s="55" t="s">
        <v>327</v>
      </c>
      <c r="F36" s="94" t="s">
        <v>107</v>
      </c>
      <c r="G36" s="130">
        <v>21.5</v>
      </c>
      <c r="H36" s="366">
        <v>2.3</v>
      </c>
      <c r="I36" s="361">
        <f t="shared" si="0"/>
        <v>10.69767441860465</v>
      </c>
      <c r="J36" s="21">
        <f>SUM('ведомствен.2015'!G72)</f>
        <v>21.5</v>
      </c>
    </row>
    <row r="37" spans="1:9" ht="28.5" hidden="1">
      <c r="A37" s="116" t="s">
        <v>54</v>
      </c>
      <c r="B37" s="128"/>
      <c r="C37" s="54" t="s">
        <v>398</v>
      </c>
      <c r="D37" s="89" t="s">
        <v>109</v>
      </c>
      <c r="E37" s="89" t="s">
        <v>55</v>
      </c>
      <c r="F37" s="95"/>
      <c r="G37" s="129">
        <f>SUM(G38:G39)</f>
        <v>0</v>
      </c>
      <c r="H37" s="118">
        <f>SUM(H38:H39)</f>
        <v>0</v>
      </c>
      <c r="I37" s="361" t="e">
        <f t="shared" si="0"/>
        <v>#DIV/0!</v>
      </c>
    </row>
    <row r="38" spans="1:10" ht="28.5" hidden="1">
      <c r="A38" s="260" t="s">
        <v>428</v>
      </c>
      <c r="B38" s="240"/>
      <c r="C38" s="45" t="s">
        <v>398</v>
      </c>
      <c r="D38" s="55" t="s">
        <v>109</v>
      </c>
      <c r="E38" s="89" t="s">
        <v>55</v>
      </c>
      <c r="F38" s="94" t="s">
        <v>429</v>
      </c>
      <c r="G38" s="129"/>
      <c r="H38" s="118"/>
      <c r="I38" s="361" t="e">
        <f t="shared" si="0"/>
        <v>#DIV/0!</v>
      </c>
      <c r="J38" s="21">
        <f>SUM('ведомствен.2015'!G74)</f>
        <v>0</v>
      </c>
    </row>
    <row r="39" spans="1:10" ht="14.25" hidden="1">
      <c r="A39" s="260" t="s">
        <v>433</v>
      </c>
      <c r="B39" s="240"/>
      <c r="C39" s="45" t="s">
        <v>398</v>
      </c>
      <c r="D39" s="55" t="s">
        <v>109</v>
      </c>
      <c r="E39" s="89" t="s">
        <v>55</v>
      </c>
      <c r="F39" s="94" t="s">
        <v>107</v>
      </c>
      <c r="G39" s="130"/>
      <c r="H39" s="366"/>
      <c r="I39" s="361" t="e">
        <f t="shared" si="0"/>
        <v>#DIV/0!</v>
      </c>
      <c r="J39" s="21">
        <f>SUM('ведомствен.2015'!G75)</f>
        <v>0</v>
      </c>
    </row>
    <row r="40" spans="1:10" ht="28.5">
      <c r="A40" s="116" t="s">
        <v>131</v>
      </c>
      <c r="B40" s="128"/>
      <c r="C40" s="54" t="s">
        <v>398</v>
      </c>
      <c r="D40" s="89" t="s">
        <v>109</v>
      </c>
      <c r="E40" s="89" t="s">
        <v>132</v>
      </c>
      <c r="F40" s="95"/>
      <c r="G40" s="129">
        <f>SUM(G41:G42)</f>
        <v>357.70000000000005</v>
      </c>
      <c r="H40" s="118">
        <f>SUM(H41:H42)</f>
        <v>220.60000000000002</v>
      </c>
      <c r="I40" s="361">
        <f t="shared" si="0"/>
        <v>61.671792004473026</v>
      </c>
      <c r="J40"/>
    </row>
    <row r="41" spans="1:10" ht="28.5">
      <c r="A41" s="260" t="s">
        <v>428</v>
      </c>
      <c r="B41" s="240"/>
      <c r="C41" s="45" t="s">
        <v>398</v>
      </c>
      <c r="D41" s="55" t="s">
        <v>109</v>
      </c>
      <c r="E41" s="89" t="s">
        <v>132</v>
      </c>
      <c r="F41" s="94" t="s">
        <v>429</v>
      </c>
      <c r="G41" s="129">
        <v>288.8</v>
      </c>
      <c r="H41" s="118">
        <v>188.8</v>
      </c>
      <c r="I41" s="361">
        <f t="shared" si="0"/>
        <v>65.37396121883657</v>
      </c>
      <c r="J41" s="21">
        <f>SUM('ведомствен.2015'!G77)</f>
        <v>288.8</v>
      </c>
    </row>
    <row r="42" spans="1:10" ht="28.5">
      <c r="A42" s="260" t="s">
        <v>675</v>
      </c>
      <c r="B42" s="240"/>
      <c r="C42" s="45" t="s">
        <v>398</v>
      </c>
      <c r="D42" s="55" t="s">
        <v>109</v>
      </c>
      <c r="E42" s="89" t="s">
        <v>132</v>
      </c>
      <c r="F42" s="94" t="s">
        <v>107</v>
      </c>
      <c r="G42" s="130">
        <v>68.9</v>
      </c>
      <c r="H42" s="366">
        <v>31.8</v>
      </c>
      <c r="I42" s="361">
        <f t="shared" si="0"/>
        <v>46.15384615384615</v>
      </c>
      <c r="J42" s="21">
        <f>SUM('ведомствен.2015'!G78)</f>
        <v>68.9</v>
      </c>
    </row>
    <row r="43" spans="1:10" ht="28.5">
      <c r="A43" s="260" t="s">
        <v>328</v>
      </c>
      <c r="B43" s="240"/>
      <c r="C43" s="45" t="s">
        <v>97</v>
      </c>
      <c r="D43" s="55" t="s">
        <v>109</v>
      </c>
      <c r="E43" s="55" t="s">
        <v>329</v>
      </c>
      <c r="F43" s="95"/>
      <c r="G43" s="129">
        <f>SUM(G44)</f>
        <v>1054.2</v>
      </c>
      <c r="H43" s="118">
        <f>SUM(H44)</f>
        <v>901.8</v>
      </c>
      <c r="I43" s="361">
        <f t="shared" si="0"/>
        <v>85.54354012521343</v>
      </c>
      <c r="J43"/>
    </row>
    <row r="44" spans="1:10" ht="42" customHeight="1">
      <c r="A44" s="260" t="s">
        <v>428</v>
      </c>
      <c r="B44" s="240"/>
      <c r="C44" s="45" t="s">
        <v>398</v>
      </c>
      <c r="D44" s="55" t="s">
        <v>109</v>
      </c>
      <c r="E44" s="55" t="s">
        <v>329</v>
      </c>
      <c r="F44" s="94" t="s">
        <v>429</v>
      </c>
      <c r="G44" s="129">
        <v>1054.2</v>
      </c>
      <c r="H44" s="118">
        <v>901.8</v>
      </c>
      <c r="I44" s="361">
        <f t="shared" si="0"/>
        <v>85.54354012521343</v>
      </c>
      <c r="J44" s="21">
        <f>SUM('ведомствен.2015'!G80)</f>
        <v>1054.2</v>
      </c>
    </row>
    <row r="45" spans="1:10" ht="14.25" hidden="1">
      <c r="A45" s="260" t="s">
        <v>117</v>
      </c>
      <c r="B45" s="240"/>
      <c r="C45" s="45" t="s">
        <v>398</v>
      </c>
      <c r="D45" s="55" t="s">
        <v>118</v>
      </c>
      <c r="E45" s="55"/>
      <c r="F45" s="95"/>
      <c r="G45" s="130">
        <f>SUM(G46)</f>
        <v>0</v>
      </c>
      <c r="H45" s="366">
        <f>SUM(H46)</f>
        <v>0</v>
      </c>
      <c r="I45" s="361" t="e">
        <f t="shared" si="0"/>
        <v>#DIV/0!</v>
      </c>
      <c r="J45"/>
    </row>
    <row r="46" spans="1:10" ht="42.75" hidden="1">
      <c r="A46" s="261" t="s">
        <v>215</v>
      </c>
      <c r="B46" s="240"/>
      <c r="C46" s="45" t="s">
        <v>398</v>
      </c>
      <c r="D46" s="55" t="s">
        <v>118</v>
      </c>
      <c r="E46" s="55" t="s">
        <v>332</v>
      </c>
      <c r="F46" s="95"/>
      <c r="G46" s="130">
        <f>SUM(G47)</f>
        <v>0</v>
      </c>
      <c r="H46" s="366">
        <f>SUM(H47)</f>
        <v>0</v>
      </c>
      <c r="I46" s="361" t="e">
        <f t="shared" si="0"/>
        <v>#DIV/0!</v>
      </c>
      <c r="J46"/>
    </row>
    <row r="47" spans="1:10" ht="14.25" hidden="1">
      <c r="A47" s="260" t="s">
        <v>92</v>
      </c>
      <c r="B47" s="240"/>
      <c r="C47" s="45" t="s">
        <v>398</v>
      </c>
      <c r="D47" s="55" t="s">
        <v>118</v>
      </c>
      <c r="E47" s="55" t="s">
        <v>332</v>
      </c>
      <c r="F47" s="94" t="s">
        <v>93</v>
      </c>
      <c r="G47" s="130"/>
      <c r="H47" s="366"/>
      <c r="I47" s="361" t="e">
        <f t="shared" si="0"/>
        <v>#DIV/0!</v>
      </c>
      <c r="J47" s="21">
        <f>SUM('ведомствен.2015'!G83)</f>
        <v>0</v>
      </c>
    </row>
    <row r="48" spans="1:9" s="13" customFormat="1" ht="28.5">
      <c r="A48" s="260" t="s">
        <v>333</v>
      </c>
      <c r="B48" s="240"/>
      <c r="C48" s="45" t="s">
        <v>398</v>
      </c>
      <c r="D48" s="55" t="s">
        <v>334</v>
      </c>
      <c r="E48" s="55"/>
      <c r="F48" s="94"/>
      <c r="G48" s="129">
        <f>SUM(G49)</f>
        <v>24816.8</v>
      </c>
      <c r="H48" s="118">
        <f>SUM(H49)</f>
        <v>16709.7</v>
      </c>
      <c r="I48" s="361">
        <f t="shared" si="0"/>
        <v>67.33221043809033</v>
      </c>
    </row>
    <row r="49" spans="1:9" s="13" customFormat="1" ht="42.75">
      <c r="A49" s="260" t="s">
        <v>88</v>
      </c>
      <c r="B49" s="240"/>
      <c r="C49" s="45" t="s">
        <v>398</v>
      </c>
      <c r="D49" s="55" t="s">
        <v>334</v>
      </c>
      <c r="E49" s="55" t="s">
        <v>89</v>
      </c>
      <c r="F49" s="94"/>
      <c r="G49" s="129">
        <f>SUM(G50)+G53+G55</f>
        <v>24816.8</v>
      </c>
      <c r="H49" s="118">
        <f>SUM(H50)+H53+H55</f>
        <v>16709.7</v>
      </c>
      <c r="I49" s="361">
        <f t="shared" si="0"/>
        <v>67.33221043809033</v>
      </c>
    </row>
    <row r="50" spans="1:9" s="13" customFormat="1" ht="14.25">
      <c r="A50" s="260" t="s">
        <v>96</v>
      </c>
      <c r="B50" s="240"/>
      <c r="C50" s="45" t="s">
        <v>398</v>
      </c>
      <c r="D50" s="55" t="s">
        <v>334</v>
      </c>
      <c r="E50" s="55" t="s">
        <v>98</v>
      </c>
      <c r="F50" s="94"/>
      <c r="G50" s="129">
        <f>SUM(G51+G52)</f>
        <v>23377.399999999998</v>
      </c>
      <c r="H50" s="118">
        <f>SUM(H51+H52)</f>
        <v>15723.6</v>
      </c>
      <c r="I50" s="361">
        <f t="shared" si="0"/>
        <v>67.25983214557651</v>
      </c>
    </row>
    <row r="51" spans="1:10" s="13" customFormat="1" ht="28.5">
      <c r="A51" s="260" t="s">
        <v>428</v>
      </c>
      <c r="B51" s="240"/>
      <c r="C51" s="45" t="s">
        <v>97</v>
      </c>
      <c r="D51" s="55" t="s">
        <v>334</v>
      </c>
      <c r="E51" s="55" t="s">
        <v>98</v>
      </c>
      <c r="F51" s="96" t="s">
        <v>429</v>
      </c>
      <c r="G51" s="129">
        <v>23363.6</v>
      </c>
      <c r="H51" s="118">
        <v>15716.5</v>
      </c>
      <c r="I51" s="361">
        <f t="shared" si="0"/>
        <v>67.26917084695853</v>
      </c>
      <c r="J51" s="22">
        <f>SUM('ведомствен.2015'!G41+'ведомствен.2015'!G365)</f>
        <v>23363.6</v>
      </c>
    </row>
    <row r="52" spans="1:10" s="13" customFormat="1" ht="30" customHeight="1">
      <c r="A52" s="260" t="s">
        <v>675</v>
      </c>
      <c r="B52" s="240"/>
      <c r="C52" s="45" t="s">
        <v>398</v>
      </c>
      <c r="D52" s="55" t="s">
        <v>334</v>
      </c>
      <c r="E52" s="55" t="s">
        <v>98</v>
      </c>
      <c r="F52" s="94" t="s">
        <v>107</v>
      </c>
      <c r="G52" s="130">
        <v>13.8</v>
      </c>
      <c r="H52" s="366">
        <v>7.1</v>
      </c>
      <c r="I52" s="361">
        <f t="shared" si="0"/>
        <v>51.449275362318836</v>
      </c>
      <c r="J52" s="22">
        <f>SUM('ведомствен.2015'!G42+'ведомствен.2015'!G366)</f>
        <v>13.8</v>
      </c>
    </row>
    <row r="53" spans="1:10" ht="28.5" hidden="1">
      <c r="A53" s="260" t="s">
        <v>335</v>
      </c>
      <c r="B53" s="240"/>
      <c r="C53" s="45" t="s">
        <v>97</v>
      </c>
      <c r="D53" s="55" t="s">
        <v>334</v>
      </c>
      <c r="E53" s="55" t="s">
        <v>336</v>
      </c>
      <c r="F53" s="94"/>
      <c r="G53" s="129">
        <f>SUM(G54)</f>
        <v>0</v>
      </c>
      <c r="H53" s="118">
        <f>SUM(H54)</f>
        <v>0</v>
      </c>
      <c r="I53" s="361" t="e">
        <f t="shared" si="0"/>
        <v>#DIV/0!</v>
      </c>
      <c r="J53"/>
    </row>
    <row r="54" spans="1:10" s="14" customFormat="1" ht="28.5" hidden="1">
      <c r="A54" s="260" t="s">
        <v>428</v>
      </c>
      <c r="B54" s="240"/>
      <c r="C54" s="45" t="s">
        <v>97</v>
      </c>
      <c r="D54" s="55" t="s">
        <v>334</v>
      </c>
      <c r="E54" s="55" t="s">
        <v>336</v>
      </c>
      <c r="F54" s="96" t="s">
        <v>429</v>
      </c>
      <c r="G54" s="129"/>
      <c r="H54" s="118"/>
      <c r="I54" s="361" t="e">
        <f t="shared" si="0"/>
        <v>#DIV/0!</v>
      </c>
      <c r="J54" s="22">
        <f>SUM('ведомствен.2015'!G368)</f>
        <v>0</v>
      </c>
    </row>
    <row r="55" spans="1:10" ht="28.5">
      <c r="A55" s="260" t="s">
        <v>337</v>
      </c>
      <c r="B55" s="240"/>
      <c r="C55" s="45" t="s">
        <v>97</v>
      </c>
      <c r="D55" s="55" t="s">
        <v>334</v>
      </c>
      <c r="E55" s="55" t="s">
        <v>338</v>
      </c>
      <c r="F55" s="96"/>
      <c r="G55" s="129">
        <f>SUM(G56)</f>
        <v>1439.4</v>
      </c>
      <c r="H55" s="118">
        <f>SUM(H56)</f>
        <v>986.1</v>
      </c>
      <c r="I55" s="361">
        <f t="shared" si="0"/>
        <v>68.50771154647771</v>
      </c>
      <c r="J55"/>
    </row>
    <row r="56" spans="1:10" ht="28.5">
      <c r="A56" s="260" t="s">
        <v>428</v>
      </c>
      <c r="B56" s="240"/>
      <c r="C56" s="45" t="s">
        <v>97</v>
      </c>
      <c r="D56" s="55" t="s">
        <v>334</v>
      </c>
      <c r="E56" s="55" t="s">
        <v>338</v>
      </c>
      <c r="F56" s="94" t="s">
        <v>429</v>
      </c>
      <c r="G56" s="129">
        <v>1439.4</v>
      </c>
      <c r="H56" s="118">
        <v>986.1</v>
      </c>
      <c r="I56" s="361">
        <f t="shared" si="0"/>
        <v>68.50771154647771</v>
      </c>
      <c r="J56" s="21">
        <f>SUM('ведомствен.2015'!G44)</f>
        <v>1439.4</v>
      </c>
    </row>
    <row r="57" spans="1:10" ht="14.25">
      <c r="A57" s="116" t="s">
        <v>339</v>
      </c>
      <c r="B57" s="128"/>
      <c r="C57" s="54" t="s">
        <v>398</v>
      </c>
      <c r="D57" s="89" t="s">
        <v>104</v>
      </c>
      <c r="E57" s="89"/>
      <c r="F57" s="95"/>
      <c r="G57" s="130">
        <f>SUM(G58)</f>
        <v>2331.6</v>
      </c>
      <c r="H57" s="366">
        <f>SUM(H58)</f>
        <v>6358</v>
      </c>
      <c r="I57" s="361">
        <f t="shared" si="0"/>
        <v>272.6882827243095</v>
      </c>
      <c r="J57"/>
    </row>
    <row r="58" spans="1:10" ht="28.5">
      <c r="A58" s="260" t="s">
        <v>340</v>
      </c>
      <c r="B58" s="240"/>
      <c r="C58" s="45" t="s">
        <v>398</v>
      </c>
      <c r="D58" s="55" t="s">
        <v>104</v>
      </c>
      <c r="E58" s="55" t="s">
        <v>549</v>
      </c>
      <c r="F58" s="94"/>
      <c r="G58" s="129">
        <f>SUM(G59:G60)</f>
        <v>2331.6</v>
      </c>
      <c r="H58" s="118">
        <f>SUM(H60)</f>
        <v>6358</v>
      </c>
      <c r="I58" s="361">
        <f t="shared" si="0"/>
        <v>272.6882827243095</v>
      </c>
      <c r="J58"/>
    </row>
    <row r="59" spans="1:10" ht="28.5">
      <c r="A59" s="260" t="s">
        <v>675</v>
      </c>
      <c r="B59" s="240"/>
      <c r="C59" s="45" t="s">
        <v>398</v>
      </c>
      <c r="D59" s="55" t="s">
        <v>104</v>
      </c>
      <c r="E59" s="55" t="s">
        <v>549</v>
      </c>
      <c r="F59" s="94" t="s">
        <v>107</v>
      </c>
      <c r="G59" s="129">
        <v>42.2</v>
      </c>
      <c r="H59" s="118"/>
      <c r="I59" s="361"/>
      <c r="J59">
        <f>SUM('ведомствен.2015'!G86)</f>
        <v>42.2</v>
      </c>
    </row>
    <row r="60" spans="1:10" ht="14.25">
      <c r="A60" s="116" t="s">
        <v>434</v>
      </c>
      <c r="B60" s="240"/>
      <c r="C60" s="45" t="s">
        <v>398</v>
      </c>
      <c r="D60" s="55" t="s">
        <v>104</v>
      </c>
      <c r="E60" s="55" t="s">
        <v>549</v>
      </c>
      <c r="F60" s="94" t="s">
        <v>152</v>
      </c>
      <c r="G60" s="129">
        <v>2289.4</v>
      </c>
      <c r="H60" s="118">
        <v>6358</v>
      </c>
      <c r="I60" s="361">
        <f t="shared" si="0"/>
        <v>277.7146850703241</v>
      </c>
      <c r="J60">
        <f>SUM('ведомствен.2015'!G87)</f>
        <v>2289.4</v>
      </c>
    </row>
    <row r="61" spans="1:10" ht="14.25" hidden="1">
      <c r="A61" s="260" t="s">
        <v>341</v>
      </c>
      <c r="B61" s="128"/>
      <c r="C61" s="54" t="s">
        <v>398</v>
      </c>
      <c r="D61" s="89" t="s">
        <v>104</v>
      </c>
      <c r="E61" s="89" t="s">
        <v>342</v>
      </c>
      <c r="F61" s="95"/>
      <c r="G61" s="130">
        <f>SUM(G62)</f>
        <v>0</v>
      </c>
      <c r="H61" s="366">
        <f>SUM(H62)</f>
        <v>0</v>
      </c>
      <c r="I61" s="361" t="e">
        <f t="shared" si="0"/>
        <v>#DIV/0!</v>
      </c>
      <c r="J61"/>
    </row>
    <row r="62" spans="1:10" ht="14.25" hidden="1">
      <c r="A62" s="260" t="s">
        <v>92</v>
      </c>
      <c r="B62" s="128"/>
      <c r="C62" s="54" t="s">
        <v>398</v>
      </c>
      <c r="D62" s="89" t="s">
        <v>104</v>
      </c>
      <c r="E62" s="89" t="s">
        <v>342</v>
      </c>
      <c r="F62" s="95" t="s">
        <v>93</v>
      </c>
      <c r="G62" s="130"/>
      <c r="H62" s="366"/>
      <c r="I62" s="361" t="e">
        <f t="shared" si="0"/>
        <v>#DIV/0!</v>
      </c>
      <c r="J62"/>
    </row>
    <row r="63" spans="1:9" s="13" customFormat="1" ht="14.25">
      <c r="A63" s="260" t="s">
        <v>348</v>
      </c>
      <c r="B63" s="240"/>
      <c r="C63" s="45" t="s">
        <v>398</v>
      </c>
      <c r="D63" s="55" t="s">
        <v>360</v>
      </c>
      <c r="E63" s="55"/>
      <c r="F63" s="94"/>
      <c r="G63" s="129">
        <f>SUM(G64)</f>
        <v>145.9</v>
      </c>
      <c r="H63" s="118">
        <f>SUM(H64)</f>
        <v>0</v>
      </c>
      <c r="I63" s="361">
        <f t="shared" si="0"/>
        <v>0</v>
      </c>
    </row>
    <row r="64" spans="1:9" s="13" customFormat="1" ht="14.25">
      <c r="A64" s="260" t="s">
        <v>330</v>
      </c>
      <c r="B64" s="240"/>
      <c r="C64" s="45" t="s">
        <v>398</v>
      </c>
      <c r="D64" s="55" t="s">
        <v>360</v>
      </c>
      <c r="E64" s="55" t="s">
        <v>440</v>
      </c>
      <c r="F64" s="94"/>
      <c r="G64" s="129">
        <f>SUM(G65)</f>
        <v>145.9</v>
      </c>
      <c r="H64" s="118">
        <f>SUM(H65)</f>
        <v>0</v>
      </c>
      <c r="I64" s="361">
        <f t="shared" si="0"/>
        <v>0</v>
      </c>
    </row>
    <row r="65" spans="1:10" s="13" customFormat="1" ht="14.25">
      <c r="A65" s="260" t="s">
        <v>434</v>
      </c>
      <c r="B65" s="240"/>
      <c r="C65" s="45" t="s">
        <v>398</v>
      </c>
      <c r="D65" s="55" t="s">
        <v>360</v>
      </c>
      <c r="E65" s="55" t="s">
        <v>440</v>
      </c>
      <c r="F65" s="94" t="s">
        <v>152</v>
      </c>
      <c r="G65" s="129">
        <v>145.9</v>
      </c>
      <c r="H65" s="118"/>
      <c r="I65" s="361">
        <f t="shared" si="0"/>
        <v>0</v>
      </c>
      <c r="J65" s="13">
        <f>SUM('ведомствен.2015'!G371)</f>
        <v>145.9000000000001</v>
      </c>
    </row>
    <row r="66" spans="1:10" ht="14.25">
      <c r="A66" s="260" t="s">
        <v>99</v>
      </c>
      <c r="B66" s="240"/>
      <c r="C66" s="45" t="s">
        <v>398</v>
      </c>
      <c r="D66" s="55" t="s">
        <v>203</v>
      </c>
      <c r="E66" s="55"/>
      <c r="F66" s="95"/>
      <c r="G66" s="129">
        <f>SUM(G67+G81)+G90</f>
        <v>49255.100000000006</v>
      </c>
      <c r="H66" s="118">
        <f>SUM(H67+H81)+H90</f>
        <v>31834.600000000002</v>
      </c>
      <c r="I66" s="361">
        <f t="shared" si="0"/>
        <v>64.6320888598338</v>
      </c>
      <c r="J66"/>
    </row>
    <row r="67" spans="1:10" ht="28.5">
      <c r="A67" s="116" t="s">
        <v>430</v>
      </c>
      <c r="B67" s="241"/>
      <c r="C67" s="216" t="s">
        <v>398</v>
      </c>
      <c r="D67" s="217" t="s">
        <v>203</v>
      </c>
      <c r="E67" s="217" t="s">
        <v>431</v>
      </c>
      <c r="F67" s="218"/>
      <c r="G67" s="232">
        <f>G68+G71+G73+G76</f>
        <v>46241.3</v>
      </c>
      <c r="H67" s="367">
        <f>H68+H71+H73+H76</f>
        <v>29718.8</v>
      </c>
      <c r="I67" s="361">
        <f t="shared" si="0"/>
        <v>64.26895437628268</v>
      </c>
      <c r="J67"/>
    </row>
    <row r="68" spans="1:10" ht="14.25">
      <c r="A68" s="116" t="s">
        <v>421</v>
      </c>
      <c r="B68" s="242"/>
      <c r="C68" s="216" t="s">
        <v>398</v>
      </c>
      <c r="D68" s="217" t="s">
        <v>203</v>
      </c>
      <c r="E68" s="217" t="s">
        <v>432</v>
      </c>
      <c r="F68" s="219"/>
      <c r="G68" s="232">
        <f>G69+G70</f>
        <v>4110.3</v>
      </c>
      <c r="H68" s="367">
        <f>H69+H70</f>
        <v>2611.5</v>
      </c>
      <c r="I68" s="361">
        <f t="shared" si="0"/>
        <v>63.535508357054226</v>
      </c>
      <c r="J68"/>
    </row>
    <row r="69" spans="1:10" ht="28.5">
      <c r="A69" s="260" t="s">
        <v>675</v>
      </c>
      <c r="B69" s="242"/>
      <c r="C69" s="216" t="s">
        <v>398</v>
      </c>
      <c r="D69" s="217" t="s">
        <v>203</v>
      </c>
      <c r="E69" s="217" t="s">
        <v>432</v>
      </c>
      <c r="F69" s="219" t="s">
        <v>107</v>
      </c>
      <c r="G69" s="232">
        <v>3991.1</v>
      </c>
      <c r="H69" s="367">
        <v>2534.7</v>
      </c>
      <c r="I69" s="361">
        <f t="shared" si="0"/>
        <v>63.50880709578812</v>
      </c>
      <c r="J69" s="21">
        <f>SUM('ведомствен.2015'!G28+'ведомствен.2015'!G48+'ведомствен.2015'!G91+'ведомствен.2015'!G375)</f>
        <v>3991.1000000000004</v>
      </c>
    </row>
    <row r="70" spans="1:10" ht="14.25">
      <c r="A70" s="116" t="s">
        <v>434</v>
      </c>
      <c r="B70" s="242"/>
      <c r="C70" s="216" t="s">
        <v>398</v>
      </c>
      <c r="D70" s="217" t="s">
        <v>203</v>
      </c>
      <c r="E70" s="217" t="s">
        <v>432</v>
      </c>
      <c r="F70" s="219" t="s">
        <v>152</v>
      </c>
      <c r="G70" s="232">
        <v>119.2</v>
      </c>
      <c r="H70" s="367">
        <v>76.8</v>
      </c>
      <c r="I70" s="361">
        <f t="shared" si="0"/>
        <v>64.42953020134227</v>
      </c>
      <c r="J70" s="21">
        <f>SUM('ведомствен.2015'!G29+'ведомствен.2015'!G49+'ведомствен.2015'!G92+'ведомствен.2015'!G376)</f>
        <v>119.19999999999999</v>
      </c>
    </row>
    <row r="71" spans="1:9" ht="28.5">
      <c r="A71" s="116" t="s">
        <v>422</v>
      </c>
      <c r="B71" s="242"/>
      <c r="C71" s="216" t="s">
        <v>398</v>
      </c>
      <c r="D71" s="217" t="s">
        <v>203</v>
      </c>
      <c r="E71" s="217" t="s">
        <v>435</v>
      </c>
      <c r="F71" s="219"/>
      <c r="G71" s="232">
        <f>SUM(G72)</f>
        <v>11154.9</v>
      </c>
      <c r="H71" s="367">
        <f>SUM(H72)</f>
        <v>7684</v>
      </c>
      <c r="I71" s="361">
        <f t="shared" si="0"/>
        <v>68.88452608270805</v>
      </c>
    </row>
    <row r="72" spans="1:10" ht="28.5">
      <c r="A72" s="260" t="s">
        <v>675</v>
      </c>
      <c r="B72" s="242"/>
      <c r="C72" s="216" t="s">
        <v>398</v>
      </c>
      <c r="D72" s="217" t="s">
        <v>203</v>
      </c>
      <c r="E72" s="217" t="s">
        <v>435</v>
      </c>
      <c r="F72" s="219" t="s">
        <v>107</v>
      </c>
      <c r="G72" s="232">
        <v>11154.9</v>
      </c>
      <c r="H72" s="367">
        <v>7684</v>
      </c>
      <c r="I72" s="361">
        <f t="shared" si="0"/>
        <v>68.88452608270805</v>
      </c>
      <c r="J72" s="21">
        <f>SUM('ведомствен.2015'!G31+'ведомствен.2015'!G51+'ведомствен.2015'!G94+'ведомствен.2015'!G378)</f>
        <v>11154.900000000001</v>
      </c>
    </row>
    <row r="73" spans="1:10" ht="28.5">
      <c r="A73" s="116" t="s">
        <v>452</v>
      </c>
      <c r="B73" s="242"/>
      <c r="C73" s="216" t="s">
        <v>398</v>
      </c>
      <c r="D73" s="217" t="s">
        <v>203</v>
      </c>
      <c r="E73" s="217" t="s">
        <v>453</v>
      </c>
      <c r="F73" s="219"/>
      <c r="G73" s="232">
        <f>SUM(G74:G75)</f>
        <v>7015.4</v>
      </c>
      <c r="H73" s="367">
        <f>SUM(H74:H75)</f>
        <v>4021</v>
      </c>
      <c r="I73" s="361">
        <f t="shared" si="0"/>
        <v>57.31676027026257</v>
      </c>
      <c r="J73"/>
    </row>
    <row r="74" spans="1:10" ht="28.5">
      <c r="A74" s="260" t="s">
        <v>675</v>
      </c>
      <c r="B74" s="242"/>
      <c r="C74" s="216" t="s">
        <v>398</v>
      </c>
      <c r="D74" s="217" t="s">
        <v>203</v>
      </c>
      <c r="E74" s="217" t="s">
        <v>453</v>
      </c>
      <c r="F74" s="219" t="s">
        <v>107</v>
      </c>
      <c r="G74" s="232">
        <v>6869.4</v>
      </c>
      <c r="H74" s="367">
        <v>4001.9</v>
      </c>
      <c r="I74" s="361">
        <f t="shared" si="0"/>
        <v>58.25690744460943</v>
      </c>
      <c r="J74">
        <f>SUM('ведомствен.2015'!G96)</f>
        <v>6869.4</v>
      </c>
    </row>
    <row r="75" spans="1:10" ht="14.25">
      <c r="A75" s="116" t="s">
        <v>434</v>
      </c>
      <c r="B75" s="242"/>
      <c r="C75" s="216" t="s">
        <v>398</v>
      </c>
      <c r="D75" s="217" t="s">
        <v>203</v>
      </c>
      <c r="E75" s="217" t="s">
        <v>453</v>
      </c>
      <c r="F75" s="219" t="s">
        <v>152</v>
      </c>
      <c r="G75" s="232">
        <v>146</v>
      </c>
      <c r="H75" s="367">
        <v>19.1</v>
      </c>
      <c r="I75" s="361">
        <f t="shared" si="0"/>
        <v>13.082191780821919</v>
      </c>
      <c r="J75">
        <f>SUM('ведомствен.2015'!G97)</f>
        <v>146</v>
      </c>
    </row>
    <row r="76" spans="1:10" ht="28.5">
      <c r="A76" s="116" t="s">
        <v>436</v>
      </c>
      <c r="B76" s="242"/>
      <c r="C76" s="216" t="s">
        <v>398</v>
      </c>
      <c r="D76" s="217" t="s">
        <v>203</v>
      </c>
      <c r="E76" s="217" t="s">
        <v>437</v>
      </c>
      <c r="F76" s="219"/>
      <c r="G76" s="232">
        <f>SUM(G77:G80)</f>
        <v>23960.7</v>
      </c>
      <c r="H76" s="367">
        <f>SUM(H77:H80)</f>
        <v>15402.3</v>
      </c>
      <c r="I76" s="361">
        <f t="shared" si="0"/>
        <v>64.28151097422028</v>
      </c>
      <c r="J76"/>
    </row>
    <row r="77" spans="1:10" ht="28.5">
      <c r="A77" s="260" t="s">
        <v>428</v>
      </c>
      <c r="B77" s="242"/>
      <c r="C77" s="216" t="s">
        <v>398</v>
      </c>
      <c r="D77" s="217" t="s">
        <v>203</v>
      </c>
      <c r="E77" s="217" t="s">
        <v>437</v>
      </c>
      <c r="F77" s="219" t="s">
        <v>429</v>
      </c>
      <c r="G77" s="232">
        <v>10</v>
      </c>
      <c r="H77" s="367">
        <v>5.4</v>
      </c>
      <c r="I77" s="361"/>
      <c r="J77">
        <f>SUM('ведомствен.2015'!G53)</f>
        <v>10</v>
      </c>
    </row>
    <row r="78" spans="1:10" ht="28.5">
      <c r="A78" s="260" t="s">
        <v>675</v>
      </c>
      <c r="B78" s="242"/>
      <c r="C78" s="216" t="s">
        <v>398</v>
      </c>
      <c r="D78" s="217" t="s">
        <v>203</v>
      </c>
      <c r="E78" s="217" t="s">
        <v>437</v>
      </c>
      <c r="F78" s="219" t="s">
        <v>107</v>
      </c>
      <c r="G78" s="232">
        <v>19958</v>
      </c>
      <c r="H78" s="367">
        <v>12845.7</v>
      </c>
      <c r="I78" s="361">
        <f t="shared" si="0"/>
        <v>64.36366369375689</v>
      </c>
      <c r="J78">
        <f>SUM('ведомствен.2015'!G33+'ведомствен.2015'!G54+'ведомствен.2015'!G99+'ведомствен.2015'!G380)</f>
        <v>19958</v>
      </c>
    </row>
    <row r="79" spans="1:12" ht="14.25">
      <c r="A79" s="260" t="s">
        <v>438</v>
      </c>
      <c r="B79" s="240"/>
      <c r="C79" s="45" t="s">
        <v>398</v>
      </c>
      <c r="D79" s="55" t="s">
        <v>203</v>
      </c>
      <c r="E79" s="55" t="s">
        <v>437</v>
      </c>
      <c r="F79" s="96" t="s">
        <v>439</v>
      </c>
      <c r="G79" s="129">
        <v>530.3</v>
      </c>
      <c r="H79" s="118">
        <v>131</v>
      </c>
      <c r="I79" s="361">
        <f t="shared" si="0"/>
        <v>24.702998302847448</v>
      </c>
      <c r="J79">
        <f>SUM('ведомствен.2015'!G34)+'ведомствен.2015'!G100</f>
        <v>530.3</v>
      </c>
      <c r="L79" s="279">
        <f>SUM(G79+G613+G635+G638+G641+G644+G647+G650+G654+G661+G669+G674+G677+G680+G683+G686+G689+G692+G697+G700+G703+G706+G709+G717+G722+G726+G729+G739+G742+G745)/G828</f>
        <v>0.20577712317314834</v>
      </c>
    </row>
    <row r="80" spans="1:10" ht="14.25">
      <c r="A80" s="116" t="s">
        <v>434</v>
      </c>
      <c r="B80" s="242"/>
      <c r="C80" s="216" t="s">
        <v>398</v>
      </c>
      <c r="D80" s="217" t="s">
        <v>203</v>
      </c>
      <c r="E80" s="217" t="s">
        <v>437</v>
      </c>
      <c r="F80" s="219" t="s">
        <v>152</v>
      </c>
      <c r="G80" s="232">
        <v>3462.4</v>
      </c>
      <c r="H80" s="367">
        <v>2420.2</v>
      </c>
      <c r="I80" s="361">
        <f t="shared" si="0"/>
        <v>69.89949168207023</v>
      </c>
      <c r="J80">
        <f>SUM('ведомствен.2015'!G35+'ведомствен.2015'!G55+'ведомствен.2015'!G101+'ведомствен.2015'!G381)</f>
        <v>3462.4</v>
      </c>
    </row>
    <row r="81" spans="1:10" ht="28.5">
      <c r="A81" s="116" t="s">
        <v>518</v>
      </c>
      <c r="B81" s="242"/>
      <c r="C81" s="216" t="s">
        <v>398</v>
      </c>
      <c r="D81" s="217" t="s">
        <v>203</v>
      </c>
      <c r="E81" s="217" t="s">
        <v>123</v>
      </c>
      <c r="F81" s="219"/>
      <c r="G81" s="232">
        <f>G82</f>
        <v>2813.8</v>
      </c>
      <c r="H81" s="367">
        <f>H82</f>
        <v>2074.4</v>
      </c>
      <c r="I81" s="361">
        <f aca="true" t="shared" si="1" ref="I81:I148">SUM(H81/G81*100)</f>
        <v>73.72236832752861</v>
      </c>
      <c r="J81"/>
    </row>
    <row r="82" spans="1:10" ht="28.5">
      <c r="A82" s="116" t="s">
        <v>13</v>
      </c>
      <c r="B82" s="242"/>
      <c r="C82" s="216" t="s">
        <v>398</v>
      </c>
      <c r="D82" s="217" t="s">
        <v>203</v>
      </c>
      <c r="E82" s="217" t="s">
        <v>174</v>
      </c>
      <c r="F82" s="219"/>
      <c r="G82" s="232">
        <f>G83+G85</f>
        <v>2813.8</v>
      </c>
      <c r="H82" s="367">
        <f>H83+H85</f>
        <v>2074.4</v>
      </c>
      <c r="I82" s="361">
        <f t="shared" si="1"/>
        <v>73.72236832752861</v>
      </c>
      <c r="J82"/>
    </row>
    <row r="83" spans="1:10" ht="28.5">
      <c r="A83" s="116" t="s">
        <v>541</v>
      </c>
      <c r="B83" s="242"/>
      <c r="C83" s="216" t="s">
        <v>398</v>
      </c>
      <c r="D83" s="217" t="s">
        <v>203</v>
      </c>
      <c r="E83" s="217" t="s">
        <v>176</v>
      </c>
      <c r="F83" s="219"/>
      <c r="G83" s="232">
        <f>SUM(G84)</f>
        <v>2380.3</v>
      </c>
      <c r="H83" s="367">
        <f>SUM(H84)</f>
        <v>1809.2</v>
      </c>
      <c r="I83" s="361">
        <f t="shared" si="1"/>
        <v>76.00722597991849</v>
      </c>
      <c r="J83"/>
    </row>
    <row r="84" spans="1:10" ht="28.5">
      <c r="A84" s="116" t="s">
        <v>454</v>
      </c>
      <c r="B84" s="242"/>
      <c r="C84" s="216" t="s">
        <v>398</v>
      </c>
      <c r="D84" s="217" t="s">
        <v>203</v>
      </c>
      <c r="E84" s="217" t="s">
        <v>176</v>
      </c>
      <c r="F84" s="219" t="s">
        <v>445</v>
      </c>
      <c r="G84" s="232">
        <v>2380.3</v>
      </c>
      <c r="H84" s="367">
        <v>1809.2</v>
      </c>
      <c r="I84" s="361">
        <f t="shared" si="1"/>
        <v>76.00722597991849</v>
      </c>
      <c r="J84">
        <f>SUM('ведомствен.2015'!G105)</f>
        <v>2380.3</v>
      </c>
    </row>
    <row r="85" spans="1:10" ht="14.25">
      <c r="A85" s="260" t="s">
        <v>140</v>
      </c>
      <c r="B85" s="242"/>
      <c r="C85" s="216" t="s">
        <v>398</v>
      </c>
      <c r="D85" s="217" t="s">
        <v>203</v>
      </c>
      <c r="E85" s="217" t="s">
        <v>356</v>
      </c>
      <c r="F85" s="219"/>
      <c r="G85" s="232">
        <f>SUM(G86)+G88</f>
        <v>433.5</v>
      </c>
      <c r="H85" s="367">
        <f>SUM(H86)+H88</f>
        <v>265.2</v>
      </c>
      <c r="I85" s="361">
        <f t="shared" si="1"/>
        <v>61.17647058823529</v>
      </c>
      <c r="J85"/>
    </row>
    <row r="86" spans="1:10" ht="28.5">
      <c r="A86" s="116" t="s">
        <v>128</v>
      </c>
      <c r="B86" s="242"/>
      <c r="C86" s="216" t="s">
        <v>398</v>
      </c>
      <c r="D86" s="217" t="s">
        <v>203</v>
      </c>
      <c r="E86" s="217" t="s">
        <v>357</v>
      </c>
      <c r="F86" s="219"/>
      <c r="G86" s="232">
        <f>SUM(G87)</f>
        <v>393.7</v>
      </c>
      <c r="H86" s="367">
        <f>SUM(H87)</f>
        <v>225.4</v>
      </c>
      <c r="I86" s="361">
        <f t="shared" si="1"/>
        <v>57.25171450342901</v>
      </c>
      <c r="J86"/>
    </row>
    <row r="87" spans="1:10" ht="28.5">
      <c r="A87" s="116" t="s">
        <v>454</v>
      </c>
      <c r="B87" s="242"/>
      <c r="C87" s="216" t="s">
        <v>398</v>
      </c>
      <c r="D87" s="217" t="s">
        <v>203</v>
      </c>
      <c r="E87" s="217" t="s">
        <v>357</v>
      </c>
      <c r="F87" s="219" t="s">
        <v>445</v>
      </c>
      <c r="G87" s="232">
        <v>393.7</v>
      </c>
      <c r="H87" s="367">
        <v>225.4</v>
      </c>
      <c r="I87" s="361">
        <f t="shared" si="1"/>
        <v>57.25171450342901</v>
      </c>
      <c r="J87">
        <f>SUM('ведомствен.2015'!G108)</f>
        <v>393.7</v>
      </c>
    </row>
    <row r="88" spans="1:9" ht="28.5">
      <c r="A88" s="115" t="s">
        <v>137</v>
      </c>
      <c r="B88" s="485"/>
      <c r="C88" s="216" t="s">
        <v>398</v>
      </c>
      <c r="D88" s="217" t="s">
        <v>203</v>
      </c>
      <c r="E88" s="217" t="s">
        <v>184</v>
      </c>
      <c r="F88" s="219"/>
      <c r="G88" s="232">
        <f>SUM(G89)</f>
        <v>39.8</v>
      </c>
      <c r="H88" s="123">
        <f>SUM(H89)</f>
        <v>39.8</v>
      </c>
      <c r="I88" s="361">
        <f t="shared" si="1"/>
        <v>100</v>
      </c>
    </row>
    <row r="89" spans="1:10" ht="28.5">
      <c r="A89" s="116" t="s">
        <v>454</v>
      </c>
      <c r="B89" s="485"/>
      <c r="C89" s="216" t="s">
        <v>398</v>
      </c>
      <c r="D89" s="217" t="s">
        <v>203</v>
      </c>
      <c r="E89" s="217" t="s">
        <v>184</v>
      </c>
      <c r="F89" s="219" t="s">
        <v>445</v>
      </c>
      <c r="G89" s="232">
        <v>39.8</v>
      </c>
      <c r="H89" s="123">
        <v>39.8</v>
      </c>
      <c r="I89" s="361">
        <f t="shared" si="1"/>
        <v>100</v>
      </c>
      <c r="J89">
        <f>SUM('ведомствен.2015'!G110)</f>
        <v>39.8</v>
      </c>
    </row>
    <row r="90" spans="1:9" ht="14.25">
      <c r="A90" s="262" t="s">
        <v>481</v>
      </c>
      <c r="B90" s="242"/>
      <c r="C90" s="216" t="s">
        <v>398</v>
      </c>
      <c r="D90" s="217" t="s">
        <v>203</v>
      </c>
      <c r="E90" s="217" t="s">
        <v>116</v>
      </c>
      <c r="F90" s="219"/>
      <c r="G90" s="232">
        <f>SUM(G91)+G93</f>
        <v>200</v>
      </c>
      <c r="H90" s="367">
        <f>SUM(H91)</f>
        <v>41.4</v>
      </c>
      <c r="I90" s="361">
        <f t="shared" si="1"/>
        <v>20.7</v>
      </c>
    </row>
    <row r="91" spans="1:9" ht="28.5">
      <c r="A91" s="116" t="s">
        <v>550</v>
      </c>
      <c r="B91" s="242"/>
      <c r="C91" s="216" t="s">
        <v>398</v>
      </c>
      <c r="D91" s="217" t="s">
        <v>203</v>
      </c>
      <c r="E91" s="217" t="s">
        <v>551</v>
      </c>
      <c r="F91" s="219"/>
      <c r="G91" s="232">
        <f>SUM(G92)</f>
        <v>100</v>
      </c>
      <c r="H91" s="367">
        <f>SUM(H92)</f>
        <v>41.4</v>
      </c>
      <c r="I91" s="361">
        <f t="shared" si="1"/>
        <v>41.4</v>
      </c>
    </row>
    <row r="92" spans="1:10" ht="28.5">
      <c r="A92" s="260" t="s">
        <v>675</v>
      </c>
      <c r="B92" s="242"/>
      <c r="C92" s="216" t="s">
        <v>398</v>
      </c>
      <c r="D92" s="217" t="s">
        <v>203</v>
      </c>
      <c r="E92" s="217" t="s">
        <v>551</v>
      </c>
      <c r="F92" s="219" t="s">
        <v>107</v>
      </c>
      <c r="G92" s="232">
        <v>100</v>
      </c>
      <c r="H92" s="367">
        <v>41.4</v>
      </c>
      <c r="I92" s="361">
        <f t="shared" si="1"/>
        <v>41.4</v>
      </c>
      <c r="J92" s="21">
        <f>SUM('ведомствен.2015'!G113)</f>
        <v>100</v>
      </c>
    </row>
    <row r="93" spans="1:9" ht="42.75">
      <c r="A93" s="260" t="s">
        <v>1199</v>
      </c>
      <c r="B93" s="485"/>
      <c r="C93" s="216" t="s">
        <v>398</v>
      </c>
      <c r="D93" s="217" t="s">
        <v>203</v>
      </c>
      <c r="E93" s="217" t="s">
        <v>1200</v>
      </c>
      <c r="F93" s="219"/>
      <c r="G93" s="232">
        <f>SUM(G94)</f>
        <v>100</v>
      </c>
      <c r="H93" s="367"/>
      <c r="I93" s="361"/>
    </row>
    <row r="94" spans="1:10" ht="14.25">
      <c r="A94" s="261" t="s">
        <v>438</v>
      </c>
      <c r="B94" s="485"/>
      <c r="C94" s="216" t="s">
        <v>398</v>
      </c>
      <c r="D94" s="217" t="s">
        <v>203</v>
      </c>
      <c r="E94" s="217" t="s">
        <v>1200</v>
      </c>
      <c r="F94" s="219" t="s">
        <v>439</v>
      </c>
      <c r="G94" s="232">
        <v>100</v>
      </c>
      <c r="H94" s="367"/>
      <c r="I94" s="361"/>
      <c r="J94" s="21">
        <f>SUM('ведомствен.2015'!G115)</f>
        <v>100</v>
      </c>
    </row>
    <row r="95" spans="1:12" s="12" customFormat="1" ht="30">
      <c r="A95" s="263" t="s">
        <v>125</v>
      </c>
      <c r="B95" s="243"/>
      <c r="C95" s="100" t="s">
        <v>95</v>
      </c>
      <c r="D95" s="91"/>
      <c r="E95" s="91"/>
      <c r="F95" s="98"/>
      <c r="G95" s="233">
        <f>SUM(G96+G102)</f>
        <v>25105.199999999997</v>
      </c>
      <c r="H95" s="368">
        <f>SUM(H96+H102)</f>
        <v>12205</v>
      </c>
      <c r="I95" s="362">
        <f t="shared" si="1"/>
        <v>48.61542628618773</v>
      </c>
      <c r="K95" s="12">
        <f>SUM(J96:J129)</f>
        <v>25105.2</v>
      </c>
      <c r="L95" s="12">
        <f>SUM('ведомствен.2015'!G116)</f>
        <v>25105.199999999997</v>
      </c>
    </row>
    <row r="96" spans="1:9" s="14" customFormat="1" ht="14.25">
      <c r="A96" s="264" t="s">
        <v>53</v>
      </c>
      <c r="B96" s="242"/>
      <c r="C96" s="216" t="s">
        <v>95</v>
      </c>
      <c r="D96" s="217" t="s">
        <v>109</v>
      </c>
      <c r="E96" s="217"/>
      <c r="F96" s="219"/>
      <c r="G96" s="232">
        <f>SUM(G98)</f>
        <v>4686.6</v>
      </c>
      <c r="H96" s="367">
        <f>SUM(H98)</f>
        <v>3075</v>
      </c>
      <c r="I96" s="361">
        <f t="shared" si="1"/>
        <v>65.6125976187428</v>
      </c>
    </row>
    <row r="97" spans="1:9" s="14" customFormat="1" ht="14.25">
      <c r="A97" s="116" t="s">
        <v>351</v>
      </c>
      <c r="B97" s="242"/>
      <c r="C97" s="216" t="s">
        <v>95</v>
      </c>
      <c r="D97" s="217" t="s">
        <v>109</v>
      </c>
      <c r="E97" s="217" t="s">
        <v>352</v>
      </c>
      <c r="F97" s="219"/>
      <c r="G97" s="232">
        <f>SUM(G98)</f>
        <v>4686.6</v>
      </c>
      <c r="H97" s="367">
        <f>SUM(H98)</f>
        <v>3075</v>
      </c>
      <c r="I97" s="361">
        <f t="shared" si="1"/>
        <v>65.6125976187428</v>
      </c>
    </row>
    <row r="98" spans="1:9" s="14" customFormat="1" ht="28.5">
      <c r="A98" s="116" t="s">
        <v>528</v>
      </c>
      <c r="B98" s="242"/>
      <c r="C98" s="216" t="s">
        <v>95</v>
      </c>
      <c r="D98" s="217" t="s">
        <v>109</v>
      </c>
      <c r="E98" s="217" t="s">
        <v>458</v>
      </c>
      <c r="F98" s="219"/>
      <c r="G98" s="232">
        <f>G99+G100+G101</f>
        <v>4686.6</v>
      </c>
      <c r="H98" s="367">
        <f>H99+H100+H101</f>
        <v>3075</v>
      </c>
      <c r="I98" s="361">
        <f t="shared" si="1"/>
        <v>65.6125976187428</v>
      </c>
    </row>
    <row r="99" spans="1:10" s="14" customFormat="1" ht="28.5">
      <c r="A99" s="116" t="s">
        <v>428</v>
      </c>
      <c r="B99" s="242"/>
      <c r="C99" s="216" t="s">
        <v>95</v>
      </c>
      <c r="D99" s="217" t="s">
        <v>109</v>
      </c>
      <c r="E99" s="217" t="s">
        <v>458</v>
      </c>
      <c r="F99" s="219" t="s">
        <v>429</v>
      </c>
      <c r="G99" s="232">
        <v>3663.9</v>
      </c>
      <c r="H99" s="367">
        <v>2553</v>
      </c>
      <c r="I99" s="361">
        <f t="shared" si="1"/>
        <v>69.67984934086628</v>
      </c>
      <c r="J99" s="14">
        <f>SUM('ведомствен.2015'!G120)</f>
        <v>3663.9</v>
      </c>
    </row>
    <row r="100" spans="1:10" ht="28.5">
      <c r="A100" s="260" t="s">
        <v>675</v>
      </c>
      <c r="B100" s="242"/>
      <c r="C100" s="216" t="s">
        <v>95</v>
      </c>
      <c r="D100" s="217" t="s">
        <v>109</v>
      </c>
      <c r="E100" s="217" t="s">
        <v>458</v>
      </c>
      <c r="F100" s="219" t="s">
        <v>107</v>
      </c>
      <c r="G100" s="232">
        <v>936.4</v>
      </c>
      <c r="H100" s="367">
        <v>457.1</v>
      </c>
      <c r="I100" s="361">
        <f t="shared" si="1"/>
        <v>48.81460914139257</v>
      </c>
      <c r="J100" s="14">
        <f>SUM('ведомствен.2015'!G121)</f>
        <v>936.4</v>
      </c>
    </row>
    <row r="101" spans="1:10" ht="14.25">
      <c r="A101" s="116" t="s">
        <v>434</v>
      </c>
      <c r="B101" s="242"/>
      <c r="C101" s="216" t="s">
        <v>95</v>
      </c>
      <c r="D101" s="217" t="s">
        <v>109</v>
      </c>
      <c r="E101" s="217" t="s">
        <v>458</v>
      </c>
      <c r="F101" s="219" t="s">
        <v>152</v>
      </c>
      <c r="G101" s="232">
        <v>86.3</v>
      </c>
      <c r="H101" s="367">
        <v>64.9</v>
      </c>
      <c r="I101" s="361">
        <f t="shared" si="1"/>
        <v>75.20278099652377</v>
      </c>
      <c r="J101" s="14">
        <f>SUM('ведомствен.2015'!G122)</f>
        <v>86.3</v>
      </c>
    </row>
    <row r="102" spans="1:9" ht="42.75">
      <c r="A102" s="265" t="s">
        <v>258</v>
      </c>
      <c r="B102" s="244"/>
      <c r="C102" s="209" t="s">
        <v>95</v>
      </c>
      <c r="D102" s="210" t="s">
        <v>259</v>
      </c>
      <c r="E102" s="210"/>
      <c r="F102" s="211"/>
      <c r="G102" s="234">
        <f>G113+G118+G103+G125+G123</f>
        <v>20418.6</v>
      </c>
      <c r="H102" s="293">
        <f>H113+H118+H103+H125+H123</f>
        <v>9130</v>
      </c>
      <c r="I102" s="361">
        <f t="shared" si="1"/>
        <v>44.714133192285466</v>
      </c>
    </row>
    <row r="103" spans="1:10" ht="28.5">
      <c r="A103" s="116" t="s">
        <v>519</v>
      </c>
      <c r="B103" s="242"/>
      <c r="C103" s="216" t="s">
        <v>95</v>
      </c>
      <c r="D103" s="217" t="s">
        <v>259</v>
      </c>
      <c r="E103" s="217" t="s">
        <v>459</v>
      </c>
      <c r="F103" s="219"/>
      <c r="G103" s="232">
        <f>SUM(G104)</f>
        <v>12780.6</v>
      </c>
      <c r="H103" s="367">
        <f>SUM(H104)</f>
        <v>8535.5</v>
      </c>
      <c r="I103" s="361">
        <f t="shared" si="1"/>
        <v>66.784814484453</v>
      </c>
      <c r="J103"/>
    </row>
    <row r="104" spans="1:9" ht="28.5">
      <c r="A104" s="116" t="s">
        <v>50</v>
      </c>
      <c r="B104" s="242"/>
      <c r="C104" s="216" t="s">
        <v>95</v>
      </c>
      <c r="D104" s="217" t="s">
        <v>259</v>
      </c>
      <c r="E104" s="217" t="s">
        <v>460</v>
      </c>
      <c r="F104" s="219"/>
      <c r="G104" s="232">
        <f>G105+G109+G112</f>
        <v>12780.6</v>
      </c>
      <c r="H104" s="367">
        <f>H105+H109+H112</f>
        <v>8535.5</v>
      </c>
      <c r="I104" s="361">
        <f t="shared" si="1"/>
        <v>66.784814484453</v>
      </c>
    </row>
    <row r="105" spans="1:10" ht="28.5">
      <c r="A105" s="116" t="s">
        <v>428</v>
      </c>
      <c r="B105" s="242"/>
      <c r="C105" s="216" t="s">
        <v>95</v>
      </c>
      <c r="D105" s="217" t="s">
        <v>259</v>
      </c>
      <c r="E105" s="217" t="s">
        <v>460</v>
      </c>
      <c r="F105" s="219" t="s">
        <v>429</v>
      </c>
      <c r="G105" s="232">
        <v>10105</v>
      </c>
      <c r="H105" s="367">
        <v>6713.9</v>
      </c>
      <c r="I105" s="361">
        <f t="shared" si="1"/>
        <v>66.44136566056407</v>
      </c>
      <c r="J105">
        <f>SUM('ведомствен.2015'!G126)</f>
        <v>10105</v>
      </c>
    </row>
    <row r="106" spans="1:10" ht="14.25" hidden="1">
      <c r="A106" s="116" t="s">
        <v>461</v>
      </c>
      <c r="B106" s="242"/>
      <c r="C106" s="216" t="s">
        <v>95</v>
      </c>
      <c r="D106" s="217" t="s">
        <v>259</v>
      </c>
      <c r="E106" s="217" t="s">
        <v>460</v>
      </c>
      <c r="F106" s="219" t="s">
        <v>462</v>
      </c>
      <c r="G106" s="232"/>
      <c r="H106" s="367"/>
      <c r="I106" s="361" t="e">
        <f t="shared" si="1"/>
        <v>#DIV/0!</v>
      </c>
      <c r="J106"/>
    </row>
    <row r="107" spans="1:9" ht="28.5" hidden="1">
      <c r="A107" s="116" t="s">
        <v>463</v>
      </c>
      <c r="B107" s="245"/>
      <c r="C107" s="216" t="s">
        <v>95</v>
      </c>
      <c r="D107" s="217" t="s">
        <v>259</v>
      </c>
      <c r="E107" s="217" t="s">
        <v>460</v>
      </c>
      <c r="F107" s="219" t="s">
        <v>464</v>
      </c>
      <c r="G107" s="232"/>
      <c r="H107" s="367"/>
      <c r="I107" s="361" t="e">
        <f t="shared" si="1"/>
        <v>#DIV/0!</v>
      </c>
    </row>
    <row r="108" spans="1:10" ht="28.5" hidden="1">
      <c r="A108" s="116" t="s">
        <v>465</v>
      </c>
      <c r="B108" s="245"/>
      <c r="C108" s="216" t="s">
        <v>95</v>
      </c>
      <c r="D108" s="217" t="s">
        <v>259</v>
      </c>
      <c r="E108" s="217" t="s">
        <v>460</v>
      </c>
      <c r="F108" s="219" t="s">
        <v>466</v>
      </c>
      <c r="G108" s="232"/>
      <c r="H108" s="367"/>
      <c r="I108" s="361" t="e">
        <f t="shared" si="1"/>
        <v>#DIV/0!</v>
      </c>
      <c r="J108"/>
    </row>
    <row r="109" spans="1:10" ht="28.5">
      <c r="A109" s="260" t="s">
        <v>675</v>
      </c>
      <c r="B109" s="245"/>
      <c r="C109" s="216" t="s">
        <v>95</v>
      </c>
      <c r="D109" s="217" t="s">
        <v>259</v>
      </c>
      <c r="E109" s="217" t="s">
        <v>460</v>
      </c>
      <c r="F109" s="219" t="s">
        <v>107</v>
      </c>
      <c r="G109" s="232">
        <v>2461.9</v>
      </c>
      <c r="H109" s="367">
        <v>1663.6</v>
      </c>
      <c r="I109" s="361">
        <f t="shared" si="1"/>
        <v>67.57382509443924</v>
      </c>
      <c r="J109">
        <f>SUM('ведомствен.2015'!G130)</f>
        <v>2461.9</v>
      </c>
    </row>
    <row r="110" spans="1:9" ht="28.5" hidden="1">
      <c r="A110" s="116" t="s">
        <v>448</v>
      </c>
      <c r="B110" s="245"/>
      <c r="C110" s="216" t="s">
        <v>95</v>
      </c>
      <c r="D110" s="217" t="s">
        <v>259</v>
      </c>
      <c r="E110" s="217" t="s">
        <v>460</v>
      </c>
      <c r="F110" s="219" t="s">
        <v>449</v>
      </c>
      <c r="G110" s="232"/>
      <c r="H110" s="367"/>
      <c r="I110" s="361" t="e">
        <f t="shared" si="1"/>
        <v>#DIV/0!</v>
      </c>
    </row>
    <row r="111" spans="1:9" s="15" customFormat="1" ht="28.5" hidden="1">
      <c r="A111" s="116" t="s">
        <v>450</v>
      </c>
      <c r="B111" s="242"/>
      <c r="C111" s="216" t="s">
        <v>95</v>
      </c>
      <c r="D111" s="217" t="s">
        <v>259</v>
      </c>
      <c r="E111" s="217" t="s">
        <v>460</v>
      </c>
      <c r="F111" s="219" t="s">
        <v>451</v>
      </c>
      <c r="G111" s="232"/>
      <c r="H111" s="367"/>
      <c r="I111" s="361" t="e">
        <f t="shared" si="1"/>
        <v>#DIV/0!</v>
      </c>
    </row>
    <row r="112" spans="1:10" s="15" customFormat="1" ht="14.25">
      <c r="A112" s="116" t="s">
        <v>434</v>
      </c>
      <c r="B112" s="242"/>
      <c r="C112" s="216" t="s">
        <v>95</v>
      </c>
      <c r="D112" s="217" t="s">
        <v>259</v>
      </c>
      <c r="E112" s="217" t="s">
        <v>460</v>
      </c>
      <c r="F112" s="219" t="s">
        <v>152</v>
      </c>
      <c r="G112" s="232">
        <v>213.7</v>
      </c>
      <c r="H112" s="367">
        <v>158</v>
      </c>
      <c r="I112" s="361">
        <f t="shared" si="1"/>
        <v>73.93542349087507</v>
      </c>
      <c r="J112" s="15">
        <f>SUM('ведомствен.2015'!G132)</f>
        <v>213.7</v>
      </c>
    </row>
    <row r="113" spans="1:9" s="15" customFormat="1" ht="28.5">
      <c r="A113" s="116" t="s">
        <v>520</v>
      </c>
      <c r="B113" s="242"/>
      <c r="C113" s="216" t="s">
        <v>95</v>
      </c>
      <c r="D113" s="217" t="s">
        <v>259</v>
      </c>
      <c r="E113" s="217" t="s">
        <v>467</v>
      </c>
      <c r="F113" s="219"/>
      <c r="G113" s="232">
        <f>SUM(G115+G117)</f>
        <v>1521.5</v>
      </c>
      <c r="H113" s="367">
        <f>SUM(H115+H117)</f>
        <v>529.5</v>
      </c>
      <c r="I113" s="361">
        <f t="shared" si="1"/>
        <v>34.80118304304962</v>
      </c>
    </row>
    <row r="114" spans="1:10" ht="28.5">
      <c r="A114" s="116" t="s">
        <v>521</v>
      </c>
      <c r="B114" s="242"/>
      <c r="C114" s="216" t="s">
        <v>95</v>
      </c>
      <c r="D114" s="217" t="s">
        <v>259</v>
      </c>
      <c r="E114" s="217" t="s">
        <v>468</v>
      </c>
      <c r="F114" s="219"/>
      <c r="G114" s="232">
        <f>SUM(G115)</f>
        <v>1021.5</v>
      </c>
      <c r="H114" s="367">
        <f>SUM(H115)</f>
        <v>529.5</v>
      </c>
      <c r="I114" s="361">
        <f t="shared" si="1"/>
        <v>51.83553597650514</v>
      </c>
      <c r="J114"/>
    </row>
    <row r="115" spans="1:10" ht="28.5">
      <c r="A115" s="260" t="s">
        <v>675</v>
      </c>
      <c r="B115" s="242"/>
      <c r="C115" s="216" t="s">
        <v>95</v>
      </c>
      <c r="D115" s="217" t="s">
        <v>259</v>
      </c>
      <c r="E115" s="217" t="s">
        <v>468</v>
      </c>
      <c r="F115" s="219" t="s">
        <v>107</v>
      </c>
      <c r="G115" s="232">
        <v>1021.5</v>
      </c>
      <c r="H115" s="367">
        <v>529.5</v>
      </c>
      <c r="I115" s="361">
        <f t="shared" si="1"/>
        <v>51.83553597650514</v>
      </c>
      <c r="J115">
        <f>SUM('ведомствен.2015'!G135)</f>
        <v>1021.5</v>
      </c>
    </row>
    <row r="116" spans="1:10" ht="28.5">
      <c r="A116" s="116" t="s">
        <v>0</v>
      </c>
      <c r="B116" s="242"/>
      <c r="C116" s="216" t="s">
        <v>95</v>
      </c>
      <c r="D116" s="217" t="s">
        <v>259</v>
      </c>
      <c r="E116" s="217" t="s">
        <v>469</v>
      </c>
      <c r="F116" s="219"/>
      <c r="G116" s="232">
        <f>SUM(G117)</f>
        <v>500</v>
      </c>
      <c r="H116" s="367">
        <f>SUM(H117)</f>
        <v>0</v>
      </c>
      <c r="I116" s="361">
        <f t="shared" si="1"/>
        <v>0</v>
      </c>
      <c r="J116"/>
    </row>
    <row r="117" spans="1:10" ht="30" customHeight="1">
      <c r="A117" s="260" t="s">
        <v>675</v>
      </c>
      <c r="B117" s="242"/>
      <c r="C117" s="216" t="s">
        <v>95</v>
      </c>
      <c r="D117" s="217" t="s">
        <v>259</v>
      </c>
      <c r="E117" s="217" t="s">
        <v>469</v>
      </c>
      <c r="F117" s="219" t="s">
        <v>107</v>
      </c>
      <c r="G117" s="232">
        <v>500</v>
      </c>
      <c r="H117" s="367"/>
      <c r="I117" s="361">
        <f t="shared" si="1"/>
        <v>0</v>
      </c>
      <c r="J117">
        <f>SUM('ведомствен.2015'!G137)</f>
        <v>500</v>
      </c>
    </row>
    <row r="118" spans="1:10" ht="14.25" hidden="1">
      <c r="A118" s="116" t="s">
        <v>1</v>
      </c>
      <c r="B118" s="128"/>
      <c r="C118" s="54" t="s">
        <v>95</v>
      </c>
      <c r="D118" s="89" t="s">
        <v>259</v>
      </c>
      <c r="E118" s="89" t="s">
        <v>470</v>
      </c>
      <c r="F118" s="95"/>
      <c r="G118" s="232"/>
      <c r="H118" s="367"/>
      <c r="I118" s="361" t="e">
        <f t="shared" si="1"/>
        <v>#DIV/0!</v>
      </c>
      <c r="J118"/>
    </row>
    <row r="119" spans="1:10" ht="28.5" hidden="1">
      <c r="A119" s="116" t="s">
        <v>2</v>
      </c>
      <c r="B119" s="128"/>
      <c r="C119" s="54" t="s">
        <v>95</v>
      </c>
      <c r="D119" s="89" t="s">
        <v>259</v>
      </c>
      <c r="E119" s="89" t="s">
        <v>471</v>
      </c>
      <c r="F119" s="95"/>
      <c r="G119" s="232"/>
      <c r="H119" s="367"/>
      <c r="I119" s="361" t="e">
        <f t="shared" si="1"/>
        <v>#DIV/0!</v>
      </c>
      <c r="J119"/>
    </row>
    <row r="120" spans="1:10" ht="14.25" hidden="1">
      <c r="A120" s="116" t="s">
        <v>433</v>
      </c>
      <c r="B120" s="128"/>
      <c r="C120" s="54" t="s">
        <v>95</v>
      </c>
      <c r="D120" s="89" t="s">
        <v>259</v>
      </c>
      <c r="E120" s="89" t="s">
        <v>471</v>
      </c>
      <c r="F120" s="95" t="s">
        <v>107</v>
      </c>
      <c r="G120" s="232"/>
      <c r="H120" s="367"/>
      <c r="I120" s="361" t="e">
        <f t="shared" si="1"/>
        <v>#DIV/0!</v>
      </c>
      <c r="J120"/>
    </row>
    <row r="121" spans="1:10" ht="15" customHeight="1" hidden="1">
      <c r="A121" s="116" t="s">
        <v>448</v>
      </c>
      <c r="B121" s="128"/>
      <c r="C121" s="54" t="s">
        <v>95</v>
      </c>
      <c r="D121" s="89" t="s">
        <v>259</v>
      </c>
      <c r="E121" s="89" t="s">
        <v>471</v>
      </c>
      <c r="F121" s="95" t="s">
        <v>449</v>
      </c>
      <c r="G121" s="232"/>
      <c r="H121" s="367"/>
      <c r="I121" s="361" t="e">
        <f t="shared" si="1"/>
        <v>#DIV/0!</v>
      </c>
      <c r="J121"/>
    </row>
    <row r="122" spans="1:10" ht="15.75" customHeight="1" hidden="1">
      <c r="A122" s="116" t="s">
        <v>450</v>
      </c>
      <c r="B122" s="128"/>
      <c r="C122" s="54" t="s">
        <v>95</v>
      </c>
      <c r="D122" s="89" t="s">
        <v>259</v>
      </c>
      <c r="E122" s="89" t="s">
        <v>471</v>
      </c>
      <c r="F122" s="95" t="s">
        <v>451</v>
      </c>
      <c r="G122" s="232"/>
      <c r="H122" s="367"/>
      <c r="I122" s="361" t="e">
        <f t="shared" si="1"/>
        <v>#DIV/0!</v>
      </c>
      <c r="J122"/>
    </row>
    <row r="123" spans="1:10" ht="77.25" customHeight="1">
      <c r="A123" s="260" t="s">
        <v>1099</v>
      </c>
      <c r="B123" s="485"/>
      <c r="C123" s="216" t="s">
        <v>95</v>
      </c>
      <c r="D123" s="217" t="s">
        <v>259</v>
      </c>
      <c r="E123" s="217" t="s">
        <v>1100</v>
      </c>
      <c r="F123" s="219"/>
      <c r="G123" s="232">
        <f>SUM(G124)</f>
        <v>2367.8</v>
      </c>
      <c r="H123" s="123">
        <f>SUM(H124)</f>
        <v>0</v>
      </c>
      <c r="I123" s="361">
        <f t="shared" si="1"/>
        <v>0</v>
      </c>
      <c r="J123"/>
    </row>
    <row r="124" spans="1:10" ht="15.75" customHeight="1">
      <c r="A124" s="260" t="s">
        <v>675</v>
      </c>
      <c r="B124" s="485"/>
      <c r="C124" s="216" t="s">
        <v>95</v>
      </c>
      <c r="D124" s="217" t="s">
        <v>259</v>
      </c>
      <c r="E124" s="217" t="s">
        <v>1100</v>
      </c>
      <c r="F124" s="219" t="s">
        <v>107</v>
      </c>
      <c r="G124" s="232">
        <v>2367.8</v>
      </c>
      <c r="H124" s="123"/>
      <c r="I124" s="361">
        <f t="shared" si="1"/>
        <v>0</v>
      </c>
      <c r="J124">
        <f>SUM('ведомствен.2015'!G139)</f>
        <v>2367.8</v>
      </c>
    </row>
    <row r="125" spans="1:10" ht="14.25">
      <c r="A125" s="266" t="s">
        <v>481</v>
      </c>
      <c r="B125" s="128"/>
      <c r="C125" s="56" t="s">
        <v>95</v>
      </c>
      <c r="D125" s="88" t="s">
        <v>259</v>
      </c>
      <c r="E125" s="89" t="s">
        <v>116</v>
      </c>
      <c r="F125" s="220"/>
      <c r="G125" s="235">
        <f>SUM(G128)+G126</f>
        <v>3748.7</v>
      </c>
      <c r="H125" s="369">
        <f>SUM(H128)</f>
        <v>65</v>
      </c>
      <c r="I125" s="361">
        <f t="shared" si="1"/>
        <v>1.733934430602609</v>
      </c>
      <c r="J125"/>
    </row>
    <row r="126" spans="1:10" ht="28.5">
      <c r="A126" s="266" t="s">
        <v>1201</v>
      </c>
      <c r="B126" s="499"/>
      <c r="C126" s="56" t="s">
        <v>95</v>
      </c>
      <c r="D126" s="88" t="s">
        <v>259</v>
      </c>
      <c r="E126" s="89" t="s">
        <v>1202</v>
      </c>
      <c r="F126" s="220"/>
      <c r="G126" s="235">
        <f>SUM(G127)</f>
        <v>3683.7</v>
      </c>
      <c r="H126" s="369"/>
      <c r="I126" s="361"/>
      <c r="J126"/>
    </row>
    <row r="127" spans="1:10" ht="28.5">
      <c r="A127" s="260" t="s">
        <v>675</v>
      </c>
      <c r="B127" s="499"/>
      <c r="C127" s="56" t="s">
        <v>95</v>
      </c>
      <c r="D127" s="88" t="s">
        <v>259</v>
      </c>
      <c r="E127" s="89" t="s">
        <v>1202</v>
      </c>
      <c r="F127" s="219" t="s">
        <v>107</v>
      </c>
      <c r="G127" s="235">
        <f>2501.4+1182.3</f>
        <v>3683.7</v>
      </c>
      <c r="H127" s="369"/>
      <c r="I127" s="361"/>
      <c r="J127">
        <f>SUM('ведомствен.2015'!G147)</f>
        <v>3683.7</v>
      </c>
    </row>
    <row r="128" spans="1:10" ht="42.75">
      <c r="A128" s="116" t="s">
        <v>552</v>
      </c>
      <c r="B128" s="240"/>
      <c r="C128" s="56" t="s">
        <v>95</v>
      </c>
      <c r="D128" s="88" t="s">
        <v>259</v>
      </c>
      <c r="E128" s="89" t="s">
        <v>553</v>
      </c>
      <c r="F128" s="95"/>
      <c r="G128" s="129">
        <f>SUM(G129)</f>
        <v>65</v>
      </c>
      <c r="H128" s="118">
        <f>SUM(H129)</f>
        <v>65</v>
      </c>
      <c r="I128" s="361">
        <f t="shared" si="1"/>
        <v>100</v>
      </c>
      <c r="J128"/>
    </row>
    <row r="129" spans="1:10" ht="28.5">
      <c r="A129" s="260" t="s">
        <v>675</v>
      </c>
      <c r="B129" s="240"/>
      <c r="C129" s="56" t="s">
        <v>95</v>
      </c>
      <c r="D129" s="88" t="s">
        <v>259</v>
      </c>
      <c r="E129" s="89" t="s">
        <v>553</v>
      </c>
      <c r="F129" s="95" t="s">
        <v>107</v>
      </c>
      <c r="G129" s="129">
        <v>65</v>
      </c>
      <c r="H129" s="118">
        <v>65</v>
      </c>
      <c r="I129" s="361">
        <f t="shared" si="1"/>
        <v>100</v>
      </c>
      <c r="J129">
        <f>SUM('ведомствен.2015'!G149)</f>
        <v>65</v>
      </c>
    </row>
    <row r="130" spans="1:12" ht="15">
      <c r="A130" s="263" t="s">
        <v>108</v>
      </c>
      <c r="B130" s="243"/>
      <c r="C130" s="97" t="s">
        <v>109</v>
      </c>
      <c r="D130" s="90"/>
      <c r="E130" s="90"/>
      <c r="F130" s="99"/>
      <c r="G130" s="233">
        <f>SUM(G131+G146+G159)</f>
        <v>253791.50000000006</v>
      </c>
      <c r="H130" s="368" t="e">
        <f>SUM(H131+H146+H159)</f>
        <v>#REF!</v>
      </c>
      <c r="I130" s="362" t="e">
        <f t="shared" si="1"/>
        <v>#REF!</v>
      </c>
      <c r="J130"/>
      <c r="K130">
        <f>SUM(J131:J189)</f>
        <v>253791.5</v>
      </c>
      <c r="L130">
        <f>SUM('ведомствен.2015'!G152+'ведомствен.2015'!G407)</f>
        <v>253791.50000000003</v>
      </c>
    </row>
    <row r="131" spans="1:12" ht="14.25">
      <c r="A131" s="116" t="s">
        <v>110</v>
      </c>
      <c r="B131" s="242"/>
      <c r="C131" s="216" t="s">
        <v>109</v>
      </c>
      <c r="D131" s="217" t="s">
        <v>111</v>
      </c>
      <c r="E131" s="217"/>
      <c r="F131" s="219"/>
      <c r="G131" s="232">
        <f>G134+G132</f>
        <v>111988.00000000001</v>
      </c>
      <c r="H131" s="367">
        <f>H134+H132</f>
        <v>80051.3</v>
      </c>
      <c r="I131" s="361">
        <f t="shared" si="1"/>
        <v>71.48203378933457</v>
      </c>
      <c r="J131"/>
      <c r="K131" s="43">
        <f>SUM(K130-G130)</f>
        <v>-5.820766091346741E-11</v>
      </c>
      <c r="L131">
        <f>SUM(K130-L130)</f>
        <v>-2.9103830456733704E-11</v>
      </c>
    </row>
    <row r="132" spans="1:10" ht="14.25">
      <c r="A132" s="116" t="s">
        <v>1105</v>
      </c>
      <c r="B132" s="242"/>
      <c r="C132" s="216" t="s">
        <v>109</v>
      </c>
      <c r="D132" s="217" t="s">
        <v>111</v>
      </c>
      <c r="E132" s="217" t="s">
        <v>1106</v>
      </c>
      <c r="F132" s="219"/>
      <c r="G132" s="232">
        <f>SUM(G133)</f>
        <v>99.8</v>
      </c>
      <c r="H132" s="367">
        <f>SUM(H133)</f>
        <v>99.8</v>
      </c>
      <c r="I132" s="361"/>
      <c r="J132"/>
    </row>
    <row r="133" spans="1:10" ht="28.5">
      <c r="A133" s="260" t="s">
        <v>675</v>
      </c>
      <c r="B133" s="242"/>
      <c r="C133" s="216" t="s">
        <v>109</v>
      </c>
      <c r="D133" s="217" t="s">
        <v>111</v>
      </c>
      <c r="E133" s="217" t="s">
        <v>1106</v>
      </c>
      <c r="F133" s="219" t="s">
        <v>107</v>
      </c>
      <c r="G133" s="232">
        <v>99.8</v>
      </c>
      <c r="H133" s="367">
        <v>99.8</v>
      </c>
      <c r="I133" s="361"/>
      <c r="J133">
        <f>SUM('ведомствен.2015'!G155)</f>
        <v>99.8</v>
      </c>
    </row>
    <row r="134" spans="1:10" ht="28.5">
      <c r="A134" s="116" t="s">
        <v>472</v>
      </c>
      <c r="B134" s="242"/>
      <c r="C134" s="216" t="s">
        <v>109</v>
      </c>
      <c r="D134" s="217" t="s">
        <v>111</v>
      </c>
      <c r="E134" s="217" t="s">
        <v>473</v>
      </c>
      <c r="F134" s="219"/>
      <c r="G134" s="232">
        <f>G135+G140</f>
        <v>111888.20000000001</v>
      </c>
      <c r="H134" s="367">
        <f>H135+H140</f>
        <v>79951.5</v>
      </c>
      <c r="I134" s="361" t="s">
        <v>1118</v>
      </c>
      <c r="J134"/>
    </row>
    <row r="135" spans="1:10" ht="14.25">
      <c r="A135" s="116" t="s">
        <v>474</v>
      </c>
      <c r="B135" s="242"/>
      <c r="C135" s="216" t="s">
        <v>109</v>
      </c>
      <c r="D135" s="217" t="s">
        <v>111</v>
      </c>
      <c r="E135" s="217" t="s">
        <v>475</v>
      </c>
      <c r="F135" s="219"/>
      <c r="G135" s="232">
        <f>G136+G138</f>
        <v>49175.9</v>
      </c>
      <c r="H135" s="367">
        <f>H136+H138</f>
        <v>35113.2</v>
      </c>
      <c r="I135" s="361" t="s">
        <v>1119</v>
      </c>
      <c r="J135"/>
    </row>
    <row r="136" spans="1:10" ht="14.25">
      <c r="A136" s="116" t="s">
        <v>6</v>
      </c>
      <c r="B136" s="242"/>
      <c r="C136" s="216" t="s">
        <v>109</v>
      </c>
      <c r="D136" s="217" t="s">
        <v>111</v>
      </c>
      <c r="E136" s="217" t="s">
        <v>476</v>
      </c>
      <c r="F136" s="219"/>
      <c r="G136" s="232">
        <f>SUM(G137)</f>
        <v>44986.8</v>
      </c>
      <c r="H136" s="367">
        <f>SUM(H137)</f>
        <v>33521.1</v>
      </c>
      <c r="I136" s="361" t="s">
        <v>1118</v>
      </c>
      <c r="J136"/>
    </row>
    <row r="137" spans="1:10" ht="14.25">
      <c r="A137" s="116" t="s">
        <v>434</v>
      </c>
      <c r="B137" s="242"/>
      <c r="C137" s="216" t="s">
        <v>109</v>
      </c>
      <c r="D137" s="217" t="s">
        <v>111</v>
      </c>
      <c r="E137" s="217" t="s">
        <v>476</v>
      </c>
      <c r="F137" s="219" t="s">
        <v>152</v>
      </c>
      <c r="G137" s="232">
        <v>44986.8</v>
      </c>
      <c r="H137" s="367">
        <v>33521.1</v>
      </c>
      <c r="I137" s="361" t="s">
        <v>1118</v>
      </c>
      <c r="J137">
        <f>SUM('ведомствен.2015'!G159)+'ведомствен.2015'!G412</f>
        <v>44986.799999999996</v>
      </c>
    </row>
    <row r="138" spans="1:10" ht="71.25">
      <c r="A138" s="116" t="s">
        <v>1107</v>
      </c>
      <c r="B138" s="242"/>
      <c r="C138" s="216" t="s">
        <v>109</v>
      </c>
      <c r="D138" s="217" t="s">
        <v>111</v>
      </c>
      <c r="E138" s="217" t="s">
        <v>1108</v>
      </c>
      <c r="F138" s="219"/>
      <c r="G138" s="232">
        <f>SUM(G139)</f>
        <v>4189.1</v>
      </c>
      <c r="H138" s="367">
        <f>SUM(H139)</f>
        <v>1592.1</v>
      </c>
      <c r="I138" s="361"/>
      <c r="J138"/>
    </row>
    <row r="139" spans="1:10" ht="14.25">
      <c r="A139" s="116" t="s">
        <v>434</v>
      </c>
      <c r="B139" s="242"/>
      <c r="C139" s="216" t="s">
        <v>109</v>
      </c>
      <c r="D139" s="217" t="s">
        <v>111</v>
      </c>
      <c r="E139" s="217" t="s">
        <v>1108</v>
      </c>
      <c r="F139" s="219" t="s">
        <v>152</v>
      </c>
      <c r="G139" s="232">
        <v>4189.1</v>
      </c>
      <c r="H139" s="367">
        <v>1592.1</v>
      </c>
      <c r="I139" s="361"/>
      <c r="J139">
        <f>SUM('ведомствен.2015'!G414)</f>
        <v>4189.1</v>
      </c>
    </row>
    <row r="140" spans="1:10" ht="14.25">
      <c r="A140" s="116" t="s">
        <v>112</v>
      </c>
      <c r="B140" s="242"/>
      <c r="C140" s="216" t="s">
        <v>109</v>
      </c>
      <c r="D140" s="217" t="s">
        <v>111</v>
      </c>
      <c r="E140" s="217" t="s">
        <v>358</v>
      </c>
      <c r="F140" s="219"/>
      <c r="G140" s="232">
        <f>G141</f>
        <v>62712.3</v>
      </c>
      <c r="H140" s="367">
        <f>H141</f>
        <v>44838.3</v>
      </c>
      <c r="I140" s="361" t="s">
        <v>1118</v>
      </c>
      <c r="J140"/>
    </row>
    <row r="141" spans="1:10" ht="28.5">
      <c r="A141" s="116" t="s">
        <v>13</v>
      </c>
      <c r="B141" s="242"/>
      <c r="C141" s="216" t="s">
        <v>109</v>
      </c>
      <c r="D141" s="217" t="s">
        <v>111</v>
      </c>
      <c r="E141" s="217" t="s">
        <v>70</v>
      </c>
      <c r="F141" s="219"/>
      <c r="G141" s="232">
        <f>SUM(G142)</f>
        <v>62712.3</v>
      </c>
      <c r="H141" s="367">
        <f>SUM(H142)</f>
        <v>44838.3</v>
      </c>
      <c r="I141" s="361" t="s">
        <v>1118</v>
      </c>
      <c r="J141"/>
    </row>
    <row r="142" spans="1:10" ht="28.5">
      <c r="A142" s="116" t="s">
        <v>175</v>
      </c>
      <c r="B142" s="242"/>
      <c r="C142" s="216" t="s">
        <v>109</v>
      </c>
      <c r="D142" s="217" t="s">
        <v>111</v>
      </c>
      <c r="E142" s="217" t="s">
        <v>71</v>
      </c>
      <c r="F142" s="219"/>
      <c r="G142" s="232">
        <f>SUM(G143)</f>
        <v>62712.3</v>
      </c>
      <c r="H142" s="367">
        <f>SUM(H143)</f>
        <v>44838.3</v>
      </c>
      <c r="I142" s="361" t="s">
        <v>1118</v>
      </c>
      <c r="J142"/>
    </row>
    <row r="143" spans="1:10" ht="28.5">
      <c r="A143" s="116" t="s">
        <v>454</v>
      </c>
      <c r="B143" s="242"/>
      <c r="C143" s="216" t="s">
        <v>109</v>
      </c>
      <c r="D143" s="217" t="s">
        <v>111</v>
      </c>
      <c r="E143" s="217" t="s">
        <v>71</v>
      </c>
      <c r="F143" s="219" t="s">
        <v>445</v>
      </c>
      <c r="G143" s="232">
        <v>62712.3</v>
      </c>
      <c r="H143" s="367">
        <v>44838.3</v>
      </c>
      <c r="I143" s="361" t="s">
        <v>1118</v>
      </c>
      <c r="J143" s="21">
        <f>SUM('ведомствен.2015'!G164)</f>
        <v>62712.3</v>
      </c>
    </row>
    <row r="144" spans="1:10" ht="14.25" hidden="1">
      <c r="A144" s="116" t="s">
        <v>455</v>
      </c>
      <c r="B144" s="242"/>
      <c r="C144" s="216" t="s">
        <v>109</v>
      </c>
      <c r="D144" s="217" t="s">
        <v>111</v>
      </c>
      <c r="E144" s="217" t="s">
        <v>71</v>
      </c>
      <c r="F144" s="219" t="s">
        <v>456</v>
      </c>
      <c r="G144" s="232"/>
      <c r="H144" s="367"/>
      <c r="I144" s="361" t="e">
        <f t="shared" si="1"/>
        <v>#DIV/0!</v>
      </c>
      <c r="J144"/>
    </row>
    <row r="145" spans="1:10" ht="42.75" hidden="1">
      <c r="A145" s="265" t="s">
        <v>457</v>
      </c>
      <c r="B145" s="242"/>
      <c r="C145" s="216" t="s">
        <v>109</v>
      </c>
      <c r="D145" s="217" t="s">
        <v>111</v>
      </c>
      <c r="E145" s="217" t="s">
        <v>71</v>
      </c>
      <c r="F145" s="219" t="s">
        <v>52</v>
      </c>
      <c r="G145" s="232"/>
      <c r="H145" s="367"/>
      <c r="I145" s="361" t="e">
        <f t="shared" si="1"/>
        <v>#DIV/0!</v>
      </c>
      <c r="J145"/>
    </row>
    <row r="146" spans="1:10" ht="14.25">
      <c r="A146" s="116" t="s">
        <v>130</v>
      </c>
      <c r="B146" s="242"/>
      <c r="C146" s="216" t="s">
        <v>109</v>
      </c>
      <c r="D146" s="217" t="s">
        <v>259</v>
      </c>
      <c r="E146" s="217"/>
      <c r="F146" s="219"/>
      <c r="G146" s="232">
        <f>G147+G149+G155</f>
        <v>102786.80000000002</v>
      </c>
      <c r="H146" s="367">
        <f>H147+H149+H155</f>
        <v>57410.8</v>
      </c>
      <c r="I146" s="361">
        <f t="shared" si="1"/>
        <v>55.85425365903014</v>
      </c>
      <c r="J146"/>
    </row>
    <row r="147" spans="1:9" s="48" customFormat="1" ht="42.75">
      <c r="A147" s="116" t="s">
        <v>32</v>
      </c>
      <c r="B147" s="242"/>
      <c r="C147" s="216" t="s">
        <v>109</v>
      </c>
      <c r="D147" s="217" t="s">
        <v>259</v>
      </c>
      <c r="E147" s="217" t="s">
        <v>33</v>
      </c>
      <c r="F147" s="219"/>
      <c r="G147" s="232">
        <f>G148</f>
        <v>72805.1</v>
      </c>
      <c r="H147" s="367">
        <f>H148</f>
        <v>53145</v>
      </c>
      <c r="I147" s="361">
        <f t="shared" si="1"/>
        <v>72.9962598773987</v>
      </c>
    </row>
    <row r="148" spans="1:10" s="48" customFormat="1" ht="28.5">
      <c r="A148" s="260" t="s">
        <v>675</v>
      </c>
      <c r="B148" s="242"/>
      <c r="C148" s="216" t="s">
        <v>109</v>
      </c>
      <c r="D148" s="217" t="s">
        <v>259</v>
      </c>
      <c r="E148" s="217" t="s">
        <v>33</v>
      </c>
      <c r="F148" s="219" t="s">
        <v>107</v>
      </c>
      <c r="G148" s="232">
        <v>72805.1</v>
      </c>
      <c r="H148" s="367">
        <v>53145</v>
      </c>
      <c r="I148" s="361">
        <f t="shared" si="1"/>
        <v>72.9962598773987</v>
      </c>
      <c r="J148" s="21">
        <f>SUM('ведомствен.2015'!G169)</f>
        <v>72805.1</v>
      </c>
    </row>
    <row r="149" spans="1:9" s="2" customFormat="1" ht="28.5">
      <c r="A149" s="116" t="s">
        <v>695</v>
      </c>
      <c r="B149" s="485"/>
      <c r="C149" s="216" t="s">
        <v>109</v>
      </c>
      <c r="D149" s="217" t="s">
        <v>259</v>
      </c>
      <c r="E149" s="217" t="s">
        <v>696</v>
      </c>
      <c r="F149" s="219"/>
      <c r="G149" s="232">
        <f>SUM(G150)</f>
        <v>29881.6</v>
      </c>
      <c r="H149" s="123">
        <f>SUM(H150)</f>
        <v>4170.8</v>
      </c>
      <c r="I149" s="361">
        <f aca="true" t="shared" si="2" ref="I149:I215">SUM(H149/G149*100)</f>
        <v>13.957753266224032</v>
      </c>
    </row>
    <row r="150" spans="1:9" s="2" customFormat="1" ht="85.5">
      <c r="A150" s="116" t="s">
        <v>697</v>
      </c>
      <c r="B150" s="485"/>
      <c r="C150" s="216" t="s">
        <v>109</v>
      </c>
      <c r="D150" s="217" t="s">
        <v>259</v>
      </c>
      <c r="E150" s="217" t="s">
        <v>698</v>
      </c>
      <c r="F150" s="219"/>
      <c r="G150" s="232">
        <f>SUM(G153)+G151</f>
        <v>29881.6</v>
      </c>
      <c r="H150" s="123">
        <f>SUM(H153)</f>
        <v>4170.8</v>
      </c>
      <c r="I150" s="361">
        <f t="shared" si="2"/>
        <v>13.957753266224032</v>
      </c>
    </row>
    <row r="151" spans="1:9" s="2" customFormat="1" ht="28.5">
      <c r="A151" s="116" t="s">
        <v>1203</v>
      </c>
      <c r="B151" s="485"/>
      <c r="C151" s="216" t="s">
        <v>109</v>
      </c>
      <c r="D151" s="217" t="s">
        <v>259</v>
      </c>
      <c r="E151" s="217" t="s">
        <v>1204</v>
      </c>
      <c r="F151" s="219"/>
      <c r="G151" s="232">
        <f>SUM(G152)</f>
        <v>13678.3</v>
      </c>
      <c r="H151" s="123"/>
      <c r="I151" s="361"/>
    </row>
    <row r="152" spans="1:10" s="2" customFormat="1" ht="28.5">
      <c r="A152" s="116" t="s">
        <v>676</v>
      </c>
      <c r="B152" s="485"/>
      <c r="C152" s="216" t="s">
        <v>109</v>
      </c>
      <c r="D152" s="217" t="s">
        <v>259</v>
      </c>
      <c r="E152" s="217" t="s">
        <v>1204</v>
      </c>
      <c r="F152" s="219" t="s">
        <v>489</v>
      </c>
      <c r="G152" s="232">
        <v>13678.3</v>
      </c>
      <c r="H152" s="123"/>
      <c r="I152" s="361"/>
      <c r="J152" s="13">
        <f>SUM('ведомствен.2015'!G173)</f>
        <v>13678.3</v>
      </c>
    </row>
    <row r="153" spans="1:9" s="50" customFormat="1" ht="28.5">
      <c r="A153" s="116" t="s">
        <v>699</v>
      </c>
      <c r="B153" s="485"/>
      <c r="C153" s="216" t="s">
        <v>109</v>
      </c>
      <c r="D153" s="217" t="s">
        <v>259</v>
      </c>
      <c r="E153" s="217" t="s">
        <v>700</v>
      </c>
      <c r="F153" s="219"/>
      <c r="G153" s="232">
        <f>SUM(G154)</f>
        <v>16203.3</v>
      </c>
      <c r="H153" s="123">
        <f>SUM(H154)</f>
        <v>4170.8</v>
      </c>
      <c r="I153" s="361">
        <f t="shared" si="2"/>
        <v>25.740435590280995</v>
      </c>
    </row>
    <row r="154" spans="1:10" s="13" customFormat="1" ht="28.5">
      <c r="A154" s="260" t="s">
        <v>675</v>
      </c>
      <c r="B154" s="485"/>
      <c r="C154" s="216" t="s">
        <v>109</v>
      </c>
      <c r="D154" s="217" t="s">
        <v>259</v>
      </c>
      <c r="E154" s="217" t="s">
        <v>700</v>
      </c>
      <c r="F154" s="219" t="s">
        <v>107</v>
      </c>
      <c r="G154" s="232">
        <v>16203.3</v>
      </c>
      <c r="H154" s="123">
        <v>4170.8</v>
      </c>
      <c r="I154" s="361">
        <f t="shared" si="2"/>
        <v>25.740435590280995</v>
      </c>
      <c r="J154" s="13">
        <f>SUM('ведомствен.2015'!G175)</f>
        <v>16203.3</v>
      </c>
    </row>
    <row r="155" spans="1:9" s="13" customFormat="1" ht="14.25">
      <c r="A155" s="262" t="s">
        <v>481</v>
      </c>
      <c r="B155" s="496"/>
      <c r="C155" s="216" t="s">
        <v>109</v>
      </c>
      <c r="D155" s="217" t="s">
        <v>259</v>
      </c>
      <c r="E155" s="210" t="s">
        <v>116</v>
      </c>
      <c r="F155" s="211"/>
      <c r="G155" s="234">
        <f>SUM(G156)</f>
        <v>100.1</v>
      </c>
      <c r="H155" s="124">
        <f>SUM(H156)</f>
        <v>95</v>
      </c>
      <c r="I155" s="361" t="s">
        <v>1120</v>
      </c>
    </row>
    <row r="156" spans="1:9" s="13" customFormat="1" ht="28.5">
      <c r="A156" s="260" t="s">
        <v>1093</v>
      </c>
      <c r="B156" s="485"/>
      <c r="C156" s="216" t="s">
        <v>109</v>
      </c>
      <c r="D156" s="217" t="s">
        <v>259</v>
      </c>
      <c r="E156" s="210" t="s">
        <v>1094</v>
      </c>
      <c r="F156" s="219"/>
      <c r="G156" s="232">
        <f>SUM(G157:G158)</f>
        <v>100.1</v>
      </c>
      <c r="H156" s="123">
        <f>SUM(H157)</f>
        <v>95</v>
      </c>
      <c r="I156" s="361" t="s">
        <v>1120</v>
      </c>
    </row>
    <row r="157" spans="1:10" s="13" customFormat="1" ht="28.5">
      <c r="A157" s="260" t="s">
        <v>675</v>
      </c>
      <c r="B157" s="485"/>
      <c r="C157" s="216" t="s">
        <v>109</v>
      </c>
      <c r="D157" s="217" t="s">
        <v>259</v>
      </c>
      <c r="E157" s="210" t="s">
        <v>1094</v>
      </c>
      <c r="F157" s="219" t="s">
        <v>107</v>
      </c>
      <c r="G157" s="232">
        <v>5.1</v>
      </c>
      <c r="H157" s="123">
        <v>95</v>
      </c>
      <c r="I157" s="361" t="s">
        <v>1120</v>
      </c>
      <c r="J157" s="13">
        <f>SUM('ведомствен.2015'!G178)</f>
        <v>5.1</v>
      </c>
    </row>
    <row r="158" spans="1:10" s="13" customFormat="1" ht="28.5">
      <c r="A158" s="116" t="s">
        <v>676</v>
      </c>
      <c r="B158" s="485"/>
      <c r="C158" s="216" t="s">
        <v>109</v>
      </c>
      <c r="D158" s="217" t="s">
        <v>259</v>
      </c>
      <c r="E158" s="210" t="s">
        <v>1094</v>
      </c>
      <c r="F158" s="219" t="s">
        <v>489</v>
      </c>
      <c r="G158" s="232">
        <v>95</v>
      </c>
      <c r="H158" s="123"/>
      <c r="I158" s="361"/>
      <c r="J158" s="13">
        <f>SUM('ведомствен.2015'!G179)</f>
        <v>95</v>
      </c>
    </row>
    <row r="159" spans="1:9" s="13" customFormat="1" ht="14.25">
      <c r="A159" s="116" t="s">
        <v>359</v>
      </c>
      <c r="B159" s="242"/>
      <c r="C159" s="216" t="s">
        <v>109</v>
      </c>
      <c r="D159" s="217" t="s">
        <v>349</v>
      </c>
      <c r="E159" s="217"/>
      <c r="F159" s="219"/>
      <c r="G159" s="232">
        <f>SUM(G160+G176+G185)+G184</f>
        <v>39016.7</v>
      </c>
      <c r="H159" s="367" t="e">
        <f>SUM(H160+H176+H185)+H184</f>
        <v>#REF!</v>
      </c>
      <c r="I159" s="361" t="e">
        <f t="shared" si="2"/>
        <v>#REF!</v>
      </c>
    </row>
    <row r="160" spans="1:9" s="13" customFormat="1" ht="28.5">
      <c r="A160" s="116" t="s">
        <v>472</v>
      </c>
      <c r="B160" s="242"/>
      <c r="C160" s="216" t="s">
        <v>109</v>
      </c>
      <c r="D160" s="217" t="s">
        <v>349</v>
      </c>
      <c r="E160" s="217" t="s">
        <v>473</v>
      </c>
      <c r="F160" s="219"/>
      <c r="G160" s="232">
        <f>SUM(G168)+G161</f>
        <v>4549.4</v>
      </c>
      <c r="H160" s="367">
        <f>SUM(H168)+H161</f>
        <v>2868.1</v>
      </c>
      <c r="I160" s="361">
        <f t="shared" si="2"/>
        <v>63.04347826086957</v>
      </c>
    </row>
    <row r="161" spans="1:9" s="13" customFormat="1" ht="14.25">
      <c r="A161" s="116" t="s">
        <v>646</v>
      </c>
      <c r="B161" s="485"/>
      <c r="C161" s="216" t="s">
        <v>109</v>
      </c>
      <c r="D161" s="217" t="s">
        <v>349</v>
      </c>
      <c r="E161" s="217" t="s">
        <v>647</v>
      </c>
      <c r="F161" s="219"/>
      <c r="G161" s="232">
        <f>SUM(G162)+G165</f>
        <v>331.70000000000005</v>
      </c>
      <c r="H161" s="123">
        <f>SUM(H162)+H165</f>
        <v>168.1</v>
      </c>
      <c r="I161" s="361">
        <f t="shared" si="2"/>
        <v>50.6783237865541</v>
      </c>
    </row>
    <row r="162" spans="1:9" s="13" customFormat="1" ht="28.5">
      <c r="A162" s="116" t="s">
        <v>13</v>
      </c>
      <c r="B162" s="485"/>
      <c r="C162" s="216" t="s">
        <v>109</v>
      </c>
      <c r="D162" s="217" t="s">
        <v>349</v>
      </c>
      <c r="E162" s="217" t="s">
        <v>648</v>
      </c>
      <c r="F162" s="219"/>
      <c r="G162" s="232">
        <f>SUM(G163)</f>
        <v>327.1</v>
      </c>
      <c r="H162" s="123">
        <f>SUM(H163)</f>
        <v>163.5</v>
      </c>
      <c r="I162" s="361">
        <f t="shared" si="2"/>
        <v>49.98471415469275</v>
      </c>
    </row>
    <row r="163" spans="1:9" s="13" customFormat="1" ht="28.5">
      <c r="A163" s="116" t="s">
        <v>175</v>
      </c>
      <c r="B163" s="485"/>
      <c r="C163" s="216" t="s">
        <v>109</v>
      </c>
      <c r="D163" s="217" t="s">
        <v>349</v>
      </c>
      <c r="E163" s="217" t="s">
        <v>649</v>
      </c>
      <c r="F163" s="219"/>
      <c r="G163" s="232">
        <f>SUM(G164)</f>
        <v>327.1</v>
      </c>
      <c r="H163" s="123">
        <f>SUM(H164)</f>
        <v>163.5</v>
      </c>
      <c r="I163" s="361">
        <f t="shared" si="2"/>
        <v>49.98471415469275</v>
      </c>
    </row>
    <row r="164" spans="1:10" s="13" customFormat="1" ht="28.5">
      <c r="A164" s="116" t="s">
        <v>454</v>
      </c>
      <c r="B164" s="485"/>
      <c r="C164" s="216" t="s">
        <v>109</v>
      </c>
      <c r="D164" s="217" t="s">
        <v>349</v>
      </c>
      <c r="E164" s="217" t="s">
        <v>649</v>
      </c>
      <c r="F164" s="219" t="s">
        <v>445</v>
      </c>
      <c r="G164" s="232">
        <v>327.1</v>
      </c>
      <c r="H164" s="123">
        <v>163.5</v>
      </c>
      <c r="I164" s="361">
        <f t="shared" si="2"/>
        <v>49.98471415469275</v>
      </c>
      <c r="J164" s="13">
        <f>SUM('ведомствен.2015'!G185)</f>
        <v>327.1</v>
      </c>
    </row>
    <row r="165" spans="1:10" ht="15">
      <c r="A165" s="115" t="s">
        <v>140</v>
      </c>
      <c r="B165" s="249"/>
      <c r="C165" s="216" t="s">
        <v>109</v>
      </c>
      <c r="D165" s="217" t="s">
        <v>349</v>
      </c>
      <c r="E165" s="112" t="s">
        <v>1109</v>
      </c>
      <c r="F165" s="114"/>
      <c r="G165" s="133">
        <f>SUM(G167)</f>
        <v>4.6</v>
      </c>
      <c r="H165" s="354">
        <f>SUM(H167)</f>
        <v>4.6</v>
      </c>
      <c r="I165" s="361"/>
      <c r="J165"/>
    </row>
    <row r="166" spans="1:10" ht="28.5">
      <c r="A166" s="115" t="s">
        <v>137</v>
      </c>
      <c r="B166" s="249"/>
      <c r="C166" s="216" t="s">
        <v>109</v>
      </c>
      <c r="D166" s="217" t="s">
        <v>349</v>
      </c>
      <c r="E166" s="112" t="s">
        <v>1110</v>
      </c>
      <c r="F166" s="114"/>
      <c r="G166" s="133">
        <f>SUM(G167)</f>
        <v>4.6</v>
      </c>
      <c r="H166" s="354">
        <f>SUM(H167)</f>
        <v>4.6</v>
      </c>
      <c r="I166" s="361"/>
      <c r="J166"/>
    </row>
    <row r="167" spans="1:10" s="18" customFormat="1" ht="28.5">
      <c r="A167" s="116" t="s">
        <v>454</v>
      </c>
      <c r="B167" s="249"/>
      <c r="C167" s="216" t="s">
        <v>109</v>
      </c>
      <c r="D167" s="217" t="s">
        <v>349</v>
      </c>
      <c r="E167" s="112" t="s">
        <v>1110</v>
      </c>
      <c r="F167" s="95" t="s">
        <v>445</v>
      </c>
      <c r="G167" s="133">
        <v>4.6</v>
      </c>
      <c r="H167" s="354">
        <v>4.6</v>
      </c>
      <c r="I167" s="361"/>
      <c r="J167">
        <f>SUM('ведомствен.2015'!G188)</f>
        <v>4.6</v>
      </c>
    </row>
    <row r="168" spans="1:9" s="13" customFormat="1" ht="18.75" customHeight="1">
      <c r="A168" s="116" t="s">
        <v>364</v>
      </c>
      <c r="B168" s="242"/>
      <c r="C168" s="216" t="s">
        <v>109</v>
      </c>
      <c r="D168" s="217" t="s">
        <v>349</v>
      </c>
      <c r="E168" s="217" t="s">
        <v>478</v>
      </c>
      <c r="F168" s="219"/>
      <c r="G168" s="232">
        <f>SUM(G169+G171)</f>
        <v>4217.7</v>
      </c>
      <c r="H168" s="367">
        <f>SUM(H169,H172)</f>
        <v>2700</v>
      </c>
      <c r="I168" s="361">
        <f t="shared" si="2"/>
        <v>64.01593285439931</v>
      </c>
    </row>
    <row r="169" spans="1:9" s="50" customFormat="1" ht="14.25">
      <c r="A169" s="116" t="s">
        <v>482</v>
      </c>
      <c r="B169" s="242"/>
      <c r="C169" s="216" t="s">
        <v>109</v>
      </c>
      <c r="D169" s="217" t="s">
        <v>349</v>
      </c>
      <c r="E169" s="89" t="s">
        <v>479</v>
      </c>
      <c r="F169" s="219"/>
      <c r="G169" s="232">
        <f>SUM(G170)</f>
        <v>589</v>
      </c>
      <c r="H169" s="367">
        <f>SUM(H170)</f>
        <v>0</v>
      </c>
      <c r="I169" s="361">
        <f t="shared" si="2"/>
        <v>0</v>
      </c>
    </row>
    <row r="170" spans="1:10" s="50" customFormat="1" ht="18.75" customHeight="1">
      <c r="A170" s="116" t="s">
        <v>433</v>
      </c>
      <c r="B170" s="242"/>
      <c r="C170" s="216" t="s">
        <v>109</v>
      </c>
      <c r="D170" s="217" t="s">
        <v>349</v>
      </c>
      <c r="E170" s="89" t="s">
        <v>479</v>
      </c>
      <c r="F170" s="219" t="s">
        <v>107</v>
      </c>
      <c r="G170" s="232">
        <v>589</v>
      </c>
      <c r="H170" s="367"/>
      <c r="I170" s="361">
        <f t="shared" si="2"/>
        <v>0</v>
      </c>
      <c r="J170" s="21">
        <f>SUM('ведомствен.2015'!G191)</f>
        <v>589</v>
      </c>
    </row>
    <row r="171" spans="1:9" s="50" customFormat="1" ht="28.5">
      <c r="A171" s="116" t="s">
        <v>13</v>
      </c>
      <c r="B171" s="242"/>
      <c r="C171" s="216" t="s">
        <v>109</v>
      </c>
      <c r="D171" s="217" t="s">
        <v>349</v>
      </c>
      <c r="E171" s="217" t="s">
        <v>483</v>
      </c>
      <c r="F171" s="219"/>
      <c r="G171" s="232">
        <f>SUM(G172)</f>
        <v>3628.7</v>
      </c>
      <c r="H171" s="367">
        <f>SUM(H172)</f>
        <v>2700</v>
      </c>
      <c r="I171" s="361">
        <f t="shared" si="2"/>
        <v>74.40681235704247</v>
      </c>
    </row>
    <row r="172" spans="1:9" s="50" customFormat="1" ht="28.5">
      <c r="A172" s="116" t="s">
        <v>175</v>
      </c>
      <c r="B172" s="242"/>
      <c r="C172" s="216" t="s">
        <v>109</v>
      </c>
      <c r="D172" s="217" t="s">
        <v>349</v>
      </c>
      <c r="E172" s="217" t="s">
        <v>480</v>
      </c>
      <c r="F172" s="219"/>
      <c r="G172" s="232">
        <f>G173</f>
        <v>3628.7</v>
      </c>
      <c r="H172" s="367">
        <f>H173</f>
        <v>2700</v>
      </c>
      <c r="I172" s="361">
        <f t="shared" si="2"/>
        <v>74.40681235704247</v>
      </c>
    </row>
    <row r="173" spans="1:10" s="50" customFormat="1" ht="28.5">
      <c r="A173" s="116" t="s">
        <v>454</v>
      </c>
      <c r="B173" s="242"/>
      <c r="C173" s="216" t="s">
        <v>109</v>
      </c>
      <c r="D173" s="217" t="s">
        <v>349</v>
      </c>
      <c r="E173" s="217" t="s">
        <v>480</v>
      </c>
      <c r="F173" s="219" t="s">
        <v>445</v>
      </c>
      <c r="G173" s="232">
        <v>3628.7</v>
      </c>
      <c r="H173" s="367">
        <v>2700</v>
      </c>
      <c r="I173" s="361">
        <f t="shared" si="2"/>
        <v>74.40681235704247</v>
      </c>
      <c r="J173" s="21">
        <f>SUM('ведомствен.2015'!G194)</f>
        <v>3628.7</v>
      </c>
    </row>
    <row r="174" spans="1:9" s="50" customFormat="1" ht="14.25" hidden="1">
      <c r="A174" s="116" t="s">
        <v>455</v>
      </c>
      <c r="B174" s="242"/>
      <c r="C174" s="216" t="s">
        <v>109</v>
      </c>
      <c r="D174" s="217" t="s">
        <v>349</v>
      </c>
      <c r="E174" s="217" t="s">
        <v>480</v>
      </c>
      <c r="F174" s="219" t="s">
        <v>456</v>
      </c>
      <c r="G174" s="232"/>
      <c r="H174" s="367"/>
      <c r="I174" s="361" t="e">
        <f t="shared" si="2"/>
        <v>#DIV/0!</v>
      </c>
    </row>
    <row r="175" spans="1:9" s="50" customFormat="1" ht="42.75" hidden="1">
      <c r="A175" s="265" t="s">
        <v>457</v>
      </c>
      <c r="B175" s="244"/>
      <c r="C175" s="209" t="s">
        <v>109</v>
      </c>
      <c r="D175" s="210" t="s">
        <v>349</v>
      </c>
      <c r="E175" s="210" t="s">
        <v>480</v>
      </c>
      <c r="F175" s="211" t="s">
        <v>52</v>
      </c>
      <c r="G175" s="234"/>
      <c r="H175" s="293"/>
      <c r="I175" s="361" t="e">
        <f t="shared" si="2"/>
        <v>#DIV/0!</v>
      </c>
    </row>
    <row r="176" spans="1:9" s="50" customFormat="1" ht="28.5">
      <c r="A176" s="116" t="s">
        <v>361</v>
      </c>
      <c r="B176" s="240"/>
      <c r="C176" s="216" t="s">
        <v>109</v>
      </c>
      <c r="D176" s="217" t="s">
        <v>349</v>
      </c>
      <c r="E176" s="89" t="s">
        <v>362</v>
      </c>
      <c r="F176" s="95"/>
      <c r="G176" s="129">
        <f>SUM(G179)+G177</f>
        <v>19948.3</v>
      </c>
      <c r="H176" s="118">
        <f>SUM(H179)+H177</f>
        <v>8232.8</v>
      </c>
      <c r="I176" s="361">
        <f t="shared" si="2"/>
        <v>41.2706847200012</v>
      </c>
    </row>
    <row r="177" spans="1:9" s="50" customFormat="1" ht="42.75">
      <c r="A177" s="276" t="s">
        <v>1089</v>
      </c>
      <c r="B177" s="497"/>
      <c r="C177" s="229" t="s">
        <v>109</v>
      </c>
      <c r="D177" s="230" t="s">
        <v>349</v>
      </c>
      <c r="E177" s="514" t="s">
        <v>1090</v>
      </c>
      <c r="F177" s="515"/>
      <c r="G177" s="237">
        <f>G178</f>
        <v>12400</v>
      </c>
      <c r="H177" s="370">
        <f>H178</f>
        <v>3711.8</v>
      </c>
      <c r="I177" s="361">
        <f t="shared" si="2"/>
        <v>29.93387096774194</v>
      </c>
    </row>
    <row r="178" spans="1:10" s="50" customFormat="1" ht="42.75">
      <c r="A178" s="276" t="s">
        <v>1091</v>
      </c>
      <c r="B178" s="497"/>
      <c r="C178" s="229" t="s">
        <v>109</v>
      </c>
      <c r="D178" s="230" t="s">
        <v>349</v>
      </c>
      <c r="E178" s="514" t="s">
        <v>1090</v>
      </c>
      <c r="F178" s="515">
        <v>600</v>
      </c>
      <c r="G178" s="237">
        <v>12400</v>
      </c>
      <c r="H178" s="370">
        <v>3711.8</v>
      </c>
      <c r="I178" s="361">
        <f t="shared" si="2"/>
        <v>29.93387096774194</v>
      </c>
      <c r="J178" s="50">
        <f>SUM('ведомствен.2015'!G418)+'ведомствен.2015'!G197</f>
        <v>12400</v>
      </c>
    </row>
    <row r="179" spans="1:9" s="50" customFormat="1" ht="28.5">
      <c r="A179" s="116" t="s">
        <v>13</v>
      </c>
      <c r="B179" s="242"/>
      <c r="C179" s="216" t="s">
        <v>109</v>
      </c>
      <c r="D179" s="217" t="s">
        <v>349</v>
      </c>
      <c r="E179" s="217" t="s">
        <v>529</v>
      </c>
      <c r="F179" s="219"/>
      <c r="G179" s="232">
        <f>SUM(G180)</f>
        <v>7548.3</v>
      </c>
      <c r="H179" s="367">
        <f>SUM(H180)</f>
        <v>4521</v>
      </c>
      <c r="I179" s="361">
        <f t="shared" si="2"/>
        <v>59.89428083144549</v>
      </c>
    </row>
    <row r="180" spans="1:9" s="50" customFormat="1" ht="28.5">
      <c r="A180" s="116" t="s">
        <v>175</v>
      </c>
      <c r="B180" s="242"/>
      <c r="C180" s="216" t="s">
        <v>109</v>
      </c>
      <c r="D180" s="217" t="s">
        <v>349</v>
      </c>
      <c r="E180" s="217" t="s">
        <v>530</v>
      </c>
      <c r="F180" s="219"/>
      <c r="G180" s="232">
        <f>G181</f>
        <v>7548.3</v>
      </c>
      <c r="H180" s="367">
        <f>H181</f>
        <v>4521</v>
      </c>
      <c r="I180" s="361">
        <f t="shared" si="2"/>
        <v>59.89428083144549</v>
      </c>
    </row>
    <row r="181" spans="1:10" s="50" customFormat="1" ht="28.5">
      <c r="A181" s="116" t="s">
        <v>454</v>
      </c>
      <c r="B181" s="242"/>
      <c r="C181" s="216" t="s">
        <v>109</v>
      </c>
      <c r="D181" s="217" t="s">
        <v>349</v>
      </c>
      <c r="E181" s="217" t="s">
        <v>530</v>
      </c>
      <c r="F181" s="219" t="s">
        <v>445</v>
      </c>
      <c r="G181" s="232">
        <v>7548.3</v>
      </c>
      <c r="H181" s="367">
        <v>4521</v>
      </c>
      <c r="I181" s="361">
        <f t="shared" si="2"/>
        <v>59.89428083144549</v>
      </c>
      <c r="J181" s="50">
        <f>SUM('ведомствен.2015'!G421)</f>
        <v>7548.3</v>
      </c>
    </row>
    <row r="182" spans="1:9" s="50" customFormat="1" ht="42.75">
      <c r="A182" s="276" t="s">
        <v>1207</v>
      </c>
      <c r="B182" s="497"/>
      <c r="C182" s="229" t="s">
        <v>109</v>
      </c>
      <c r="D182" s="230" t="s">
        <v>349</v>
      </c>
      <c r="E182" s="514" t="s">
        <v>1208</v>
      </c>
      <c r="F182" s="515"/>
      <c r="G182" s="535">
        <f>SUM(G183)</f>
        <v>8290</v>
      </c>
      <c r="H182" s="367"/>
      <c r="I182" s="361"/>
    </row>
    <row r="183" spans="1:9" s="50" customFormat="1" ht="71.25">
      <c r="A183" s="276" t="s">
        <v>1205</v>
      </c>
      <c r="B183" s="497"/>
      <c r="C183" s="229" t="s">
        <v>109</v>
      </c>
      <c r="D183" s="230" t="s">
        <v>349</v>
      </c>
      <c r="E183" s="514" t="s">
        <v>1206</v>
      </c>
      <c r="F183" s="515"/>
      <c r="G183" s="535">
        <f>SUM(G184)</f>
        <v>8290</v>
      </c>
      <c r="H183" s="367"/>
      <c r="I183" s="361"/>
    </row>
    <row r="184" spans="1:10" s="50" customFormat="1" ht="15">
      <c r="A184" s="116" t="s">
        <v>434</v>
      </c>
      <c r="B184" s="497"/>
      <c r="C184" s="229" t="s">
        <v>109</v>
      </c>
      <c r="D184" s="230" t="s">
        <v>349</v>
      </c>
      <c r="E184" s="514" t="s">
        <v>1206</v>
      </c>
      <c r="F184" s="515">
        <v>800</v>
      </c>
      <c r="G184" s="535">
        <v>8290</v>
      </c>
      <c r="H184" s="118" t="e">
        <f>SUM(#REF!)</f>
        <v>#REF!</v>
      </c>
      <c r="I184" s="361" t="e">
        <f t="shared" si="2"/>
        <v>#REF!</v>
      </c>
      <c r="J184" s="50">
        <f>SUM('ведомствен.2015'!G200)</f>
        <v>8290</v>
      </c>
    </row>
    <row r="185" spans="1:9" s="50" customFormat="1" ht="16.5" customHeight="1">
      <c r="A185" s="262" t="s">
        <v>481</v>
      </c>
      <c r="B185" s="244"/>
      <c r="C185" s="209" t="s">
        <v>109</v>
      </c>
      <c r="D185" s="210" t="s">
        <v>349</v>
      </c>
      <c r="E185" s="210" t="s">
        <v>116</v>
      </c>
      <c r="F185" s="211"/>
      <c r="G185" s="234">
        <f>G188+G186</f>
        <v>6229</v>
      </c>
      <c r="H185" s="293">
        <f>H188+H186</f>
        <v>4241.9</v>
      </c>
      <c r="I185" s="361">
        <f t="shared" si="2"/>
        <v>68.0992133568791</v>
      </c>
    </row>
    <row r="186" spans="1:9" s="50" customFormat="1" ht="33" customHeight="1">
      <c r="A186" s="262" t="s">
        <v>693</v>
      </c>
      <c r="B186" s="244"/>
      <c r="C186" s="209" t="s">
        <v>109</v>
      </c>
      <c r="D186" s="210" t="s">
        <v>349</v>
      </c>
      <c r="E186" s="210" t="s">
        <v>694</v>
      </c>
      <c r="F186" s="211"/>
      <c r="G186" s="234">
        <f>SUM(G187)</f>
        <v>560</v>
      </c>
      <c r="H186" s="293">
        <f>SUM(H187)</f>
        <v>0</v>
      </c>
      <c r="I186" s="361">
        <f t="shared" si="2"/>
        <v>0</v>
      </c>
    </row>
    <row r="187" spans="1:10" s="50" customFormat="1" ht="16.5" customHeight="1">
      <c r="A187" s="116" t="s">
        <v>434</v>
      </c>
      <c r="B187" s="244"/>
      <c r="C187" s="209" t="s">
        <v>109</v>
      </c>
      <c r="D187" s="210" t="s">
        <v>349</v>
      </c>
      <c r="E187" s="210" t="s">
        <v>694</v>
      </c>
      <c r="F187" s="219" t="s">
        <v>152</v>
      </c>
      <c r="G187" s="234">
        <v>560</v>
      </c>
      <c r="H187" s="293"/>
      <c r="I187" s="361">
        <f t="shared" si="2"/>
        <v>0</v>
      </c>
      <c r="J187" s="50">
        <f>SUM('ведомствен.2015'!G203)</f>
        <v>560</v>
      </c>
    </row>
    <row r="188" spans="1:9" s="50" customFormat="1" ht="28.5">
      <c r="A188" s="262" t="s">
        <v>717</v>
      </c>
      <c r="B188" s="244"/>
      <c r="C188" s="209" t="s">
        <v>109</v>
      </c>
      <c r="D188" s="210" t="s">
        <v>349</v>
      </c>
      <c r="E188" s="210" t="s">
        <v>48</v>
      </c>
      <c r="F188" s="211"/>
      <c r="G188" s="234">
        <f>SUM(G189)</f>
        <v>5669</v>
      </c>
      <c r="H188" s="293">
        <f>SUM(H189)</f>
        <v>4241.9</v>
      </c>
      <c r="I188" s="361">
        <f t="shared" si="2"/>
        <v>74.826248015523</v>
      </c>
    </row>
    <row r="189" spans="1:10" s="50" customFormat="1" ht="28.5">
      <c r="A189" s="265" t="s">
        <v>454</v>
      </c>
      <c r="B189" s="244"/>
      <c r="C189" s="209" t="s">
        <v>109</v>
      </c>
      <c r="D189" s="210" t="s">
        <v>349</v>
      </c>
      <c r="E189" s="210" t="s">
        <v>48</v>
      </c>
      <c r="F189" s="211" t="s">
        <v>445</v>
      </c>
      <c r="G189" s="234">
        <v>5669</v>
      </c>
      <c r="H189" s="293">
        <v>4241.9</v>
      </c>
      <c r="I189" s="361">
        <f t="shared" si="2"/>
        <v>74.826248015523</v>
      </c>
      <c r="J189" s="50">
        <f>SUM('ведомствен.2015'!G205)</f>
        <v>5669</v>
      </c>
    </row>
    <row r="190" spans="1:13" ht="15">
      <c r="A190" s="267" t="s">
        <v>365</v>
      </c>
      <c r="B190" s="246"/>
      <c r="C190" s="100" t="s">
        <v>118</v>
      </c>
      <c r="D190" s="91"/>
      <c r="E190" s="91"/>
      <c r="F190" s="101"/>
      <c r="G190" s="233">
        <f>SUM(G191+G243+G262+G279)</f>
        <v>287319.4</v>
      </c>
      <c r="H190" s="368">
        <f>SUM(H191+H243+H262+H279)</f>
        <v>157394.7</v>
      </c>
      <c r="I190" s="362">
        <f t="shared" si="2"/>
        <v>54.78039422329296</v>
      </c>
      <c r="J190"/>
      <c r="K190">
        <f>SUM(J191:J294)</f>
        <v>287319.4</v>
      </c>
      <c r="L190">
        <f>SUM('ведомствен.2015'!G206)+'ведомствен.2015'!G388</f>
        <v>287319.4</v>
      </c>
      <c r="M190">
        <f>SUM(K190-L190)</f>
        <v>0</v>
      </c>
    </row>
    <row r="191" spans="1:10" ht="14.25">
      <c r="A191" s="260" t="s">
        <v>366</v>
      </c>
      <c r="B191" s="240"/>
      <c r="C191" s="45" t="s">
        <v>118</v>
      </c>
      <c r="D191" s="55" t="s">
        <v>398</v>
      </c>
      <c r="E191" s="55"/>
      <c r="F191" s="94"/>
      <c r="G191" s="129">
        <f>SUM(G192)</f>
        <v>109822.4</v>
      </c>
      <c r="H191" s="118">
        <f>SUM(H192)</f>
        <v>99722.1</v>
      </c>
      <c r="I191" s="361">
        <f t="shared" si="2"/>
        <v>90.8030602135812</v>
      </c>
      <c r="J191"/>
    </row>
    <row r="192" spans="1:10" ht="57">
      <c r="A192" s="116" t="s">
        <v>656</v>
      </c>
      <c r="B192" s="498"/>
      <c r="C192" s="45" t="s">
        <v>118</v>
      </c>
      <c r="D192" s="55" t="s">
        <v>398</v>
      </c>
      <c r="E192" s="55" t="s">
        <v>367</v>
      </c>
      <c r="F192" s="94"/>
      <c r="G192" s="129">
        <f>SUM(G193+G200)</f>
        <v>109822.4</v>
      </c>
      <c r="H192" s="118">
        <f>SUM(H193+H200)</f>
        <v>99722.1</v>
      </c>
      <c r="I192" s="361">
        <f t="shared" si="2"/>
        <v>90.8030602135812</v>
      </c>
      <c r="J192"/>
    </row>
    <row r="193" spans="1:10" ht="85.5">
      <c r="A193" s="116" t="s">
        <v>657</v>
      </c>
      <c r="B193" s="498"/>
      <c r="C193" s="45" t="s">
        <v>118</v>
      </c>
      <c r="D193" s="55" t="s">
        <v>398</v>
      </c>
      <c r="E193" s="55" t="s">
        <v>658</v>
      </c>
      <c r="F193" s="94"/>
      <c r="G193" s="129">
        <f>SUM(G194+G196+G198)</f>
        <v>109822.4</v>
      </c>
      <c r="H193" s="118">
        <f>SUM(H194+H196+H198)</f>
        <v>99722.1</v>
      </c>
      <c r="I193" s="361">
        <f t="shared" si="2"/>
        <v>90.8030602135812</v>
      </c>
      <c r="J193"/>
    </row>
    <row r="194" spans="1:10" ht="28.5">
      <c r="A194" s="116" t="s">
        <v>659</v>
      </c>
      <c r="B194" s="498"/>
      <c r="C194" s="45" t="s">
        <v>118</v>
      </c>
      <c r="D194" s="55" t="s">
        <v>398</v>
      </c>
      <c r="E194" s="55" t="s">
        <v>660</v>
      </c>
      <c r="F194" s="94"/>
      <c r="G194" s="129">
        <f>SUM(G195)</f>
        <v>34985.7</v>
      </c>
      <c r="H194" s="118">
        <f>SUM(H195)</f>
        <v>29896.1</v>
      </c>
      <c r="I194" s="361">
        <f t="shared" si="2"/>
        <v>85.45234195685666</v>
      </c>
      <c r="J194"/>
    </row>
    <row r="195" spans="1:10" ht="28.5">
      <c r="A195" s="116" t="s">
        <v>676</v>
      </c>
      <c r="B195" s="498"/>
      <c r="C195" s="45" t="s">
        <v>118</v>
      </c>
      <c r="D195" s="55" t="s">
        <v>398</v>
      </c>
      <c r="E195" s="55" t="s">
        <v>660</v>
      </c>
      <c r="F195" s="94" t="s">
        <v>489</v>
      </c>
      <c r="G195" s="129">
        <v>34985.7</v>
      </c>
      <c r="H195" s="118">
        <v>29896.1</v>
      </c>
      <c r="I195" s="361">
        <f t="shared" si="2"/>
        <v>85.45234195685666</v>
      </c>
      <c r="J195">
        <f>SUM('ведомствен.2015'!G211)</f>
        <v>34985.7</v>
      </c>
    </row>
    <row r="196" spans="1:9" ht="57">
      <c r="A196" s="116" t="s">
        <v>661</v>
      </c>
      <c r="B196" s="498"/>
      <c r="C196" s="45" t="s">
        <v>118</v>
      </c>
      <c r="D196" s="55" t="s">
        <v>398</v>
      </c>
      <c r="E196" s="55" t="s">
        <v>662</v>
      </c>
      <c r="F196" s="94"/>
      <c r="G196" s="129">
        <f>SUM(G197)</f>
        <v>74836.7</v>
      </c>
      <c r="H196" s="118">
        <f>SUM(H197)</f>
        <v>69826</v>
      </c>
      <c r="I196" s="361">
        <f t="shared" si="2"/>
        <v>93.30448830587133</v>
      </c>
    </row>
    <row r="197" spans="1:10" ht="28.5">
      <c r="A197" s="116" t="s">
        <v>676</v>
      </c>
      <c r="B197" s="498"/>
      <c r="C197" s="45" t="s">
        <v>118</v>
      </c>
      <c r="D197" s="55" t="s">
        <v>398</v>
      </c>
      <c r="E197" s="55" t="s">
        <v>663</v>
      </c>
      <c r="F197" s="94" t="s">
        <v>489</v>
      </c>
      <c r="G197" s="129">
        <v>74836.7</v>
      </c>
      <c r="H197" s="118">
        <v>69826</v>
      </c>
      <c r="I197" s="361">
        <f t="shared" si="2"/>
        <v>93.30448830587133</v>
      </c>
      <c r="J197">
        <f>SUM('ведомствен.2015'!G213)</f>
        <v>74836.7</v>
      </c>
    </row>
    <row r="198" spans="1:10" ht="71.25" hidden="1">
      <c r="A198" s="116" t="s">
        <v>219</v>
      </c>
      <c r="B198" s="240"/>
      <c r="C198" s="45" t="s">
        <v>118</v>
      </c>
      <c r="D198" s="55" t="s">
        <v>398</v>
      </c>
      <c r="E198" s="55" t="s">
        <v>126</v>
      </c>
      <c r="F198" s="94"/>
      <c r="G198" s="129">
        <f>SUM(G199)</f>
        <v>0</v>
      </c>
      <c r="H198" s="118">
        <f>SUM(H199)</f>
        <v>0</v>
      </c>
      <c r="I198" s="361" t="e">
        <f t="shared" si="2"/>
        <v>#DIV/0!</v>
      </c>
      <c r="J198"/>
    </row>
    <row r="199" spans="1:10" ht="14.25" hidden="1">
      <c r="A199" s="268" t="s">
        <v>121</v>
      </c>
      <c r="B199" s="240"/>
      <c r="C199" s="45" t="s">
        <v>118</v>
      </c>
      <c r="D199" s="55" t="s">
        <v>398</v>
      </c>
      <c r="E199" s="55" t="s">
        <v>126</v>
      </c>
      <c r="F199" s="94" t="s">
        <v>122</v>
      </c>
      <c r="G199" s="129"/>
      <c r="H199" s="118"/>
      <c r="I199" s="361" t="e">
        <f t="shared" si="2"/>
        <v>#DIV/0!</v>
      </c>
      <c r="J199"/>
    </row>
    <row r="200" spans="1:10" ht="42.75" hidden="1">
      <c r="A200" s="116" t="s">
        <v>368</v>
      </c>
      <c r="B200" s="240"/>
      <c r="C200" s="45" t="s">
        <v>118</v>
      </c>
      <c r="D200" s="55" t="s">
        <v>398</v>
      </c>
      <c r="E200" s="55" t="s">
        <v>369</v>
      </c>
      <c r="F200" s="94"/>
      <c r="G200" s="129">
        <f>SUM(G201)+G207+G210</f>
        <v>0</v>
      </c>
      <c r="H200" s="118">
        <f>SUM(H201)+H207+H210</f>
        <v>0</v>
      </c>
      <c r="I200" s="361" t="e">
        <f t="shared" si="2"/>
        <v>#DIV/0!</v>
      </c>
      <c r="J200"/>
    </row>
    <row r="201" spans="1:10" ht="28.5" hidden="1">
      <c r="A201" s="116" t="s">
        <v>370</v>
      </c>
      <c r="B201" s="240"/>
      <c r="C201" s="45" t="s">
        <v>118</v>
      </c>
      <c r="D201" s="55" t="s">
        <v>398</v>
      </c>
      <c r="E201" s="55" t="s">
        <v>371</v>
      </c>
      <c r="F201" s="94"/>
      <c r="G201" s="129">
        <f>SUM(G202+G203)</f>
        <v>0</v>
      </c>
      <c r="H201" s="118">
        <f>SUM(H202+H203)</f>
        <v>0</v>
      </c>
      <c r="I201" s="361" t="e">
        <f t="shared" si="2"/>
        <v>#DIV/0!</v>
      </c>
      <c r="J201"/>
    </row>
    <row r="202" spans="1:9" s="14" customFormat="1" ht="14.25" hidden="1">
      <c r="A202" s="116" t="s">
        <v>7</v>
      </c>
      <c r="B202" s="240"/>
      <c r="C202" s="45" t="s">
        <v>118</v>
      </c>
      <c r="D202" s="55" t="s">
        <v>398</v>
      </c>
      <c r="E202" s="55" t="s">
        <v>371</v>
      </c>
      <c r="F202" s="94" t="s">
        <v>8</v>
      </c>
      <c r="G202" s="129"/>
      <c r="H202" s="118"/>
      <c r="I202" s="361" t="e">
        <f t="shared" si="2"/>
        <v>#DIV/0!</v>
      </c>
    </row>
    <row r="203" spans="1:10" ht="28.5" hidden="1">
      <c r="A203" s="116" t="s">
        <v>372</v>
      </c>
      <c r="B203" s="240"/>
      <c r="C203" s="45" t="s">
        <v>118</v>
      </c>
      <c r="D203" s="55" t="s">
        <v>398</v>
      </c>
      <c r="E203" s="55" t="s">
        <v>371</v>
      </c>
      <c r="F203" s="94" t="s">
        <v>373</v>
      </c>
      <c r="G203" s="129"/>
      <c r="H203" s="118"/>
      <c r="I203" s="361" t="e">
        <f t="shared" si="2"/>
        <v>#DIV/0!</v>
      </c>
      <c r="J203"/>
    </row>
    <row r="204" spans="1:10" ht="28.5" hidden="1">
      <c r="A204" s="116" t="s">
        <v>214</v>
      </c>
      <c r="B204" s="240"/>
      <c r="C204" s="45" t="s">
        <v>118</v>
      </c>
      <c r="D204" s="55" t="s">
        <v>398</v>
      </c>
      <c r="E204" s="55" t="s">
        <v>363</v>
      </c>
      <c r="F204" s="94"/>
      <c r="G204" s="129">
        <f>SUM(G205)</f>
        <v>0</v>
      </c>
      <c r="H204" s="118">
        <f>SUM(H205)</f>
        <v>0</v>
      </c>
      <c r="I204" s="361" t="e">
        <f t="shared" si="2"/>
        <v>#DIV/0!</v>
      </c>
      <c r="J204"/>
    </row>
    <row r="205" spans="1:10" ht="28.5" hidden="1">
      <c r="A205" s="116" t="s">
        <v>119</v>
      </c>
      <c r="B205" s="240"/>
      <c r="C205" s="45" t="s">
        <v>118</v>
      </c>
      <c r="D205" s="55" t="s">
        <v>398</v>
      </c>
      <c r="E205" s="55" t="s">
        <v>120</v>
      </c>
      <c r="F205" s="94"/>
      <c r="G205" s="129">
        <f>SUM(G206)</f>
        <v>0</v>
      </c>
      <c r="H205" s="118">
        <f>SUM(H206)</f>
        <v>0</v>
      </c>
      <c r="I205" s="361" t="e">
        <f t="shared" si="2"/>
        <v>#DIV/0!</v>
      </c>
      <c r="J205"/>
    </row>
    <row r="206" spans="1:9" ht="14.25" hidden="1">
      <c r="A206" s="116" t="s">
        <v>121</v>
      </c>
      <c r="B206" s="240"/>
      <c r="C206" s="45" t="s">
        <v>118</v>
      </c>
      <c r="D206" s="55" t="s">
        <v>398</v>
      </c>
      <c r="E206" s="55" t="s">
        <v>120</v>
      </c>
      <c r="F206" s="94" t="s">
        <v>122</v>
      </c>
      <c r="G206" s="129"/>
      <c r="H206" s="118"/>
      <c r="I206" s="361" t="e">
        <f t="shared" si="2"/>
        <v>#DIV/0!</v>
      </c>
    </row>
    <row r="207" spans="1:10" ht="28.5" hidden="1">
      <c r="A207" s="116" t="s">
        <v>374</v>
      </c>
      <c r="B207" s="240"/>
      <c r="C207" s="45" t="s">
        <v>118</v>
      </c>
      <c r="D207" s="55" t="s">
        <v>398</v>
      </c>
      <c r="E207" s="55" t="s">
        <v>375</v>
      </c>
      <c r="F207" s="94"/>
      <c r="G207" s="129">
        <f>SUM(G208+G209)</f>
        <v>0</v>
      </c>
      <c r="H207" s="118">
        <f>SUM(H208+H209)</f>
        <v>0</v>
      </c>
      <c r="I207" s="361" t="e">
        <f t="shared" si="2"/>
        <v>#DIV/0!</v>
      </c>
      <c r="J207"/>
    </row>
    <row r="208" spans="1:10" ht="42.75" hidden="1">
      <c r="A208" s="260" t="s">
        <v>14</v>
      </c>
      <c r="B208" s="240"/>
      <c r="C208" s="45" t="s">
        <v>118</v>
      </c>
      <c r="D208" s="55" t="s">
        <v>398</v>
      </c>
      <c r="E208" s="55" t="s">
        <v>375</v>
      </c>
      <c r="F208" s="94" t="s">
        <v>52</v>
      </c>
      <c r="G208" s="129"/>
      <c r="H208" s="118"/>
      <c r="I208" s="361" t="e">
        <f t="shared" si="2"/>
        <v>#DIV/0!</v>
      </c>
      <c r="J208"/>
    </row>
    <row r="209" spans="1:10" ht="14.25" hidden="1">
      <c r="A209" s="268" t="s">
        <v>121</v>
      </c>
      <c r="B209" s="240"/>
      <c r="C209" s="45" t="s">
        <v>118</v>
      </c>
      <c r="D209" s="55" t="s">
        <v>398</v>
      </c>
      <c r="E209" s="55" t="s">
        <v>375</v>
      </c>
      <c r="F209" s="94" t="s">
        <v>122</v>
      </c>
      <c r="G209" s="129"/>
      <c r="H209" s="118"/>
      <c r="I209" s="361" t="e">
        <f t="shared" si="2"/>
        <v>#DIV/0!</v>
      </c>
      <c r="J209"/>
    </row>
    <row r="210" spans="1:9" s="14" customFormat="1" ht="42.75" hidden="1">
      <c r="A210" s="116" t="s">
        <v>378</v>
      </c>
      <c r="B210" s="240"/>
      <c r="C210" s="45" t="s">
        <v>118</v>
      </c>
      <c r="D210" s="55" t="s">
        <v>398</v>
      </c>
      <c r="E210" s="55" t="s">
        <v>379</v>
      </c>
      <c r="F210" s="94"/>
      <c r="G210" s="129">
        <f>SUM(G211)</f>
        <v>0</v>
      </c>
      <c r="H210" s="118">
        <f>SUM(H211)</f>
        <v>0</v>
      </c>
      <c r="I210" s="361" t="e">
        <f t="shared" si="2"/>
        <v>#DIV/0!</v>
      </c>
    </row>
    <row r="211" spans="1:9" s="16" customFormat="1" ht="14.25" hidden="1">
      <c r="A211" s="268" t="s">
        <v>121</v>
      </c>
      <c r="B211" s="240"/>
      <c r="C211" s="45" t="s">
        <v>118</v>
      </c>
      <c r="D211" s="55" t="s">
        <v>398</v>
      </c>
      <c r="E211" s="55" t="s">
        <v>379</v>
      </c>
      <c r="F211" s="94" t="s">
        <v>122</v>
      </c>
      <c r="G211" s="129"/>
      <c r="H211" s="118"/>
      <c r="I211" s="361" t="e">
        <f t="shared" si="2"/>
        <v>#DIV/0!</v>
      </c>
    </row>
    <row r="212" spans="1:9" s="15" customFormat="1" ht="14.25" hidden="1">
      <c r="A212" s="260" t="s">
        <v>380</v>
      </c>
      <c r="B212" s="240"/>
      <c r="C212" s="45" t="s">
        <v>118</v>
      </c>
      <c r="D212" s="55" t="s">
        <v>398</v>
      </c>
      <c r="E212" s="55" t="s">
        <v>381</v>
      </c>
      <c r="F212" s="94"/>
      <c r="G212" s="129">
        <f>SUM(G213+G215)</f>
        <v>0</v>
      </c>
      <c r="H212" s="118">
        <f>SUM(H213+H215)</f>
        <v>0</v>
      </c>
      <c r="I212" s="361" t="e">
        <f t="shared" si="2"/>
        <v>#DIV/0!</v>
      </c>
    </row>
    <row r="213" spans="1:9" s="15" customFormat="1" ht="42.75" hidden="1">
      <c r="A213" s="261" t="s">
        <v>382</v>
      </c>
      <c r="B213" s="240"/>
      <c r="C213" s="45" t="s">
        <v>118</v>
      </c>
      <c r="D213" s="55" t="s">
        <v>398</v>
      </c>
      <c r="E213" s="55" t="s">
        <v>383</v>
      </c>
      <c r="F213" s="94"/>
      <c r="G213" s="129">
        <f>SUM(G214)</f>
        <v>0</v>
      </c>
      <c r="H213" s="118">
        <f>SUM(H214)</f>
        <v>0</v>
      </c>
      <c r="I213" s="361" t="e">
        <f t="shared" si="2"/>
        <v>#DIV/0!</v>
      </c>
    </row>
    <row r="214" spans="1:9" s="15" customFormat="1" ht="14.25" hidden="1">
      <c r="A214" s="260" t="s">
        <v>7</v>
      </c>
      <c r="B214" s="240"/>
      <c r="C214" s="45" t="s">
        <v>118</v>
      </c>
      <c r="D214" s="55" t="s">
        <v>398</v>
      </c>
      <c r="E214" s="55" t="s">
        <v>383</v>
      </c>
      <c r="F214" s="94" t="s">
        <v>8</v>
      </c>
      <c r="G214" s="129"/>
      <c r="H214" s="118"/>
      <c r="I214" s="361" t="e">
        <f t="shared" si="2"/>
        <v>#DIV/0!</v>
      </c>
    </row>
    <row r="215" spans="1:9" s="15" customFormat="1" ht="28.5" hidden="1">
      <c r="A215" s="261" t="s">
        <v>384</v>
      </c>
      <c r="B215" s="128"/>
      <c r="C215" s="45" t="s">
        <v>118</v>
      </c>
      <c r="D215" s="55" t="s">
        <v>398</v>
      </c>
      <c r="E215" s="55" t="s">
        <v>385</v>
      </c>
      <c r="F215" s="95"/>
      <c r="G215" s="129">
        <f>SUM(G216)</f>
        <v>0</v>
      </c>
      <c r="H215" s="118">
        <f>SUM(H216)</f>
        <v>0</v>
      </c>
      <c r="I215" s="361" t="e">
        <f t="shared" si="2"/>
        <v>#DIV/0!</v>
      </c>
    </row>
    <row r="216" spans="1:9" s="15" customFormat="1" ht="14.25" hidden="1">
      <c r="A216" s="260" t="s">
        <v>92</v>
      </c>
      <c r="B216" s="247"/>
      <c r="C216" s="45" t="s">
        <v>118</v>
      </c>
      <c r="D216" s="55" t="s">
        <v>398</v>
      </c>
      <c r="E216" s="55" t="s">
        <v>385</v>
      </c>
      <c r="F216" s="94" t="s">
        <v>93</v>
      </c>
      <c r="G216" s="129"/>
      <c r="H216" s="118"/>
      <c r="I216" s="361" t="e">
        <f aca="true" t="shared" si="3" ref="I216:I281">SUM(H216/G216*100)</f>
        <v>#DIV/0!</v>
      </c>
    </row>
    <row r="217" spans="1:9" s="15" customFormat="1" ht="14.25" hidden="1">
      <c r="A217" s="261" t="s">
        <v>3</v>
      </c>
      <c r="B217" s="240"/>
      <c r="C217" s="45" t="s">
        <v>118</v>
      </c>
      <c r="D217" s="55" t="s">
        <v>398</v>
      </c>
      <c r="E217" s="55" t="s">
        <v>4</v>
      </c>
      <c r="F217" s="94"/>
      <c r="G217" s="129">
        <f>SUM(G220)+G225+G218</f>
        <v>0</v>
      </c>
      <c r="H217" s="118">
        <f>SUM(H220)+H225+H218</f>
        <v>0</v>
      </c>
      <c r="I217" s="361" t="e">
        <f t="shared" si="3"/>
        <v>#DIV/0!</v>
      </c>
    </row>
    <row r="218" spans="1:9" s="15" customFormat="1" ht="42.75" hidden="1">
      <c r="A218" s="261" t="s">
        <v>386</v>
      </c>
      <c r="B218" s="240"/>
      <c r="C218" s="45" t="s">
        <v>118</v>
      </c>
      <c r="D218" s="55" t="s">
        <v>398</v>
      </c>
      <c r="E218" s="55" t="s">
        <v>387</v>
      </c>
      <c r="F218" s="94"/>
      <c r="G218" s="129">
        <f>SUM(G219)</f>
        <v>0</v>
      </c>
      <c r="H218" s="118">
        <f>SUM(H219)</f>
        <v>0</v>
      </c>
      <c r="I218" s="361" t="e">
        <f t="shared" si="3"/>
        <v>#DIV/0!</v>
      </c>
    </row>
    <row r="219" spans="1:9" s="15" customFormat="1" ht="14.25" hidden="1">
      <c r="A219" s="261" t="s">
        <v>121</v>
      </c>
      <c r="B219" s="240"/>
      <c r="C219" s="45" t="s">
        <v>118</v>
      </c>
      <c r="D219" s="55" t="s">
        <v>398</v>
      </c>
      <c r="E219" s="55" t="s">
        <v>387</v>
      </c>
      <c r="F219" s="94" t="s">
        <v>122</v>
      </c>
      <c r="G219" s="129"/>
      <c r="H219" s="118"/>
      <c r="I219" s="361" t="e">
        <f t="shared" si="3"/>
        <v>#DIV/0!</v>
      </c>
    </row>
    <row r="220" spans="1:9" s="15" customFormat="1" ht="42.75" hidden="1">
      <c r="A220" s="260" t="s">
        <v>388</v>
      </c>
      <c r="B220" s="240"/>
      <c r="C220" s="45" t="s">
        <v>118</v>
      </c>
      <c r="D220" s="55" t="s">
        <v>398</v>
      </c>
      <c r="E220" s="55" t="s">
        <v>389</v>
      </c>
      <c r="F220" s="94"/>
      <c r="G220" s="129">
        <f>SUM(G221+G223)</f>
        <v>0</v>
      </c>
      <c r="H220" s="118">
        <f>SUM(H221+H223)</f>
        <v>0</v>
      </c>
      <c r="I220" s="361" t="e">
        <f t="shared" si="3"/>
        <v>#DIV/0!</v>
      </c>
    </row>
    <row r="221" spans="1:9" s="15" customFormat="1" ht="28.5" hidden="1">
      <c r="A221" s="261" t="s">
        <v>390</v>
      </c>
      <c r="B221" s="240"/>
      <c r="C221" s="45" t="s">
        <v>118</v>
      </c>
      <c r="D221" s="55" t="s">
        <v>398</v>
      </c>
      <c r="E221" s="55" t="s">
        <v>391</v>
      </c>
      <c r="F221" s="94"/>
      <c r="G221" s="129">
        <f>SUM(G222)</f>
        <v>0</v>
      </c>
      <c r="H221" s="118">
        <f>SUM(H222)</f>
        <v>0</v>
      </c>
      <c r="I221" s="361" t="e">
        <f t="shared" si="3"/>
        <v>#DIV/0!</v>
      </c>
    </row>
    <row r="222" spans="1:9" s="15" customFormat="1" ht="14.25" hidden="1">
      <c r="A222" s="116" t="s">
        <v>121</v>
      </c>
      <c r="B222" s="240"/>
      <c r="C222" s="45" t="s">
        <v>118</v>
      </c>
      <c r="D222" s="55" t="s">
        <v>398</v>
      </c>
      <c r="E222" s="55" t="s">
        <v>391</v>
      </c>
      <c r="F222" s="94" t="s">
        <v>122</v>
      </c>
      <c r="G222" s="129"/>
      <c r="H222" s="118"/>
      <c r="I222" s="361" t="e">
        <f t="shared" si="3"/>
        <v>#DIV/0!</v>
      </c>
    </row>
    <row r="223" spans="1:9" s="15" customFormat="1" ht="14.25" hidden="1">
      <c r="A223" s="116" t="s">
        <v>392</v>
      </c>
      <c r="B223" s="240"/>
      <c r="C223" s="45" t="s">
        <v>118</v>
      </c>
      <c r="D223" s="55" t="s">
        <v>398</v>
      </c>
      <c r="E223" s="55" t="s">
        <v>393</v>
      </c>
      <c r="F223" s="94"/>
      <c r="G223" s="129">
        <f>SUM(G224)</f>
        <v>0</v>
      </c>
      <c r="H223" s="118">
        <f>SUM(H224)</f>
        <v>0</v>
      </c>
      <c r="I223" s="361" t="e">
        <f t="shared" si="3"/>
        <v>#DIV/0!</v>
      </c>
    </row>
    <row r="224" spans="1:9" s="14" customFormat="1" ht="14.25" hidden="1">
      <c r="A224" s="260" t="s">
        <v>92</v>
      </c>
      <c r="B224" s="247"/>
      <c r="C224" s="45" t="s">
        <v>118</v>
      </c>
      <c r="D224" s="55" t="s">
        <v>398</v>
      </c>
      <c r="E224" s="55" t="s">
        <v>393</v>
      </c>
      <c r="F224" s="94" t="s">
        <v>93</v>
      </c>
      <c r="G224" s="129"/>
      <c r="H224" s="118"/>
      <c r="I224" s="361" t="e">
        <f t="shared" si="3"/>
        <v>#DIV/0!</v>
      </c>
    </row>
    <row r="225" spans="1:9" s="14" customFormat="1" ht="28.5" hidden="1">
      <c r="A225" s="260" t="s">
        <v>394</v>
      </c>
      <c r="B225" s="247"/>
      <c r="C225" s="45" t="s">
        <v>118</v>
      </c>
      <c r="D225" s="55" t="s">
        <v>398</v>
      </c>
      <c r="E225" s="55" t="s">
        <v>395</v>
      </c>
      <c r="F225" s="94"/>
      <c r="G225" s="129"/>
      <c r="H225" s="118"/>
      <c r="I225" s="361" t="e">
        <f t="shared" si="3"/>
        <v>#DIV/0!</v>
      </c>
    </row>
    <row r="226" spans="1:9" s="14" customFormat="1" ht="42.75" hidden="1">
      <c r="A226" s="260" t="s">
        <v>38</v>
      </c>
      <c r="B226" s="247"/>
      <c r="C226" s="45" t="s">
        <v>118</v>
      </c>
      <c r="D226" s="55" t="s">
        <v>398</v>
      </c>
      <c r="E226" s="55" t="s">
        <v>39</v>
      </c>
      <c r="F226" s="94"/>
      <c r="G226" s="129">
        <f>SUM(G227)</f>
        <v>0</v>
      </c>
      <c r="H226" s="118">
        <f>SUM(H227)</f>
        <v>0</v>
      </c>
      <c r="I226" s="361" t="e">
        <f t="shared" si="3"/>
        <v>#DIV/0!</v>
      </c>
    </row>
    <row r="227" spans="1:10" ht="14.25" hidden="1">
      <c r="A227" s="260" t="s">
        <v>7</v>
      </c>
      <c r="B227" s="247"/>
      <c r="C227" s="45" t="s">
        <v>118</v>
      </c>
      <c r="D227" s="55" t="s">
        <v>398</v>
      </c>
      <c r="E227" s="55" t="s">
        <v>39</v>
      </c>
      <c r="F227" s="94" t="s">
        <v>8</v>
      </c>
      <c r="G227" s="129"/>
      <c r="H227" s="118"/>
      <c r="I227" s="361" t="e">
        <f t="shared" si="3"/>
        <v>#DIV/0!</v>
      </c>
      <c r="J227"/>
    </row>
    <row r="228" spans="1:10" ht="28.5" hidden="1">
      <c r="A228" s="260" t="s">
        <v>40</v>
      </c>
      <c r="B228" s="247"/>
      <c r="C228" s="45" t="s">
        <v>118</v>
      </c>
      <c r="D228" s="55" t="s">
        <v>398</v>
      </c>
      <c r="E228" s="55" t="s">
        <v>41</v>
      </c>
      <c r="F228" s="94"/>
      <c r="G228" s="129">
        <f>SUM(G229)</f>
        <v>0</v>
      </c>
      <c r="H228" s="118">
        <f>SUM(H229)</f>
        <v>0</v>
      </c>
      <c r="I228" s="361" t="e">
        <f t="shared" si="3"/>
        <v>#DIV/0!</v>
      </c>
      <c r="J228"/>
    </row>
    <row r="229" spans="1:9" s="15" customFormat="1" ht="14.25" hidden="1">
      <c r="A229" s="260" t="s">
        <v>7</v>
      </c>
      <c r="B229" s="247"/>
      <c r="C229" s="45" t="s">
        <v>118</v>
      </c>
      <c r="D229" s="55" t="s">
        <v>398</v>
      </c>
      <c r="E229" s="55" t="s">
        <v>41</v>
      </c>
      <c r="F229" s="94" t="s">
        <v>8</v>
      </c>
      <c r="G229" s="129"/>
      <c r="H229" s="118"/>
      <c r="I229" s="361" t="e">
        <f t="shared" si="3"/>
        <v>#DIV/0!</v>
      </c>
    </row>
    <row r="230" spans="1:9" s="15" customFormat="1" ht="14.25" hidden="1">
      <c r="A230" s="260" t="s">
        <v>380</v>
      </c>
      <c r="B230" s="247"/>
      <c r="C230" s="45" t="s">
        <v>118</v>
      </c>
      <c r="D230" s="55" t="s">
        <v>398</v>
      </c>
      <c r="E230" s="55" t="s">
        <v>381</v>
      </c>
      <c r="F230" s="94"/>
      <c r="G230" s="129">
        <f>SUM(G231)</f>
        <v>0</v>
      </c>
      <c r="H230" s="118">
        <f>SUM(H231)</f>
        <v>0</v>
      </c>
      <c r="I230" s="361" t="e">
        <f t="shared" si="3"/>
        <v>#DIV/0!</v>
      </c>
    </row>
    <row r="231" spans="1:10" s="15" customFormat="1" ht="42.75" hidden="1">
      <c r="A231" s="260" t="s">
        <v>249</v>
      </c>
      <c r="B231" s="247"/>
      <c r="C231" s="45" t="s">
        <v>118</v>
      </c>
      <c r="D231" s="55" t="s">
        <v>398</v>
      </c>
      <c r="E231" s="55" t="s">
        <v>385</v>
      </c>
      <c r="F231" s="94"/>
      <c r="G231" s="129">
        <f>SUM(G232)</f>
        <v>0</v>
      </c>
      <c r="H231" s="118">
        <f>SUM(H232)</f>
        <v>0</v>
      </c>
      <c r="I231" s="361" t="e">
        <f t="shared" si="3"/>
        <v>#DIV/0!</v>
      </c>
      <c r="J231" s="14"/>
    </row>
    <row r="232" spans="1:9" s="15" customFormat="1" ht="14.25" hidden="1">
      <c r="A232" s="260" t="s">
        <v>92</v>
      </c>
      <c r="B232" s="247"/>
      <c r="C232" s="45" t="s">
        <v>118</v>
      </c>
      <c r="D232" s="55" t="s">
        <v>398</v>
      </c>
      <c r="E232" s="55" t="s">
        <v>385</v>
      </c>
      <c r="F232" s="94" t="s">
        <v>93</v>
      </c>
      <c r="G232" s="129"/>
      <c r="H232" s="118"/>
      <c r="I232" s="361" t="e">
        <f t="shared" si="3"/>
        <v>#DIV/0!</v>
      </c>
    </row>
    <row r="233" spans="1:9" s="15" customFormat="1" ht="14.25" hidden="1">
      <c r="A233" s="268" t="s">
        <v>115</v>
      </c>
      <c r="B233" s="240"/>
      <c r="C233" s="45" t="s">
        <v>118</v>
      </c>
      <c r="D233" s="55" t="s">
        <v>398</v>
      </c>
      <c r="E233" s="55" t="s">
        <v>116</v>
      </c>
      <c r="F233" s="94"/>
      <c r="G233" s="129">
        <f>SUM(G234+G237)+G241</f>
        <v>0</v>
      </c>
      <c r="H233" s="118">
        <f>SUM(H234+H237)+H241</f>
        <v>0</v>
      </c>
      <c r="I233" s="361" t="e">
        <f t="shared" si="3"/>
        <v>#DIV/0!</v>
      </c>
    </row>
    <row r="234" spans="1:9" s="15" customFormat="1" ht="42.75" hidden="1">
      <c r="A234" s="268" t="s">
        <v>427</v>
      </c>
      <c r="B234" s="240"/>
      <c r="C234" s="45" t="s">
        <v>118</v>
      </c>
      <c r="D234" s="55" t="s">
        <v>398</v>
      </c>
      <c r="E234" s="55" t="s">
        <v>257</v>
      </c>
      <c r="F234" s="94"/>
      <c r="G234" s="130">
        <f>SUM(G235)</f>
        <v>0</v>
      </c>
      <c r="H234" s="366">
        <f>SUM(H235)</f>
        <v>0</v>
      </c>
      <c r="I234" s="361" t="e">
        <f t="shared" si="3"/>
        <v>#DIV/0!</v>
      </c>
    </row>
    <row r="235" spans="1:9" s="15" customFormat="1" ht="14.25" hidden="1">
      <c r="A235" s="116" t="s">
        <v>7</v>
      </c>
      <c r="B235" s="240"/>
      <c r="C235" s="45" t="s">
        <v>118</v>
      </c>
      <c r="D235" s="55" t="s">
        <v>398</v>
      </c>
      <c r="E235" s="55" t="s">
        <v>257</v>
      </c>
      <c r="F235" s="94" t="s">
        <v>8</v>
      </c>
      <c r="G235" s="130"/>
      <c r="H235" s="366"/>
      <c r="I235" s="361" t="e">
        <f t="shared" si="3"/>
        <v>#DIV/0!</v>
      </c>
    </row>
    <row r="236" spans="1:9" s="14" customFormat="1" ht="14.25" hidden="1">
      <c r="A236" s="268" t="s">
        <v>42</v>
      </c>
      <c r="B236" s="240"/>
      <c r="C236" s="45" t="s">
        <v>118</v>
      </c>
      <c r="D236" s="55" t="s">
        <v>398</v>
      </c>
      <c r="E236" s="55" t="s">
        <v>43</v>
      </c>
      <c r="F236" s="94" t="s">
        <v>93</v>
      </c>
      <c r="G236" s="129"/>
      <c r="H236" s="118"/>
      <c r="I236" s="361" t="e">
        <f t="shared" si="3"/>
        <v>#DIV/0!</v>
      </c>
    </row>
    <row r="237" spans="1:9" s="14" customFormat="1" ht="14.25" hidden="1">
      <c r="A237" s="268" t="s">
        <v>121</v>
      </c>
      <c r="B237" s="240"/>
      <c r="C237" s="45" t="s">
        <v>118</v>
      </c>
      <c r="D237" s="55" t="s">
        <v>398</v>
      </c>
      <c r="E237" s="55" t="s">
        <v>116</v>
      </c>
      <c r="F237" s="94" t="s">
        <v>122</v>
      </c>
      <c r="G237" s="129">
        <f>SUM(G238)</f>
        <v>0</v>
      </c>
      <c r="H237" s="118">
        <f>SUM(H238)</f>
        <v>0</v>
      </c>
      <c r="I237" s="361" t="e">
        <f t="shared" si="3"/>
        <v>#DIV/0!</v>
      </c>
    </row>
    <row r="238" spans="1:9" s="14" customFormat="1" ht="28.5" hidden="1">
      <c r="A238" s="116" t="s">
        <v>44</v>
      </c>
      <c r="B238" s="240"/>
      <c r="C238" s="45" t="s">
        <v>118</v>
      </c>
      <c r="D238" s="55" t="s">
        <v>398</v>
      </c>
      <c r="E238" s="55" t="s">
        <v>45</v>
      </c>
      <c r="F238" s="94" t="s">
        <v>122</v>
      </c>
      <c r="G238" s="129">
        <f>SUM(G240)</f>
        <v>0</v>
      </c>
      <c r="H238" s="118">
        <f>SUM(H240)</f>
        <v>0</v>
      </c>
      <c r="I238" s="361" t="e">
        <f t="shared" si="3"/>
        <v>#DIV/0!</v>
      </c>
    </row>
    <row r="239" spans="1:9" s="14" customFormat="1" ht="28.5" hidden="1">
      <c r="A239" s="116" t="s">
        <v>60</v>
      </c>
      <c r="B239" s="240"/>
      <c r="C239" s="45"/>
      <c r="D239" s="55"/>
      <c r="E239" s="55"/>
      <c r="F239" s="94"/>
      <c r="G239" s="129"/>
      <c r="H239" s="118"/>
      <c r="I239" s="361" t="e">
        <f t="shared" si="3"/>
        <v>#DIV/0!</v>
      </c>
    </row>
    <row r="240" spans="1:9" s="14" customFormat="1" ht="28.5" hidden="1">
      <c r="A240" s="261" t="s">
        <v>390</v>
      </c>
      <c r="B240" s="240"/>
      <c r="C240" s="45" t="s">
        <v>118</v>
      </c>
      <c r="D240" s="55" t="s">
        <v>398</v>
      </c>
      <c r="E240" s="55" t="s">
        <v>46</v>
      </c>
      <c r="F240" s="94" t="s">
        <v>122</v>
      </c>
      <c r="G240" s="129"/>
      <c r="H240" s="118"/>
      <c r="I240" s="361" t="e">
        <f t="shared" si="3"/>
        <v>#DIV/0!</v>
      </c>
    </row>
    <row r="241" spans="1:9" s="14" customFormat="1" ht="28.5" hidden="1">
      <c r="A241" s="260" t="s">
        <v>47</v>
      </c>
      <c r="B241" s="240"/>
      <c r="C241" s="45" t="s">
        <v>118</v>
      </c>
      <c r="D241" s="55" t="s">
        <v>398</v>
      </c>
      <c r="E241" s="55" t="s">
        <v>48</v>
      </c>
      <c r="F241" s="94"/>
      <c r="G241" s="129">
        <f>SUM(G242)</f>
        <v>0</v>
      </c>
      <c r="H241" s="118">
        <f>SUM(H242)</f>
        <v>0</v>
      </c>
      <c r="I241" s="361" t="e">
        <f t="shared" si="3"/>
        <v>#DIV/0!</v>
      </c>
    </row>
    <row r="242" spans="1:9" s="14" customFormat="1" ht="14.25" hidden="1">
      <c r="A242" s="268" t="s">
        <v>121</v>
      </c>
      <c r="B242" s="240"/>
      <c r="C242" s="45" t="s">
        <v>118</v>
      </c>
      <c r="D242" s="55" t="s">
        <v>398</v>
      </c>
      <c r="E242" s="55" t="s">
        <v>48</v>
      </c>
      <c r="F242" s="94" t="s">
        <v>122</v>
      </c>
      <c r="G242" s="129"/>
      <c r="H242" s="118"/>
      <c r="I242" s="361" t="e">
        <f t="shared" si="3"/>
        <v>#DIV/0!</v>
      </c>
    </row>
    <row r="243" spans="1:9" s="14" customFormat="1" ht="14.25">
      <c r="A243" s="116" t="s">
        <v>49</v>
      </c>
      <c r="B243" s="242"/>
      <c r="C243" s="216" t="s">
        <v>118</v>
      </c>
      <c r="D243" s="217" t="s">
        <v>400</v>
      </c>
      <c r="E243" s="217"/>
      <c r="F243" s="219"/>
      <c r="G243" s="232">
        <f>G250+G244+G247+G254</f>
        <v>80942.4</v>
      </c>
      <c r="H243" s="367">
        <f>H250+H244+H247+H254</f>
        <v>12720.6</v>
      </c>
      <c r="I243" s="361">
        <f t="shared" si="3"/>
        <v>15.715619996441916</v>
      </c>
    </row>
    <row r="244" spans="1:9" s="14" customFormat="1" ht="42.75">
      <c r="A244" s="116" t="s">
        <v>701</v>
      </c>
      <c r="B244" s="485"/>
      <c r="C244" s="216" t="s">
        <v>118</v>
      </c>
      <c r="D244" s="217" t="s">
        <v>400</v>
      </c>
      <c r="E244" s="217" t="s">
        <v>703</v>
      </c>
      <c r="F244" s="219"/>
      <c r="G244" s="232">
        <f>SUM(G245)</f>
        <v>10000</v>
      </c>
      <c r="H244" s="123">
        <f>SUM(H245)</f>
        <v>0</v>
      </c>
      <c r="I244" s="361">
        <f t="shared" si="3"/>
        <v>0</v>
      </c>
    </row>
    <row r="245" spans="1:9" s="14" customFormat="1" ht="28.5">
      <c r="A245" s="116" t="s">
        <v>702</v>
      </c>
      <c r="B245" s="485"/>
      <c r="C245" s="216" t="s">
        <v>118</v>
      </c>
      <c r="D245" s="217" t="s">
        <v>400</v>
      </c>
      <c r="E245" s="217" t="s">
        <v>704</v>
      </c>
      <c r="F245" s="219"/>
      <c r="G245" s="232">
        <f>SUM(G246)</f>
        <v>10000</v>
      </c>
      <c r="H245" s="123">
        <f>SUM(H246)</f>
        <v>0</v>
      </c>
      <c r="I245" s="361">
        <f t="shared" si="3"/>
        <v>0</v>
      </c>
    </row>
    <row r="246" spans="1:10" s="14" customFormat="1" ht="28.5">
      <c r="A246" s="260" t="s">
        <v>675</v>
      </c>
      <c r="B246" s="485"/>
      <c r="C246" s="216" t="s">
        <v>118</v>
      </c>
      <c r="D246" s="217" t="s">
        <v>400</v>
      </c>
      <c r="E246" s="217" t="s">
        <v>704</v>
      </c>
      <c r="F246" s="219" t="s">
        <v>107</v>
      </c>
      <c r="G246" s="232">
        <v>10000</v>
      </c>
      <c r="H246" s="123"/>
      <c r="I246" s="361">
        <f t="shared" si="3"/>
        <v>0</v>
      </c>
      <c r="J246" s="14">
        <f>SUM('ведомствен.2015'!G263)</f>
        <v>10000</v>
      </c>
    </row>
    <row r="247" spans="1:9" s="14" customFormat="1" ht="42" customHeight="1">
      <c r="A247" s="260" t="s">
        <v>705</v>
      </c>
      <c r="B247" s="485"/>
      <c r="C247" s="216" t="s">
        <v>118</v>
      </c>
      <c r="D247" s="217" t="s">
        <v>400</v>
      </c>
      <c r="E247" s="217" t="s">
        <v>706</v>
      </c>
      <c r="F247" s="219"/>
      <c r="G247" s="232">
        <f>SUM(G248)+G249</f>
        <v>31846.8</v>
      </c>
      <c r="H247" s="123">
        <f>SUM(H248)+H249</f>
        <v>5907.9</v>
      </c>
      <c r="I247" s="361">
        <f t="shared" si="3"/>
        <v>18.551000414484342</v>
      </c>
    </row>
    <row r="248" spans="1:10" s="14" customFormat="1" ht="28.5" hidden="1">
      <c r="A248" s="260" t="s">
        <v>675</v>
      </c>
      <c r="B248" s="485"/>
      <c r="C248" s="216" t="s">
        <v>118</v>
      </c>
      <c r="D248" s="217" t="s">
        <v>400</v>
      </c>
      <c r="E248" s="217" t="s">
        <v>706</v>
      </c>
      <c r="F248" s="219" t="s">
        <v>107</v>
      </c>
      <c r="G248" s="232"/>
      <c r="H248" s="123"/>
      <c r="I248" s="361" t="e">
        <f t="shared" si="3"/>
        <v>#DIV/0!</v>
      </c>
      <c r="J248" s="14">
        <f>SUM('ведомствен.2015'!G265)</f>
        <v>0</v>
      </c>
    </row>
    <row r="249" spans="1:10" s="14" customFormat="1" ht="28.5">
      <c r="A249" s="116" t="s">
        <v>676</v>
      </c>
      <c r="B249" s="485"/>
      <c r="C249" s="216" t="s">
        <v>118</v>
      </c>
      <c r="D249" s="217" t="s">
        <v>400</v>
      </c>
      <c r="E249" s="217" t="s">
        <v>706</v>
      </c>
      <c r="F249" s="219" t="s">
        <v>489</v>
      </c>
      <c r="G249" s="232">
        <v>31846.8</v>
      </c>
      <c r="H249" s="123">
        <v>5907.9</v>
      </c>
      <c r="I249" s="361">
        <f t="shared" si="3"/>
        <v>18.551000414484342</v>
      </c>
      <c r="J249" s="14">
        <f>SUM('ведомствен.2015'!G266)</f>
        <v>31846.8</v>
      </c>
    </row>
    <row r="250" spans="1:9" s="14" customFormat="1" ht="14.25">
      <c r="A250" s="116" t="s">
        <v>254</v>
      </c>
      <c r="B250" s="242"/>
      <c r="C250" s="216" t="s">
        <v>118</v>
      </c>
      <c r="D250" s="217" t="s">
        <v>400</v>
      </c>
      <c r="E250" s="217" t="s">
        <v>484</v>
      </c>
      <c r="F250" s="219"/>
      <c r="G250" s="232">
        <f>G251</f>
        <v>9110.2</v>
      </c>
      <c r="H250" s="367">
        <f>H251</f>
        <v>6084</v>
      </c>
      <c r="I250" s="361">
        <f t="shared" si="3"/>
        <v>66.78228798489604</v>
      </c>
    </row>
    <row r="251" spans="1:9" s="14" customFormat="1" ht="14.25">
      <c r="A251" s="116" t="s">
        <v>35</v>
      </c>
      <c r="B251" s="242"/>
      <c r="C251" s="216" t="s">
        <v>118</v>
      </c>
      <c r="D251" s="217" t="s">
        <v>400</v>
      </c>
      <c r="E251" s="217" t="s">
        <v>485</v>
      </c>
      <c r="F251" s="219"/>
      <c r="G251" s="232">
        <f>SUM(G252)+G253</f>
        <v>9110.2</v>
      </c>
      <c r="H251" s="367">
        <f>SUM(H252)+H253</f>
        <v>6084</v>
      </c>
      <c r="I251" s="361">
        <f t="shared" si="3"/>
        <v>66.78228798489604</v>
      </c>
    </row>
    <row r="252" spans="1:10" s="14" customFormat="1" ht="28.5" customHeight="1">
      <c r="A252" s="260" t="s">
        <v>675</v>
      </c>
      <c r="B252" s="242"/>
      <c r="C252" s="216" t="s">
        <v>118</v>
      </c>
      <c r="D252" s="217" t="s">
        <v>400</v>
      </c>
      <c r="E252" s="217" t="s">
        <v>485</v>
      </c>
      <c r="F252" s="219" t="s">
        <v>107</v>
      </c>
      <c r="G252" s="232">
        <v>7110.2</v>
      </c>
      <c r="H252" s="367">
        <v>5084</v>
      </c>
      <c r="I252" s="361">
        <f t="shared" si="3"/>
        <v>71.50291131051166</v>
      </c>
      <c r="J252" s="14">
        <f>SUM('ведомствен.2015'!G269)</f>
        <v>7110.2</v>
      </c>
    </row>
    <row r="253" spans="1:10" s="14" customFormat="1" ht="27.75" customHeight="1">
      <c r="A253" s="116" t="s">
        <v>676</v>
      </c>
      <c r="B253" s="242"/>
      <c r="C253" s="216" t="s">
        <v>118</v>
      </c>
      <c r="D253" s="217" t="s">
        <v>400</v>
      </c>
      <c r="E253" s="217" t="s">
        <v>485</v>
      </c>
      <c r="F253" s="219" t="s">
        <v>489</v>
      </c>
      <c r="G253" s="232">
        <v>2000</v>
      </c>
      <c r="H253" s="367">
        <v>1000</v>
      </c>
      <c r="I253" s="361" t="s">
        <v>1121</v>
      </c>
      <c r="J253" s="14">
        <f>SUM('ведомствен.2015'!G270)</f>
        <v>2000</v>
      </c>
    </row>
    <row r="254" spans="1:9" s="14" customFormat="1" ht="27.75" customHeight="1">
      <c r="A254" s="116" t="s">
        <v>481</v>
      </c>
      <c r="B254" s="499"/>
      <c r="C254" s="216" t="s">
        <v>118</v>
      </c>
      <c r="D254" s="217" t="s">
        <v>400</v>
      </c>
      <c r="E254" s="88" t="s">
        <v>116</v>
      </c>
      <c r="F254" s="95"/>
      <c r="G254" s="232">
        <f>SUM(G260)+G255+G257</f>
        <v>29985.4</v>
      </c>
      <c r="H254" s="123">
        <f>SUM(H260)+H255</f>
        <v>728.6999999999999</v>
      </c>
      <c r="I254" s="361">
        <f t="shared" si="3"/>
        <v>2.430182688908602</v>
      </c>
    </row>
    <row r="255" spans="1:9" s="14" customFormat="1" ht="46.5" customHeight="1">
      <c r="A255" s="116" t="s">
        <v>1097</v>
      </c>
      <c r="B255" s="499"/>
      <c r="C255" s="216" t="s">
        <v>118</v>
      </c>
      <c r="D255" s="217" t="s">
        <v>400</v>
      </c>
      <c r="E255" s="89" t="s">
        <v>257</v>
      </c>
      <c r="F255" s="95"/>
      <c r="G255" s="232">
        <f>SUM(G256)</f>
        <v>1863.5</v>
      </c>
      <c r="H255" s="123">
        <f>SUM(H256)</f>
        <v>724.9</v>
      </c>
      <c r="I255" s="361">
        <f t="shared" si="3"/>
        <v>38.89991950630534</v>
      </c>
    </row>
    <row r="256" spans="1:10" s="14" customFormat="1" ht="27.75" customHeight="1">
      <c r="A256" s="116" t="s">
        <v>676</v>
      </c>
      <c r="B256" s="499"/>
      <c r="C256" s="216" t="s">
        <v>118</v>
      </c>
      <c r="D256" s="217" t="s">
        <v>400</v>
      </c>
      <c r="E256" s="89" t="s">
        <v>257</v>
      </c>
      <c r="F256" s="95" t="s">
        <v>489</v>
      </c>
      <c r="G256" s="232">
        <v>1863.5</v>
      </c>
      <c r="H256" s="123">
        <v>724.9</v>
      </c>
      <c r="I256" s="361">
        <f t="shared" si="3"/>
        <v>38.89991950630534</v>
      </c>
      <c r="J256" s="14">
        <f>SUM('ведомствен.2015'!G273)</f>
        <v>1863.5</v>
      </c>
    </row>
    <row r="257" spans="1:9" s="14" customFormat="1" ht="27.75" customHeight="1">
      <c r="A257" s="116" t="s">
        <v>1209</v>
      </c>
      <c r="B257" s="499"/>
      <c r="C257" s="216" t="s">
        <v>118</v>
      </c>
      <c r="D257" s="217" t="s">
        <v>400</v>
      </c>
      <c r="E257" s="89" t="s">
        <v>1210</v>
      </c>
      <c r="F257" s="95"/>
      <c r="G257" s="232">
        <f>SUM(G258)</f>
        <v>28091.9</v>
      </c>
      <c r="H257" s="123"/>
      <c r="I257" s="361"/>
    </row>
    <row r="258" spans="1:10" s="14" customFormat="1" ht="27.75" customHeight="1">
      <c r="A258" s="116" t="s">
        <v>434</v>
      </c>
      <c r="B258" s="499"/>
      <c r="C258" s="216" t="s">
        <v>118</v>
      </c>
      <c r="D258" s="217" t="s">
        <v>400</v>
      </c>
      <c r="E258" s="89" t="s">
        <v>1210</v>
      </c>
      <c r="F258" s="95" t="s">
        <v>152</v>
      </c>
      <c r="G258" s="232">
        <v>28091.9</v>
      </c>
      <c r="H258" s="123"/>
      <c r="I258" s="361"/>
      <c r="J258" s="14">
        <f>SUM('ведомствен.2015'!G275)</f>
        <v>28091.9</v>
      </c>
    </row>
    <row r="259" spans="1:9" s="14" customFormat="1" ht="27.75" customHeight="1">
      <c r="A259" s="116" t="s">
        <v>1096</v>
      </c>
      <c r="B259" s="499"/>
      <c r="C259" s="216" t="s">
        <v>118</v>
      </c>
      <c r="D259" s="217" t="s">
        <v>400</v>
      </c>
      <c r="E259" s="89" t="s">
        <v>556</v>
      </c>
      <c r="F259" s="95"/>
      <c r="G259" s="232">
        <f>SUM(G260)</f>
        <v>30</v>
      </c>
      <c r="H259" s="123">
        <f>SUM(H260)</f>
        <v>3.8</v>
      </c>
      <c r="I259" s="361">
        <f t="shared" si="3"/>
        <v>12.666666666666664</v>
      </c>
    </row>
    <row r="260" spans="1:9" s="14" customFormat="1" ht="27.75" customHeight="1">
      <c r="A260" s="116" t="s">
        <v>1095</v>
      </c>
      <c r="B260" s="499"/>
      <c r="C260" s="216" t="s">
        <v>118</v>
      </c>
      <c r="D260" s="217" t="s">
        <v>400</v>
      </c>
      <c r="E260" s="89" t="s">
        <v>36</v>
      </c>
      <c r="F260" s="95"/>
      <c r="G260" s="232">
        <f>G261</f>
        <v>30</v>
      </c>
      <c r="H260" s="123">
        <f>H261</f>
        <v>3.8</v>
      </c>
      <c r="I260" s="361">
        <f t="shared" si="3"/>
        <v>12.666666666666664</v>
      </c>
    </row>
    <row r="261" spans="1:10" s="14" customFormat="1" ht="27.75" customHeight="1">
      <c r="A261" s="116" t="s">
        <v>676</v>
      </c>
      <c r="B261" s="499"/>
      <c r="C261" s="216" t="s">
        <v>118</v>
      </c>
      <c r="D261" s="217" t="s">
        <v>400</v>
      </c>
      <c r="E261" s="89" t="s">
        <v>36</v>
      </c>
      <c r="F261" s="95" t="s">
        <v>489</v>
      </c>
      <c r="G261" s="232">
        <v>30</v>
      </c>
      <c r="H261" s="123">
        <v>3.8</v>
      </c>
      <c r="I261" s="361">
        <f t="shared" si="3"/>
        <v>12.666666666666664</v>
      </c>
      <c r="J261" s="14">
        <f>SUM('ведомствен.2015'!G278)</f>
        <v>30</v>
      </c>
    </row>
    <row r="262" spans="1:9" s="14" customFormat="1" ht="14.25">
      <c r="A262" s="116" t="s">
        <v>37</v>
      </c>
      <c r="B262" s="242"/>
      <c r="C262" s="216" t="s">
        <v>118</v>
      </c>
      <c r="D262" s="217" t="s">
        <v>95</v>
      </c>
      <c r="E262" s="217"/>
      <c r="F262" s="219"/>
      <c r="G262" s="232">
        <f>G263+G274</f>
        <v>64525.6</v>
      </c>
      <c r="H262" s="367">
        <f>H263+H274</f>
        <v>36879.100000000006</v>
      </c>
      <c r="I262" s="361">
        <f t="shared" si="3"/>
        <v>57.15421476127306</v>
      </c>
    </row>
    <row r="263" spans="1:10" s="14" customFormat="1" ht="14.25">
      <c r="A263" s="116" t="s">
        <v>37</v>
      </c>
      <c r="B263" s="128"/>
      <c r="C263" s="216" t="s">
        <v>118</v>
      </c>
      <c r="D263" s="217" t="s">
        <v>95</v>
      </c>
      <c r="E263" s="89" t="s">
        <v>65</v>
      </c>
      <c r="F263" s="95"/>
      <c r="G263" s="232">
        <f>G264+G268+G272+G266</f>
        <v>59827.1</v>
      </c>
      <c r="H263" s="367">
        <f>H264+H268+H272+H266</f>
        <v>34945.8</v>
      </c>
      <c r="I263" s="361">
        <f t="shared" si="3"/>
        <v>58.41132195944648</v>
      </c>
      <c r="J263" s="21"/>
    </row>
    <row r="264" spans="1:10" s="14" customFormat="1" ht="14.25">
      <c r="A264" s="266" t="s">
        <v>66</v>
      </c>
      <c r="B264" s="128"/>
      <c r="C264" s="216" t="s">
        <v>118</v>
      </c>
      <c r="D264" s="217" t="s">
        <v>95</v>
      </c>
      <c r="E264" s="89" t="s">
        <v>67</v>
      </c>
      <c r="F264" s="95"/>
      <c r="G264" s="232">
        <f>SUM(G265)</f>
        <v>39158.9</v>
      </c>
      <c r="H264" s="367">
        <f>SUM(H265)</f>
        <v>23201</v>
      </c>
      <c r="I264" s="361">
        <f t="shared" si="3"/>
        <v>59.24834456534786</v>
      </c>
      <c r="J264" s="21"/>
    </row>
    <row r="265" spans="1:10" s="14" customFormat="1" ht="28.5">
      <c r="A265" s="260" t="s">
        <v>675</v>
      </c>
      <c r="B265" s="128"/>
      <c r="C265" s="216" t="s">
        <v>118</v>
      </c>
      <c r="D265" s="217" t="s">
        <v>95</v>
      </c>
      <c r="E265" s="89" t="s">
        <v>67</v>
      </c>
      <c r="F265" s="95" t="s">
        <v>107</v>
      </c>
      <c r="G265" s="232">
        <v>39158.9</v>
      </c>
      <c r="H265" s="367">
        <v>23201</v>
      </c>
      <c r="I265" s="361">
        <f t="shared" si="3"/>
        <v>59.24834456534786</v>
      </c>
      <c r="J265" s="14">
        <f>SUM('ведомствен.2015'!G282)</f>
        <v>39158.9</v>
      </c>
    </row>
    <row r="266" spans="1:9" s="14" customFormat="1" ht="14.25">
      <c r="A266" s="116" t="s">
        <v>1111</v>
      </c>
      <c r="B266" s="128"/>
      <c r="C266" s="216" t="s">
        <v>118</v>
      </c>
      <c r="D266" s="217" t="s">
        <v>95</v>
      </c>
      <c r="E266" s="89" t="s">
        <v>1112</v>
      </c>
      <c r="F266" s="95"/>
      <c r="G266" s="232">
        <f>SUM(G267)</f>
        <v>2601.7</v>
      </c>
      <c r="H266" s="367">
        <f>SUM(H267)</f>
        <v>2239.6</v>
      </c>
      <c r="I266" s="361"/>
    </row>
    <row r="267" spans="1:10" s="14" customFormat="1" ht="28.5">
      <c r="A267" s="116" t="s">
        <v>450</v>
      </c>
      <c r="B267" s="128"/>
      <c r="C267" s="216" t="s">
        <v>118</v>
      </c>
      <c r="D267" s="217" t="s">
        <v>95</v>
      </c>
      <c r="E267" s="89" t="s">
        <v>1112</v>
      </c>
      <c r="F267" s="95" t="s">
        <v>107</v>
      </c>
      <c r="G267" s="232">
        <v>2601.7</v>
      </c>
      <c r="H267" s="367">
        <v>2239.6</v>
      </c>
      <c r="I267" s="361"/>
      <c r="J267" s="14">
        <f>SUM('ведомствен.2015'!G284)</f>
        <v>2601.7</v>
      </c>
    </row>
    <row r="268" spans="1:9" s="14" customFormat="1" ht="28.5">
      <c r="A268" s="116" t="s">
        <v>524</v>
      </c>
      <c r="B268" s="128"/>
      <c r="C268" s="216" t="s">
        <v>118</v>
      </c>
      <c r="D268" s="217" t="s">
        <v>95</v>
      </c>
      <c r="E268" s="89" t="s">
        <v>34</v>
      </c>
      <c r="F268" s="95"/>
      <c r="G268" s="232">
        <f>G269</f>
        <v>17868.1</v>
      </c>
      <c r="H268" s="367">
        <f>H269</f>
        <v>9505.2</v>
      </c>
      <c r="I268" s="361">
        <f t="shared" si="3"/>
        <v>53.19647864070607</v>
      </c>
    </row>
    <row r="269" spans="1:10" s="14" customFormat="1" ht="28.5">
      <c r="A269" s="260" t="s">
        <v>675</v>
      </c>
      <c r="B269" s="128"/>
      <c r="C269" s="216" t="s">
        <v>118</v>
      </c>
      <c r="D269" s="217" t="s">
        <v>95</v>
      </c>
      <c r="E269" s="89" t="s">
        <v>34</v>
      </c>
      <c r="F269" s="95" t="s">
        <v>107</v>
      </c>
      <c r="G269" s="232">
        <v>17868.1</v>
      </c>
      <c r="H269" s="367">
        <v>9505.2</v>
      </c>
      <c r="I269" s="361">
        <f t="shared" si="3"/>
        <v>53.19647864070607</v>
      </c>
      <c r="J269" s="205">
        <f>SUM('ведомствен.2015'!G286)</f>
        <v>17868.1</v>
      </c>
    </row>
    <row r="270" spans="1:9" s="14" customFormat="1" ht="28.5" hidden="1">
      <c r="A270" s="116" t="s">
        <v>448</v>
      </c>
      <c r="B270" s="128"/>
      <c r="C270" s="216" t="s">
        <v>118</v>
      </c>
      <c r="D270" s="217" t="s">
        <v>95</v>
      </c>
      <c r="E270" s="89" t="s">
        <v>34</v>
      </c>
      <c r="F270" s="95" t="s">
        <v>449</v>
      </c>
      <c r="G270" s="232"/>
      <c r="H270" s="367"/>
      <c r="I270" s="361" t="e">
        <f t="shared" si="3"/>
        <v>#DIV/0!</v>
      </c>
    </row>
    <row r="271" spans="1:9" s="14" customFormat="1" ht="28.5" hidden="1">
      <c r="A271" s="116" t="s">
        <v>450</v>
      </c>
      <c r="B271" s="128"/>
      <c r="C271" s="216" t="s">
        <v>118</v>
      </c>
      <c r="D271" s="217" t="s">
        <v>95</v>
      </c>
      <c r="E271" s="89" t="s">
        <v>34</v>
      </c>
      <c r="F271" s="95" t="s">
        <v>451</v>
      </c>
      <c r="G271" s="232"/>
      <c r="H271" s="367"/>
      <c r="I271" s="361" t="e">
        <f t="shared" si="3"/>
        <v>#DIV/0!</v>
      </c>
    </row>
    <row r="272" spans="1:9" s="14" customFormat="1" ht="57">
      <c r="A272" s="265" t="s">
        <v>522</v>
      </c>
      <c r="B272" s="244"/>
      <c r="C272" s="209" t="s">
        <v>118</v>
      </c>
      <c r="D272" s="210" t="s">
        <v>95</v>
      </c>
      <c r="E272" s="88" t="s">
        <v>523</v>
      </c>
      <c r="F272" s="211"/>
      <c r="G272" s="234">
        <f>SUM(G273)</f>
        <v>198.4</v>
      </c>
      <c r="H272" s="293">
        <f>SUM(H273)</f>
        <v>0</v>
      </c>
      <c r="I272" s="361">
        <f t="shared" si="3"/>
        <v>0</v>
      </c>
    </row>
    <row r="273" spans="1:10" s="14" customFormat="1" ht="28.5">
      <c r="A273" s="260" t="s">
        <v>675</v>
      </c>
      <c r="B273" s="128"/>
      <c r="C273" s="216" t="s">
        <v>118</v>
      </c>
      <c r="D273" s="217" t="s">
        <v>95</v>
      </c>
      <c r="E273" s="88" t="s">
        <v>523</v>
      </c>
      <c r="F273" s="95" t="s">
        <v>107</v>
      </c>
      <c r="G273" s="232">
        <v>198.4</v>
      </c>
      <c r="H273" s="367"/>
      <c r="I273" s="361">
        <f t="shared" si="3"/>
        <v>0</v>
      </c>
      <c r="J273" s="14">
        <f>SUM('ведомствен.2015'!G290)</f>
        <v>198.4</v>
      </c>
    </row>
    <row r="274" spans="1:9" s="14" customFormat="1" ht="14.25">
      <c r="A274" s="116" t="s">
        <v>481</v>
      </c>
      <c r="B274" s="499"/>
      <c r="C274" s="216" t="s">
        <v>118</v>
      </c>
      <c r="D274" s="217" t="s">
        <v>95</v>
      </c>
      <c r="E274" s="88" t="s">
        <v>116</v>
      </c>
      <c r="F274" s="95"/>
      <c r="G274" s="232">
        <f>SUM(G277)+G275</f>
        <v>4698.5</v>
      </c>
      <c r="H274" s="123">
        <f>SUM(H277)+H275</f>
        <v>1933.3000000000002</v>
      </c>
      <c r="I274" s="361">
        <f t="shared" si="3"/>
        <v>41.147174630201135</v>
      </c>
    </row>
    <row r="275" spans="1:9" s="14" customFormat="1" ht="42.75">
      <c r="A275" s="116" t="s">
        <v>1101</v>
      </c>
      <c r="B275" s="499"/>
      <c r="C275" s="216" t="s">
        <v>118</v>
      </c>
      <c r="D275" s="217" t="s">
        <v>95</v>
      </c>
      <c r="E275" s="88" t="s">
        <v>1102</v>
      </c>
      <c r="F275" s="95"/>
      <c r="G275" s="232">
        <f>SUM(G276)</f>
        <v>4000</v>
      </c>
      <c r="H275" s="123">
        <f>SUM(H276)</f>
        <v>1234.7</v>
      </c>
      <c r="I275" s="361">
        <f t="shared" si="3"/>
        <v>30.867500000000003</v>
      </c>
    </row>
    <row r="276" spans="1:10" s="14" customFormat="1" ht="28.5">
      <c r="A276" s="260" t="s">
        <v>675</v>
      </c>
      <c r="B276" s="499"/>
      <c r="C276" s="216" t="s">
        <v>118</v>
      </c>
      <c r="D276" s="217" t="s">
        <v>95</v>
      </c>
      <c r="E276" s="88" t="s">
        <v>1102</v>
      </c>
      <c r="F276" s="95" t="s">
        <v>107</v>
      </c>
      <c r="G276" s="232">
        <v>4000</v>
      </c>
      <c r="H276" s="123">
        <v>1234.7</v>
      </c>
      <c r="I276" s="361">
        <f t="shared" si="3"/>
        <v>30.867500000000003</v>
      </c>
      <c r="J276" s="14">
        <f>SUM('ведомствен.2015'!G293)</f>
        <v>4000</v>
      </c>
    </row>
    <row r="277" spans="1:9" s="14" customFormat="1" ht="42.75">
      <c r="A277" s="116" t="s">
        <v>666</v>
      </c>
      <c r="B277" s="499"/>
      <c r="C277" s="216" t="s">
        <v>118</v>
      </c>
      <c r="D277" s="217" t="s">
        <v>95</v>
      </c>
      <c r="E277" s="88" t="s">
        <v>667</v>
      </c>
      <c r="F277" s="95"/>
      <c r="G277" s="232">
        <f>SUM(G278)</f>
        <v>698.5</v>
      </c>
      <c r="H277" s="123">
        <f>SUM(H278)</f>
        <v>698.6</v>
      </c>
      <c r="I277" s="361">
        <f t="shared" si="3"/>
        <v>100.01431639226914</v>
      </c>
    </row>
    <row r="278" spans="1:10" s="14" customFormat="1" ht="28.5">
      <c r="A278" s="260" t="s">
        <v>675</v>
      </c>
      <c r="B278" s="499"/>
      <c r="C278" s="216" t="s">
        <v>118</v>
      </c>
      <c r="D278" s="217" t="s">
        <v>95</v>
      </c>
      <c r="E278" s="88" t="s">
        <v>667</v>
      </c>
      <c r="F278" s="95" t="s">
        <v>107</v>
      </c>
      <c r="G278" s="232">
        <v>698.5</v>
      </c>
      <c r="H278" s="123">
        <v>698.6</v>
      </c>
      <c r="I278" s="361">
        <f t="shared" si="3"/>
        <v>100.01431639226914</v>
      </c>
      <c r="J278" s="14">
        <f>SUM('ведомствен.2015'!G295)</f>
        <v>698.5</v>
      </c>
    </row>
    <row r="279" spans="1:9" s="14" customFormat="1" ht="27.75" customHeight="1">
      <c r="A279" s="116" t="s">
        <v>58</v>
      </c>
      <c r="B279" s="128"/>
      <c r="C279" s="216" t="s">
        <v>118</v>
      </c>
      <c r="D279" s="217" t="s">
        <v>118</v>
      </c>
      <c r="E279" s="89"/>
      <c r="F279" s="95"/>
      <c r="G279" s="232">
        <f>G283+G280</f>
        <v>32029</v>
      </c>
      <c r="H279" s="367">
        <f>H283+H280</f>
        <v>8072.9</v>
      </c>
      <c r="I279" s="361">
        <f t="shared" si="3"/>
        <v>25.20497049548846</v>
      </c>
    </row>
    <row r="280" spans="1:9" s="14" customFormat="1" ht="27.75" customHeight="1">
      <c r="A280" s="116" t="s">
        <v>701</v>
      </c>
      <c r="B280" s="485"/>
      <c r="C280" s="216" t="s">
        <v>118</v>
      </c>
      <c r="D280" s="217" t="s">
        <v>118</v>
      </c>
      <c r="E280" s="217" t="s">
        <v>703</v>
      </c>
      <c r="F280" s="219"/>
      <c r="G280" s="232">
        <f>SUM(G281)</f>
        <v>22496.4</v>
      </c>
      <c r="H280" s="123">
        <f>SUM(H281)</f>
        <v>896.4</v>
      </c>
      <c r="I280" s="361">
        <f t="shared" si="3"/>
        <v>3.9846375420067206</v>
      </c>
    </row>
    <row r="281" spans="1:9" s="14" customFormat="1" ht="28.5">
      <c r="A281" s="116" t="s">
        <v>702</v>
      </c>
      <c r="B281" s="485"/>
      <c r="C281" s="216" t="s">
        <v>118</v>
      </c>
      <c r="D281" s="217" t="s">
        <v>118</v>
      </c>
      <c r="E281" s="217" t="s">
        <v>704</v>
      </c>
      <c r="F281" s="219"/>
      <c r="G281" s="232">
        <f>SUM(G282)</f>
        <v>22496.4</v>
      </c>
      <c r="H281" s="123">
        <f>SUM(H282)</f>
        <v>896.4</v>
      </c>
      <c r="I281" s="361">
        <f t="shared" si="3"/>
        <v>3.9846375420067206</v>
      </c>
    </row>
    <row r="282" spans="1:10" s="14" customFormat="1" ht="28.5">
      <c r="A282" s="116" t="s">
        <v>676</v>
      </c>
      <c r="B282" s="499"/>
      <c r="C282" s="216" t="s">
        <v>118</v>
      </c>
      <c r="D282" s="217" t="s">
        <v>118</v>
      </c>
      <c r="E282" s="217" t="s">
        <v>704</v>
      </c>
      <c r="F282" s="95" t="s">
        <v>489</v>
      </c>
      <c r="G282" s="232">
        <v>22496.4</v>
      </c>
      <c r="H282" s="123">
        <v>896.4</v>
      </c>
      <c r="I282" s="361">
        <f aca="true" t="shared" si="4" ref="I282:I349">SUM(H282/G282*100)</f>
        <v>3.9846375420067206</v>
      </c>
      <c r="J282" s="14">
        <f>SUM('ведомствен.2015'!G299)</f>
        <v>22496.4</v>
      </c>
    </row>
    <row r="283" spans="1:9" s="14" customFormat="1" ht="14.25">
      <c r="A283" s="116" t="s">
        <v>481</v>
      </c>
      <c r="B283" s="128"/>
      <c r="C283" s="216" t="s">
        <v>118</v>
      </c>
      <c r="D283" s="217" t="s">
        <v>118</v>
      </c>
      <c r="E283" s="89" t="s">
        <v>116</v>
      </c>
      <c r="F283" s="95"/>
      <c r="G283" s="232">
        <f>G284+G286+G288+G292+G290</f>
        <v>9532.6</v>
      </c>
      <c r="H283" s="367">
        <f>H284+H286+H288+H292+H290</f>
        <v>7176.5</v>
      </c>
      <c r="I283" s="361">
        <f t="shared" si="4"/>
        <v>75.283763086671</v>
      </c>
    </row>
    <row r="284" spans="1:9" s="14" customFormat="1" ht="28.5" hidden="1">
      <c r="A284" s="266" t="s">
        <v>486</v>
      </c>
      <c r="B284" s="128"/>
      <c r="C284" s="216" t="s">
        <v>118</v>
      </c>
      <c r="D284" s="217" t="s">
        <v>118</v>
      </c>
      <c r="E284" s="89" t="s">
        <v>12</v>
      </c>
      <c r="F284" s="95"/>
      <c r="G284" s="232">
        <f>G285</f>
        <v>0</v>
      </c>
      <c r="H284" s="367">
        <f>H285</f>
        <v>0</v>
      </c>
      <c r="I284" s="361" t="e">
        <f t="shared" si="4"/>
        <v>#DIV/0!</v>
      </c>
    </row>
    <row r="285" spans="1:10" ht="28.5" hidden="1">
      <c r="A285" s="116" t="s">
        <v>454</v>
      </c>
      <c r="B285" s="128"/>
      <c r="C285" s="216" t="s">
        <v>118</v>
      </c>
      <c r="D285" s="217" t="s">
        <v>118</v>
      </c>
      <c r="E285" s="89" t="s">
        <v>12</v>
      </c>
      <c r="F285" s="95" t="s">
        <v>445</v>
      </c>
      <c r="G285" s="232"/>
      <c r="H285" s="367"/>
      <c r="I285" s="361" t="e">
        <f t="shared" si="4"/>
        <v>#DIV/0!</v>
      </c>
      <c r="J285" s="14">
        <f>SUM('ведомствен.2015'!G302)</f>
        <v>0</v>
      </c>
    </row>
    <row r="286" spans="1:10" ht="28.5">
      <c r="A286" s="266" t="s">
        <v>1113</v>
      </c>
      <c r="B286" s="128"/>
      <c r="C286" s="216" t="s">
        <v>487</v>
      </c>
      <c r="D286" s="217" t="s">
        <v>118</v>
      </c>
      <c r="E286" s="89" t="s">
        <v>1114</v>
      </c>
      <c r="F286" s="95"/>
      <c r="G286" s="232">
        <f>G287</f>
        <v>228.9</v>
      </c>
      <c r="H286" s="367">
        <f>H287</f>
        <v>228.9</v>
      </c>
      <c r="I286" s="361"/>
      <c r="J286"/>
    </row>
    <row r="287" spans="1:10" ht="28.5">
      <c r="A287" s="116" t="s">
        <v>488</v>
      </c>
      <c r="B287" s="128"/>
      <c r="C287" s="216" t="s">
        <v>487</v>
      </c>
      <c r="D287" s="217" t="s">
        <v>118</v>
      </c>
      <c r="E287" s="89" t="s">
        <v>1114</v>
      </c>
      <c r="F287" s="95" t="s">
        <v>489</v>
      </c>
      <c r="G287" s="232">
        <v>228.9</v>
      </c>
      <c r="H287" s="367">
        <v>228.9</v>
      </c>
      <c r="I287" s="361"/>
      <c r="J287" s="14">
        <f>SUM('ведомствен.2015'!G304)</f>
        <v>228.9</v>
      </c>
    </row>
    <row r="288" spans="1:10" ht="42.75">
      <c r="A288" s="116" t="s">
        <v>718</v>
      </c>
      <c r="B288" s="128"/>
      <c r="C288" s="216" t="s">
        <v>118</v>
      </c>
      <c r="D288" s="217" t="s">
        <v>118</v>
      </c>
      <c r="E288" s="89" t="s">
        <v>36</v>
      </c>
      <c r="F288" s="95"/>
      <c r="G288" s="232">
        <f>G289</f>
        <v>3449.7</v>
      </c>
      <c r="H288" s="367">
        <f>H289</f>
        <v>3121.9</v>
      </c>
      <c r="I288" s="361">
        <f t="shared" si="4"/>
        <v>90.49772443980638</v>
      </c>
      <c r="J288"/>
    </row>
    <row r="289" spans="1:10" ht="28.5">
      <c r="A289" s="116" t="s">
        <v>676</v>
      </c>
      <c r="B289" s="128"/>
      <c r="C289" s="216" t="s">
        <v>118</v>
      </c>
      <c r="D289" s="217" t="s">
        <v>118</v>
      </c>
      <c r="E289" s="89" t="s">
        <v>36</v>
      </c>
      <c r="F289" s="95" t="s">
        <v>489</v>
      </c>
      <c r="G289" s="232">
        <v>3449.7</v>
      </c>
      <c r="H289" s="367">
        <v>3121.9</v>
      </c>
      <c r="I289" s="361">
        <f t="shared" si="4"/>
        <v>90.49772443980638</v>
      </c>
      <c r="J289" s="14">
        <f>SUM('ведомствен.2015'!G307)</f>
        <v>3449.7</v>
      </c>
    </row>
    <row r="290" spans="1:10" ht="57">
      <c r="A290" s="116" t="s">
        <v>1115</v>
      </c>
      <c r="B290" s="128"/>
      <c r="C290" s="216" t="s">
        <v>118</v>
      </c>
      <c r="D290" s="217" t="s">
        <v>118</v>
      </c>
      <c r="E290" s="89" t="s">
        <v>1116</v>
      </c>
      <c r="F290" s="95"/>
      <c r="G290" s="232">
        <f>SUM(G291)</f>
        <v>705</v>
      </c>
      <c r="H290" s="367">
        <f>SUM(H291)</f>
        <v>71.6</v>
      </c>
      <c r="I290" s="361"/>
      <c r="J290" s="14"/>
    </row>
    <row r="291" spans="1:10" ht="28.5">
      <c r="A291" s="116" t="s">
        <v>676</v>
      </c>
      <c r="B291" s="128"/>
      <c r="C291" s="216" t="s">
        <v>118</v>
      </c>
      <c r="D291" s="217" t="s">
        <v>118</v>
      </c>
      <c r="E291" s="89" t="s">
        <v>1116</v>
      </c>
      <c r="F291" s="95" t="s">
        <v>489</v>
      </c>
      <c r="G291" s="232">
        <v>705</v>
      </c>
      <c r="H291" s="367">
        <v>71.6</v>
      </c>
      <c r="I291" s="361"/>
      <c r="J291" s="14">
        <f>SUM('ведомствен.2015'!G309)</f>
        <v>705</v>
      </c>
    </row>
    <row r="292" spans="1:10" ht="28.5">
      <c r="A292" s="266" t="s">
        <v>717</v>
      </c>
      <c r="B292" s="128"/>
      <c r="C292" s="216" t="s">
        <v>118</v>
      </c>
      <c r="D292" s="217" t="s">
        <v>118</v>
      </c>
      <c r="E292" s="89" t="s">
        <v>48</v>
      </c>
      <c r="F292" s="95"/>
      <c r="G292" s="232">
        <f>G293+G294</f>
        <v>5149</v>
      </c>
      <c r="H292" s="367">
        <f>H293+H294</f>
        <v>3754.1</v>
      </c>
      <c r="I292" s="361">
        <f t="shared" si="4"/>
        <v>72.9093027772383</v>
      </c>
      <c r="J292"/>
    </row>
    <row r="293" spans="1:10" ht="28.5">
      <c r="A293" s="116" t="s">
        <v>676</v>
      </c>
      <c r="B293" s="128"/>
      <c r="C293" s="216" t="s">
        <v>118</v>
      </c>
      <c r="D293" s="217" t="s">
        <v>118</v>
      </c>
      <c r="E293" s="89" t="s">
        <v>48</v>
      </c>
      <c r="F293" s="95" t="s">
        <v>489</v>
      </c>
      <c r="G293" s="232">
        <v>4949</v>
      </c>
      <c r="H293" s="367">
        <v>3554.1</v>
      </c>
      <c r="I293" s="361">
        <f t="shared" si="4"/>
        <v>71.81450798141039</v>
      </c>
      <c r="J293" s="14">
        <f>SUM('ведомствен.2015'!G311)</f>
        <v>4949</v>
      </c>
    </row>
    <row r="294" spans="1:10" ht="28.5">
      <c r="A294" s="265" t="s">
        <v>454</v>
      </c>
      <c r="B294" s="128"/>
      <c r="C294" s="216" t="s">
        <v>118</v>
      </c>
      <c r="D294" s="217" t="s">
        <v>118</v>
      </c>
      <c r="E294" s="89" t="s">
        <v>48</v>
      </c>
      <c r="F294" s="95" t="s">
        <v>445</v>
      </c>
      <c r="G294" s="232">
        <v>200</v>
      </c>
      <c r="H294" s="367">
        <v>200</v>
      </c>
      <c r="I294" s="361"/>
      <c r="J294" s="14">
        <f>SUM('ведомствен.2015'!G312)</f>
        <v>200</v>
      </c>
    </row>
    <row r="295" spans="1:12" ht="15">
      <c r="A295" s="263" t="s">
        <v>61</v>
      </c>
      <c r="B295" s="243"/>
      <c r="C295" s="97" t="s">
        <v>334</v>
      </c>
      <c r="D295" s="90"/>
      <c r="E295" s="90"/>
      <c r="F295" s="99"/>
      <c r="G295" s="233">
        <f>SUM(G296)</f>
        <v>6220.500000000001</v>
      </c>
      <c r="H295" s="368">
        <f>SUM(H296)</f>
        <v>3708.1</v>
      </c>
      <c r="I295" s="362">
        <f t="shared" si="4"/>
        <v>59.610963748894775</v>
      </c>
      <c r="J295"/>
      <c r="K295">
        <f>SUM(J296:J306)</f>
        <v>6220.500000000001</v>
      </c>
      <c r="L295">
        <f>SUM('ведомствен.2015'!G313)</f>
        <v>6220.500000000001</v>
      </c>
    </row>
    <row r="296" spans="1:10" ht="14.25">
      <c r="A296" s="260" t="s">
        <v>61</v>
      </c>
      <c r="B296" s="240"/>
      <c r="C296" s="45" t="s">
        <v>334</v>
      </c>
      <c r="D296" s="55"/>
      <c r="E296" s="55"/>
      <c r="F296" s="94"/>
      <c r="G296" s="129">
        <f>SUM(G297)+G302</f>
        <v>6220.500000000001</v>
      </c>
      <c r="H296" s="118">
        <f>SUM(H297)+H302</f>
        <v>3708.1</v>
      </c>
      <c r="I296" s="361">
        <f t="shared" si="4"/>
        <v>59.610963748894775</v>
      </c>
      <c r="J296"/>
    </row>
    <row r="297" spans="1:9" s="17" customFormat="1" ht="14.25">
      <c r="A297" s="116" t="s">
        <v>62</v>
      </c>
      <c r="B297" s="242"/>
      <c r="C297" s="216" t="s">
        <v>334</v>
      </c>
      <c r="D297" s="217" t="s">
        <v>95</v>
      </c>
      <c r="E297" s="217" t="s">
        <v>490</v>
      </c>
      <c r="F297" s="219"/>
      <c r="G297" s="232">
        <f>SUM(G298)</f>
        <v>5351.500000000001</v>
      </c>
      <c r="H297" s="367">
        <f>SUM(H298)</f>
        <v>3322.9</v>
      </c>
      <c r="I297" s="361">
        <f t="shared" si="4"/>
        <v>62.09287115761934</v>
      </c>
    </row>
    <row r="298" spans="1:10" ht="28.5">
      <c r="A298" s="116" t="s">
        <v>50</v>
      </c>
      <c r="B298" s="242"/>
      <c r="C298" s="216" t="s">
        <v>334</v>
      </c>
      <c r="D298" s="217" t="s">
        <v>95</v>
      </c>
      <c r="E298" s="217" t="s">
        <v>491</v>
      </c>
      <c r="F298" s="219"/>
      <c r="G298" s="232">
        <f>SUM(G299:G301)</f>
        <v>5351.500000000001</v>
      </c>
      <c r="H298" s="367">
        <f>SUM(H299:H301)</f>
        <v>3322.9</v>
      </c>
      <c r="I298" s="361">
        <f t="shared" si="4"/>
        <v>62.09287115761934</v>
      </c>
      <c r="J298"/>
    </row>
    <row r="299" spans="1:10" ht="28.5">
      <c r="A299" s="116" t="s">
        <v>428</v>
      </c>
      <c r="B299" s="242"/>
      <c r="C299" s="216" t="s">
        <v>334</v>
      </c>
      <c r="D299" s="217" t="s">
        <v>95</v>
      </c>
      <c r="E299" s="217" t="s">
        <v>491</v>
      </c>
      <c r="F299" s="219" t="s">
        <v>429</v>
      </c>
      <c r="G299" s="232">
        <v>4463.3</v>
      </c>
      <c r="H299" s="367">
        <v>2770.8</v>
      </c>
      <c r="I299" s="361">
        <f t="shared" si="4"/>
        <v>62.079627181681715</v>
      </c>
      <c r="J299">
        <f>SUM('ведомствен.2015'!G317)</f>
        <v>4463.3</v>
      </c>
    </row>
    <row r="300" spans="1:10" ht="28.5">
      <c r="A300" s="260" t="s">
        <v>675</v>
      </c>
      <c r="B300" s="242"/>
      <c r="C300" s="216" t="s">
        <v>334</v>
      </c>
      <c r="D300" s="217" t="s">
        <v>95</v>
      </c>
      <c r="E300" s="217" t="s">
        <v>491</v>
      </c>
      <c r="F300" s="219" t="s">
        <v>107</v>
      </c>
      <c r="G300" s="232">
        <v>802.1</v>
      </c>
      <c r="H300" s="367">
        <v>505.2</v>
      </c>
      <c r="I300" s="361">
        <f t="shared" si="4"/>
        <v>62.98466525370902</v>
      </c>
      <c r="J300">
        <f>SUM('ведомствен.2015'!G318)</f>
        <v>802.1</v>
      </c>
    </row>
    <row r="301" spans="1:10" ht="14.25">
      <c r="A301" s="116" t="s">
        <v>434</v>
      </c>
      <c r="B301" s="242"/>
      <c r="C301" s="216" t="s">
        <v>334</v>
      </c>
      <c r="D301" s="217" t="s">
        <v>95</v>
      </c>
      <c r="E301" s="217" t="s">
        <v>491</v>
      </c>
      <c r="F301" s="219" t="s">
        <v>152</v>
      </c>
      <c r="G301" s="232">
        <v>86.1</v>
      </c>
      <c r="H301" s="367">
        <v>46.9</v>
      </c>
      <c r="I301" s="361">
        <f t="shared" si="4"/>
        <v>54.47154471544715</v>
      </c>
      <c r="J301">
        <f>SUM('ведомствен.2015'!G319)</f>
        <v>86.1</v>
      </c>
    </row>
    <row r="302" spans="1:10" ht="14.25">
      <c r="A302" s="116" t="s">
        <v>63</v>
      </c>
      <c r="B302" s="242"/>
      <c r="C302" s="216" t="s">
        <v>334</v>
      </c>
      <c r="D302" s="217" t="s">
        <v>118</v>
      </c>
      <c r="E302" s="221"/>
      <c r="F302" s="219"/>
      <c r="G302" s="232">
        <f>G304</f>
        <v>869</v>
      </c>
      <c r="H302" s="367">
        <f>H304</f>
        <v>385.2</v>
      </c>
      <c r="I302" s="361">
        <f t="shared" si="4"/>
        <v>44.32681242807825</v>
      </c>
      <c r="J302"/>
    </row>
    <row r="303" spans="1:9" ht="14.25">
      <c r="A303" s="116" t="s">
        <v>481</v>
      </c>
      <c r="B303" s="242"/>
      <c r="C303" s="216" t="s">
        <v>334</v>
      </c>
      <c r="D303" s="217" t="s">
        <v>118</v>
      </c>
      <c r="E303" s="89" t="s">
        <v>116</v>
      </c>
      <c r="F303" s="219"/>
      <c r="G303" s="232">
        <f>SUM(G304)</f>
        <v>869</v>
      </c>
      <c r="H303" s="367">
        <f>SUM(H304)</f>
        <v>385.2</v>
      </c>
      <c r="I303" s="361">
        <f t="shared" si="4"/>
        <v>44.32681242807825</v>
      </c>
    </row>
    <row r="304" spans="1:10" ht="15">
      <c r="A304" s="116" t="s">
        <v>547</v>
      </c>
      <c r="B304" s="245"/>
      <c r="C304" s="216" t="s">
        <v>334</v>
      </c>
      <c r="D304" s="217" t="s">
        <v>118</v>
      </c>
      <c r="E304" s="217" t="s">
        <v>64</v>
      </c>
      <c r="F304" s="219"/>
      <c r="G304" s="232">
        <f>G306+G305</f>
        <v>869</v>
      </c>
      <c r="H304" s="367">
        <f>H306+H305</f>
        <v>385.2</v>
      </c>
      <c r="I304" s="361">
        <f t="shared" si="4"/>
        <v>44.32681242807825</v>
      </c>
      <c r="J304"/>
    </row>
    <row r="305" spans="1:10" ht="28.5">
      <c r="A305" s="265" t="s">
        <v>428</v>
      </c>
      <c r="B305" s="245"/>
      <c r="C305" s="216" t="s">
        <v>334</v>
      </c>
      <c r="D305" s="217" t="s">
        <v>118</v>
      </c>
      <c r="E305" s="217" t="s">
        <v>64</v>
      </c>
      <c r="F305" s="219" t="s">
        <v>429</v>
      </c>
      <c r="G305" s="232">
        <v>50.2</v>
      </c>
      <c r="H305" s="367">
        <v>50.2</v>
      </c>
      <c r="I305" s="361"/>
      <c r="J305">
        <f>SUM('ведомствен.2015'!G323)</f>
        <v>50.2</v>
      </c>
    </row>
    <row r="306" spans="1:10" ht="28.5">
      <c r="A306" s="260" t="s">
        <v>675</v>
      </c>
      <c r="B306" s="242"/>
      <c r="C306" s="216" t="s">
        <v>334</v>
      </c>
      <c r="D306" s="217" t="s">
        <v>118</v>
      </c>
      <c r="E306" s="217" t="s">
        <v>64</v>
      </c>
      <c r="F306" s="219" t="s">
        <v>107</v>
      </c>
      <c r="G306" s="232">
        <v>818.8</v>
      </c>
      <c r="H306" s="367">
        <v>335</v>
      </c>
      <c r="I306" s="361">
        <f t="shared" si="4"/>
        <v>40.91353199804592</v>
      </c>
      <c r="J306">
        <f>SUM('ведомствен.2015'!G324)</f>
        <v>818.8</v>
      </c>
    </row>
    <row r="307" spans="1:13" s="18" customFormat="1" ht="15">
      <c r="A307" s="263" t="s">
        <v>103</v>
      </c>
      <c r="B307" s="243"/>
      <c r="C307" s="100" t="s">
        <v>104</v>
      </c>
      <c r="D307" s="91"/>
      <c r="E307" s="91"/>
      <c r="F307" s="98"/>
      <c r="G307" s="233">
        <f>SUM(G308+G346+G431+G460)</f>
        <v>1829090.5</v>
      </c>
      <c r="H307" s="368">
        <f>SUM(H308+H346+H431+H460)</f>
        <v>1238676.31</v>
      </c>
      <c r="I307" s="362">
        <f t="shared" si="4"/>
        <v>67.72088696540712</v>
      </c>
      <c r="K307" s="57">
        <f>SUM(J310:J469)</f>
        <v>1829090.4999999995</v>
      </c>
      <c r="L307" s="57">
        <f>SUM('ведомствен.2015'!G325+'ведомствен.2015'!G422+'ведомствен.2015'!G604+'ведомствен.2015'!G661+'ведомствен.2015'!G826+'ведомствен.2015'!G945)</f>
        <v>1829090.5000000002</v>
      </c>
      <c r="M307" s="57">
        <f>SUM(K307-L307)</f>
        <v>-6.984919309616089E-10</v>
      </c>
    </row>
    <row r="308" spans="1:12" s="18" customFormat="1" ht="15">
      <c r="A308" s="265" t="s">
        <v>285</v>
      </c>
      <c r="B308" s="248"/>
      <c r="C308" s="56" t="s">
        <v>104</v>
      </c>
      <c r="D308" s="88" t="s">
        <v>398</v>
      </c>
      <c r="E308" s="88"/>
      <c r="F308" s="103"/>
      <c r="G308" s="132">
        <f>SUM(G309+G338)+G324</f>
        <v>665024.5</v>
      </c>
      <c r="H308" s="125">
        <f>SUM(H309+H338)+H324</f>
        <v>439691.20999999996</v>
      </c>
      <c r="I308" s="361">
        <f t="shared" si="4"/>
        <v>66.11654307472882</v>
      </c>
      <c r="L308" s="52">
        <f>SUM(G307-L307)</f>
        <v>-2.3283064365386963E-10</v>
      </c>
    </row>
    <row r="309" spans="1:12" s="18" customFormat="1" ht="15">
      <c r="A309" s="265" t="s">
        <v>286</v>
      </c>
      <c r="B309" s="248"/>
      <c r="C309" s="56" t="s">
        <v>104</v>
      </c>
      <c r="D309" s="88" t="s">
        <v>398</v>
      </c>
      <c r="E309" s="88" t="s">
        <v>287</v>
      </c>
      <c r="F309" s="103"/>
      <c r="G309" s="132">
        <f>SUM(G310+G320)</f>
        <v>178765</v>
      </c>
      <c r="H309" s="125">
        <f>SUM(H310+H320)</f>
        <v>144303.59999999998</v>
      </c>
      <c r="I309" s="361">
        <f t="shared" si="4"/>
        <v>80.72251279612898</v>
      </c>
      <c r="K309" s="18">
        <f>SUM(J309:J345)</f>
        <v>665024.5</v>
      </c>
      <c r="L309" s="18">
        <f>SUM('ведомствен.2015'!G662)</f>
        <v>665024.5</v>
      </c>
    </row>
    <row r="310" spans="1:12" ht="28.5">
      <c r="A310" s="265" t="s">
        <v>525</v>
      </c>
      <c r="B310" s="248"/>
      <c r="C310" s="56" t="s">
        <v>104</v>
      </c>
      <c r="D310" s="88" t="s">
        <v>398</v>
      </c>
      <c r="E310" s="88" t="s">
        <v>78</v>
      </c>
      <c r="F310" s="103"/>
      <c r="G310" s="132">
        <f>SUM(G311+G313)</f>
        <v>146550.9</v>
      </c>
      <c r="H310" s="125">
        <f>SUM(H311+H313)</f>
        <v>120428.9</v>
      </c>
      <c r="I310" s="361">
        <f t="shared" si="4"/>
        <v>82.17547623385458</v>
      </c>
      <c r="J310"/>
      <c r="K310" s="283">
        <f aca="true" t="shared" si="5" ref="K310:K373">SUM(G310-J310)</f>
        <v>146550.9</v>
      </c>
      <c r="L310" s="43">
        <f>SUM(K309-G308)</f>
        <v>0</v>
      </c>
    </row>
    <row r="311" spans="1:11" ht="28.5">
      <c r="A311" s="265" t="s">
        <v>175</v>
      </c>
      <c r="B311" s="248"/>
      <c r="C311" s="56" t="s">
        <v>104</v>
      </c>
      <c r="D311" s="88" t="s">
        <v>398</v>
      </c>
      <c r="E311" s="88" t="s">
        <v>79</v>
      </c>
      <c r="F311" s="103"/>
      <c r="G311" s="132">
        <f>SUM(G312)</f>
        <v>144490.3</v>
      </c>
      <c r="H311" s="125">
        <f>SUM(H312)</f>
        <v>119165.9</v>
      </c>
      <c r="I311" s="361">
        <f t="shared" si="4"/>
        <v>82.47328713415365</v>
      </c>
      <c r="J311"/>
      <c r="K311" s="283">
        <f t="shared" si="5"/>
        <v>144490.3</v>
      </c>
    </row>
    <row r="312" spans="1:11" ht="28.5">
      <c r="A312" s="265" t="s">
        <v>454</v>
      </c>
      <c r="B312" s="248"/>
      <c r="C312" s="56" t="s">
        <v>104</v>
      </c>
      <c r="D312" s="88" t="s">
        <v>398</v>
      </c>
      <c r="E312" s="88" t="s">
        <v>79</v>
      </c>
      <c r="F312" s="103" t="s">
        <v>445</v>
      </c>
      <c r="G312" s="132">
        <v>144490.3</v>
      </c>
      <c r="H312" s="125">
        <v>119165.9</v>
      </c>
      <c r="I312" s="361">
        <f t="shared" si="4"/>
        <v>82.47328713415365</v>
      </c>
      <c r="J312">
        <f>SUM('ведомствен.2015'!G666)</f>
        <v>144490.3</v>
      </c>
      <c r="K312" s="283">
        <f t="shared" si="5"/>
        <v>0</v>
      </c>
    </row>
    <row r="313" spans="1:11" ht="15">
      <c r="A313" s="115" t="s">
        <v>140</v>
      </c>
      <c r="B313" s="249"/>
      <c r="C313" s="135" t="s">
        <v>104</v>
      </c>
      <c r="D313" s="112" t="s">
        <v>398</v>
      </c>
      <c r="E313" s="112" t="s">
        <v>607</v>
      </c>
      <c r="F313" s="114"/>
      <c r="G313" s="133">
        <f>SUM(G319)+G316+G314</f>
        <v>2060.6</v>
      </c>
      <c r="H313" s="354">
        <f>SUM(H319)+H316+H314</f>
        <v>1263</v>
      </c>
      <c r="I313" s="361">
        <f t="shared" si="4"/>
        <v>61.2928273318451</v>
      </c>
      <c r="J313"/>
      <c r="K313" s="283">
        <f t="shared" si="5"/>
        <v>2060.6</v>
      </c>
    </row>
    <row r="314" spans="1:11" ht="28.5">
      <c r="A314" s="265" t="s">
        <v>128</v>
      </c>
      <c r="B314" s="249"/>
      <c r="C314" s="135" t="s">
        <v>104</v>
      </c>
      <c r="D314" s="112" t="s">
        <v>398</v>
      </c>
      <c r="E314" s="112" t="s">
        <v>1117</v>
      </c>
      <c r="F314" s="114"/>
      <c r="G314" s="133">
        <f>SUM(G315)</f>
        <v>24.2</v>
      </c>
      <c r="H314" s="354">
        <f>SUM(H315)</f>
        <v>24.2</v>
      </c>
      <c r="I314" s="361"/>
      <c r="J314"/>
      <c r="K314" s="283">
        <f t="shared" si="5"/>
        <v>24.2</v>
      </c>
    </row>
    <row r="315" spans="1:11" ht="28.5">
      <c r="A315" s="265" t="s">
        <v>447</v>
      </c>
      <c r="B315" s="249"/>
      <c r="C315" s="135" t="s">
        <v>104</v>
      </c>
      <c r="D315" s="112" t="s">
        <v>398</v>
      </c>
      <c r="E315" s="112" t="s">
        <v>1117</v>
      </c>
      <c r="F315" s="114" t="s">
        <v>445</v>
      </c>
      <c r="G315" s="133">
        <v>24.2</v>
      </c>
      <c r="H315" s="354">
        <v>24.2</v>
      </c>
      <c r="I315" s="361"/>
      <c r="J315">
        <f>SUM('ведомствен.2015'!G669)</f>
        <v>24.2</v>
      </c>
      <c r="K315" s="283">
        <f t="shared" si="5"/>
        <v>0</v>
      </c>
    </row>
    <row r="316" spans="1:11" ht="28.5">
      <c r="A316" s="116" t="s">
        <v>355</v>
      </c>
      <c r="B316" s="301"/>
      <c r="C316" s="54" t="s">
        <v>104</v>
      </c>
      <c r="D316" s="89" t="s">
        <v>398</v>
      </c>
      <c r="E316" s="112" t="s">
        <v>1058</v>
      </c>
      <c r="F316" s="95"/>
      <c r="G316" s="129">
        <f>SUM(G317)</f>
        <v>330</v>
      </c>
      <c r="H316" s="118">
        <f>SUM(H317)</f>
        <v>280</v>
      </c>
      <c r="I316" s="361">
        <f t="shared" si="4"/>
        <v>84.84848484848484</v>
      </c>
      <c r="J316"/>
      <c r="K316" s="283">
        <f t="shared" si="5"/>
        <v>330</v>
      </c>
    </row>
    <row r="317" spans="1:11" ht="28.5">
      <c r="A317" s="116" t="s">
        <v>454</v>
      </c>
      <c r="B317" s="301"/>
      <c r="C317" s="54" t="s">
        <v>104</v>
      </c>
      <c r="D317" s="89" t="s">
        <v>398</v>
      </c>
      <c r="E317" s="112" t="s">
        <v>1058</v>
      </c>
      <c r="F317" s="95" t="s">
        <v>445</v>
      </c>
      <c r="G317" s="129">
        <v>330</v>
      </c>
      <c r="H317" s="118">
        <v>280</v>
      </c>
      <c r="I317" s="361">
        <f t="shared" si="4"/>
        <v>84.84848484848484</v>
      </c>
      <c r="J317">
        <f>SUM('ведомствен.2015'!G671)</f>
        <v>330</v>
      </c>
      <c r="K317" s="283">
        <f t="shared" si="5"/>
        <v>0</v>
      </c>
    </row>
    <row r="318" spans="1:11" ht="28.5">
      <c r="A318" s="115" t="s">
        <v>137</v>
      </c>
      <c r="B318" s="249"/>
      <c r="C318" s="135" t="s">
        <v>104</v>
      </c>
      <c r="D318" s="112" t="s">
        <v>398</v>
      </c>
      <c r="E318" s="112" t="s">
        <v>608</v>
      </c>
      <c r="F318" s="114"/>
      <c r="G318" s="133">
        <f>SUM(G319)</f>
        <v>1706.4</v>
      </c>
      <c r="H318" s="354">
        <f>SUM(H319)</f>
        <v>958.8</v>
      </c>
      <c r="I318" s="361">
        <f t="shared" si="4"/>
        <v>56.18846694796061</v>
      </c>
      <c r="J318"/>
      <c r="K318" s="283">
        <f t="shared" si="5"/>
        <v>1706.4</v>
      </c>
    </row>
    <row r="319" spans="1:11" s="18" customFormat="1" ht="28.5">
      <c r="A319" s="116" t="s">
        <v>454</v>
      </c>
      <c r="B319" s="249"/>
      <c r="C319" s="135" t="s">
        <v>104</v>
      </c>
      <c r="D319" s="112" t="s">
        <v>398</v>
      </c>
      <c r="E319" s="112" t="s">
        <v>608</v>
      </c>
      <c r="F319" s="95" t="s">
        <v>445</v>
      </c>
      <c r="G319" s="133">
        <v>1706.4</v>
      </c>
      <c r="H319" s="354">
        <v>958.8</v>
      </c>
      <c r="I319" s="361">
        <f t="shared" si="4"/>
        <v>56.18846694796061</v>
      </c>
      <c r="J319">
        <f>SUM('ведомствен.2015'!G673)</f>
        <v>1706.4</v>
      </c>
      <c r="K319" s="283">
        <f t="shared" si="5"/>
        <v>0</v>
      </c>
    </row>
    <row r="320" spans="1:11" s="18" customFormat="1" ht="28.5">
      <c r="A320" s="265" t="s">
        <v>50</v>
      </c>
      <c r="B320" s="248"/>
      <c r="C320" s="56" t="s">
        <v>104</v>
      </c>
      <c r="D320" s="88" t="s">
        <v>398</v>
      </c>
      <c r="E320" s="88" t="s">
        <v>288</v>
      </c>
      <c r="F320" s="103"/>
      <c r="G320" s="132">
        <f>SUM(G321:G323)</f>
        <v>32214.1</v>
      </c>
      <c r="H320" s="125">
        <f>SUM(H321+H322+H323)</f>
        <v>23874.699999999997</v>
      </c>
      <c r="I320" s="361">
        <f t="shared" si="4"/>
        <v>74.11257803260062</v>
      </c>
      <c r="K320" s="283">
        <f t="shared" si="5"/>
        <v>32214.1</v>
      </c>
    </row>
    <row r="321" spans="1:11" s="18" customFormat="1" ht="28.5">
      <c r="A321" s="265" t="s">
        <v>428</v>
      </c>
      <c r="B321" s="248"/>
      <c r="C321" s="56" t="s">
        <v>104</v>
      </c>
      <c r="D321" s="88" t="s">
        <v>398</v>
      </c>
      <c r="E321" s="88" t="s">
        <v>288</v>
      </c>
      <c r="F321" s="103" t="s">
        <v>429</v>
      </c>
      <c r="G321" s="132">
        <v>10508.5</v>
      </c>
      <c r="H321" s="125">
        <v>8114.3</v>
      </c>
      <c r="I321" s="361">
        <f t="shared" si="4"/>
        <v>77.21653899224438</v>
      </c>
      <c r="J321">
        <f>SUM('ведомствен.2015'!G675)</f>
        <v>10508.5</v>
      </c>
      <c r="K321" s="283">
        <f t="shared" si="5"/>
        <v>0</v>
      </c>
    </row>
    <row r="322" spans="1:11" s="18" customFormat="1" ht="28.5">
      <c r="A322" s="260" t="s">
        <v>675</v>
      </c>
      <c r="B322" s="250"/>
      <c r="C322" s="56" t="s">
        <v>104</v>
      </c>
      <c r="D322" s="88" t="s">
        <v>398</v>
      </c>
      <c r="E322" s="88" t="s">
        <v>288</v>
      </c>
      <c r="F322" s="103" t="s">
        <v>107</v>
      </c>
      <c r="G322" s="132">
        <v>19657.1</v>
      </c>
      <c r="H322" s="125">
        <v>14224.8</v>
      </c>
      <c r="I322" s="361">
        <f t="shared" si="4"/>
        <v>72.36469265557992</v>
      </c>
      <c r="J322">
        <f>SUM('ведомствен.2015'!G676)</f>
        <v>19657.1</v>
      </c>
      <c r="K322" s="283">
        <f t="shared" si="5"/>
        <v>0</v>
      </c>
    </row>
    <row r="323" spans="1:11" s="18" customFormat="1" ht="15">
      <c r="A323" s="265" t="s">
        <v>434</v>
      </c>
      <c r="B323" s="248"/>
      <c r="C323" s="56" t="s">
        <v>104</v>
      </c>
      <c r="D323" s="88" t="s">
        <v>398</v>
      </c>
      <c r="E323" s="88" t="s">
        <v>288</v>
      </c>
      <c r="F323" s="103" t="s">
        <v>152</v>
      </c>
      <c r="G323" s="132">
        <v>2048.5</v>
      </c>
      <c r="H323" s="125">
        <v>1535.6</v>
      </c>
      <c r="I323" s="361">
        <f t="shared" si="4"/>
        <v>74.96216743958995</v>
      </c>
      <c r="J323">
        <f>SUM('ведомствен.2015'!G677)</f>
        <v>2048.5</v>
      </c>
      <c r="K323" s="283">
        <f t="shared" si="5"/>
        <v>0</v>
      </c>
    </row>
    <row r="324" spans="1:11" s="18" customFormat="1" ht="42.75">
      <c r="A324" s="213" t="s">
        <v>609</v>
      </c>
      <c r="B324" s="301"/>
      <c r="C324" s="54" t="s">
        <v>104</v>
      </c>
      <c r="D324" s="89" t="s">
        <v>398</v>
      </c>
      <c r="E324" s="117" t="s">
        <v>610</v>
      </c>
      <c r="F324" s="516"/>
      <c r="G324" s="129">
        <f>SUM(G329+G335)+G325</f>
        <v>469638.2</v>
      </c>
      <c r="H324" s="118">
        <f>SUM(H329+H335)</f>
        <v>289173.8</v>
      </c>
      <c r="I324" s="361">
        <f t="shared" si="4"/>
        <v>61.573739103846314</v>
      </c>
      <c r="K324" s="283">
        <f t="shared" si="5"/>
        <v>469638.2</v>
      </c>
    </row>
    <row r="325" spans="1:11" s="18" customFormat="1" ht="85.5">
      <c r="A325" s="213" t="s">
        <v>1242</v>
      </c>
      <c r="B325" s="301"/>
      <c r="C325" s="54" t="s">
        <v>104</v>
      </c>
      <c r="D325" s="89" t="s">
        <v>398</v>
      </c>
      <c r="E325" s="117" t="s">
        <v>1243</v>
      </c>
      <c r="F325" s="516"/>
      <c r="G325" s="129">
        <f>SUM(G326)</f>
        <v>29398.1</v>
      </c>
      <c r="H325" s="118"/>
      <c r="I325" s="361"/>
      <c r="K325" s="283">
        <f t="shared" si="5"/>
        <v>29398.1</v>
      </c>
    </row>
    <row r="326" spans="1:11" s="18" customFormat="1" ht="57">
      <c r="A326" s="213" t="s">
        <v>1244</v>
      </c>
      <c r="B326" s="246"/>
      <c r="C326" s="54" t="s">
        <v>104</v>
      </c>
      <c r="D326" s="89" t="s">
        <v>398</v>
      </c>
      <c r="E326" s="117" t="s">
        <v>1245</v>
      </c>
      <c r="F326" s="531"/>
      <c r="G326" s="129">
        <f>G327+G328</f>
        <v>29398.1</v>
      </c>
      <c r="H326" s="118"/>
      <c r="I326" s="361"/>
      <c r="K326" s="283">
        <f t="shared" si="5"/>
        <v>29398.1</v>
      </c>
    </row>
    <row r="327" spans="1:11" s="18" customFormat="1" ht="28.5">
      <c r="A327" s="116" t="s">
        <v>675</v>
      </c>
      <c r="B327" s="246"/>
      <c r="C327" s="54" t="s">
        <v>104</v>
      </c>
      <c r="D327" s="89" t="s">
        <v>398</v>
      </c>
      <c r="E327" s="117" t="s">
        <v>1245</v>
      </c>
      <c r="F327" s="95" t="s">
        <v>107</v>
      </c>
      <c r="G327" s="129">
        <v>15261.5</v>
      </c>
      <c r="H327" s="118"/>
      <c r="I327" s="361"/>
      <c r="J327">
        <f>SUM('ведомствен.2015'!G681)</f>
        <v>15261.5</v>
      </c>
      <c r="K327" s="283">
        <f t="shared" si="5"/>
        <v>0</v>
      </c>
    </row>
    <row r="328" spans="1:11" s="18" customFormat="1" ht="28.5">
      <c r="A328" s="116" t="s">
        <v>454</v>
      </c>
      <c r="B328" s="246"/>
      <c r="C328" s="54" t="s">
        <v>104</v>
      </c>
      <c r="D328" s="89" t="s">
        <v>398</v>
      </c>
      <c r="E328" s="117" t="s">
        <v>1245</v>
      </c>
      <c r="F328" s="95" t="s">
        <v>445</v>
      </c>
      <c r="G328" s="129">
        <v>14136.6</v>
      </c>
      <c r="H328" s="118"/>
      <c r="I328" s="361"/>
      <c r="J328">
        <f>SUM('ведомствен.2015'!G682)</f>
        <v>14136.6</v>
      </c>
      <c r="K328" s="283">
        <f t="shared" si="5"/>
        <v>0</v>
      </c>
    </row>
    <row r="329" spans="1:11" ht="28.5">
      <c r="A329" s="265" t="s">
        <v>525</v>
      </c>
      <c r="B329" s="301"/>
      <c r="C329" s="54" t="s">
        <v>104</v>
      </c>
      <c r="D329" s="89" t="s">
        <v>398</v>
      </c>
      <c r="E329" s="117" t="s">
        <v>643</v>
      </c>
      <c r="F329" s="516"/>
      <c r="G329" s="129">
        <f>SUM(G330+G332)</f>
        <v>382839.2</v>
      </c>
      <c r="H329" s="118">
        <f>SUM(H330+H332)</f>
        <v>252822.3</v>
      </c>
      <c r="I329" s="361">
        <f t="shared" si="4"/>
        <v>66.03877032445997</v>
      </c>
      <c r="J329"/>
      <c r="K329" s="283">
        <f t="shared" si="5"/>
        <v>382839.2</v>
      </c>
    </row>
    <row r="330" spans="1:11" ht="28.5">
      <c r="A330" s="265" t="s">
        <v>175</v>
      </c>
      <c r="B330" s="301"/>
      <c r="C330" s="54" t="s">
        <v>104</v>
      </c>
      <c r="D330" s="89" t="s">
        <v>398</v>
      </c>
      <c r="E330" s="121" t="s">
        <v>612</v>
      </c>
      <c r="F330" s="95"/>
      <c r="G330" s="129">
        <f>SUM(G331)</f>
        <v>377248.3</v>
      </c>
      <c r="H330" s="118">
        <f>SUM(H331)</f>
        <v>251828.5</v>
      </c>
      <c r="I330" s="361">
        <f t="shared" si="4"/>
        <v>66.75404501491458</v>
      </c>
      <c r="J330"/>
      <c r="K330" s="283">
        <f t="shared" si="5"/>
        <v>377248.3</v>
      </c>
    </row>
    <row r="331" spans="1:11" ht="28.5">
      <c r="A331" s="116" t="s">
        <v>454</v>
      </c>
      <c r="B331" s="301"/>
      <c r="C331" s="54" t="s">
        <v>104</v>
      </c>
      <c r="D331" s="89" t="s">
        <v>398</v>
      </c>
      <c r="E331" s="121" t="s">
        <v>612</v>
      </c>
      <c r="F331" s="95" t="s">
        <v>445</v>
      </c>
      <c r="G331" s="129">
        <v>377248.3</v>
      </c>
      <c r="H331" s="118">
        <v>251828.5</v>
      </c>
      <c r="I331" s="361">
        <f t="shared" si="4"/>
        <v>66.75404501491458</v>
      </c>
      <c r="J331">
        <f>SUM('ведомствен.2015'!G685)</f>
        <v>377248.3</v>
      </c>
      <c r="K331" s="283">
        <f t="shared" si="5"/>
        <v>0</v>
      </c>
    </row>
    <row r="332" spans="1:11" ht="15">
      <c r="A332" s="115" t="s">
        <v>140</v>
      </c>
      <c r="B332" s="301"/>
      <c r="C332" s="54" t="s">
        <v>104</v>
      </c>
      <c r="D332" s="89" t="s">
        <v>398</v>
      </c>
      <c r="E332" s="121" t="s">
        <v>614</v>
      </c>
      <c r="F332" s="95"/>
      <c r="G332" s="129">
        <f>SUM(G333)</f>
        <v>5590.9</v>
      </c>
      <c r="H332" s="118">
        <f>SUM(H333)</f>
        <v>993.8</v>
      </c>
      <c r="I332" s="361">
        <f t="shared" si="4"/>
        <v>17.775313455794237</v>
      </c>
      <c r="J332"/>
      <c r="K332" s="283">
        <f t="shared" si="5"/>
        <v>5590.9</v>
      </c>
    </row>
    <row r="333" spans="1:11" ht="28.5">
      <c r="A333" s="116" t="s">
        <v>355</v>
      </c>
      <c r="B333" s="301"/>
      <c r="C333" s="54" t="s">
        <v>104</v>
      </c>
      <c r="D333" s="89" t="s">
        <v>398</v>
      </c>
      <c r="E333" s="121" t="s">
        <v>613</v>
      </c>
      <c r="F333" s="95"/>
      <c r="G333" s="129">
        <f>SUM(G334)</f>
        <v>5590.9</v>
      </c>
      <c r="H333" s="118">
        <f>SUM(H334)</f>
        <v>993.8</v>
      </c>
      <c r="I333" s="361">
        <f t="shared" si="4"/>
        <v>17.775313455794237</v>
      </c>
      <c r="J333"/>
      <c r="K333" s="283">
        <f t="shared" si="5"/>
        <v>5590.9</v>
      </c>
    </row>
    <row r="334" spans="1:11" ht="28.5">
      <c r="A334" s="116" t="s">
        <v>454</v>
      </c>
      <c r="B334" s="301"/>
      <c r="C334" s="54" t="s">
        <v>104</v>
      </c>
      <c r="D334" s="89" t="s">
        <v>398</v>
      </c>
      <c r="E334" s="121" t="s">
        <v>613</v>
      </c>
      <c r="F334" s="95" t="s">
        <v>445</v>
      </c>
      <c r="G334" s="129">
        <v>5590.9</v>
      </c>
      <c r="H334" s="118">
        <v>993.8</v>
      </c>
      <c r="I334" s="361">
        <f t="shared" si="4"/>
        <v>17.775313455794237</v>
      </c>
      <c r="J334">
        <f>SUM('ведомствен.2015'!G688)</f>
        <v>5590.9</v>
      </c>
      <c r="K334" s="283">
        <f t="shared" si="5"/>
        <v>0</v>
      </c>
    </row>
    <row r="335" spans="1:11" ht="28.5">
      <c r="A335" s="265" t="s">
        <v>50</v>
      </c>
      <c r="B335" s="301"/>
      <c r="C335" s="54" t="s">
        <v>104</v>
      </c>
      <c r="D335" s="89" t="s">
        <v>398</v>
      </c>
      <c r="E335" s="121" t="s">
        <v>611</v>
      </c>
      <c r="F335" s="516"/>
      <c r="G335" s="129">
        <f>SUM(G336:G337)</f>
        <v>57400.9</v>
      </c>
      <c r="H335" s="118">
        <f>SUM(H336:H337)</f>
        <v>36351.5</v>
      </c>
      <c r="I335" s="361">
        <f t="shared" si="4"/>
        <v>63.32914640711208</v>
      </c>
      <c r="J335"/>
      <c r="K335" s="283">
        <f t="shared" si="5"/>
        <v>57400.9</v>
      </c>
    </row>
    <row r="336" spans="1:11" ht="28.5">
      <c r="A336" s="116" t="s">
        <v>428</v>
      </c>
      <c r="B336" s="301"/>
      <c r="C336" s="54" t="s">
        <v>104</v>
      </c>
      <c r="D336" s="89" t="s">
        <v>398</v>
      </c>
      <c r="E336" s="121" t="s">
        <v>611</v>
      </c>
      <c r="F336" s="95" t="s">
        <v>429</v>
      </c>
      <c r="G336" s="129">
        <v>55845.4</v>
      </c>
      <c r="H336" s="118">
        <v>35956.5</v>
      </c>
      <c r="I336" s="361">
        <f t="shared" si="4"/>
        <v>64.38578647480365</v>
      </c>
      <c r="J336">
        <f>SUM('ведомствен.2015'!G690)</f>
        <v>55845.4</v>
      </c>
      <c r="K336" s="283">
        <f t="shared" si="5"/>
        <v>0</v>
      </c>
    </row>
    <row r="337" spans="1:11" ht="28.5">
      <c r="A337" s="260" t="s">
        <v>675</v>
      </c>
      <c r="B337" s="301"/>
      <c r="C337" s="54" t="s">
        <v>104</v>
      </c>
      <c r="D337" s="89" t="s">
        <v>398</v>
      </c>
      <c r="E337" s="121" t="s">
        <v>611</v>
      </c>
      <c r="F337" s="95" t="s">
        <v>107</v>
      </c>
      <c r="G337" s="129">
        <v>1555.5</v>
      </c>
      <c r="H337" s="118">
        <v>395</v>
      </c>
      <c r="I337" s="361">
        <f t="shared" si="4"/>
        <v>25.39376406300225</v>
      </c>
      <c r="J337">
        <f>SUM('ведомствен.2015'!G691)</f>
        <v>1555.5</v>
      </c>
      <c r="K337" s="283">
        <f t="shared" si="5"/>
        <v>0</v>
      </c>
    </row>
    <row r="338" spans="1:11" s="14" customFormat="1" ht="14.25">
      <c r="A338" s="265" t="s">
        <v>512</v>
      </c>
      <c r="B338" s="251"/>
      <c r="C338" s="56" t="s">
        <v>104</v>
      </c>
      <c r="D338" s="88" t="s">
        <v>398</v>
      </c>
      <c r="E338" s="88" t="s">
        <v>116</v>
      </c>
      <c r="F338" s="103"/>
      <c r="G338" s="132">
        <f>G339+G343</f>
        <v>16621.3</v>
      </c>
      <c r="H338" s="125">
        <f>H339+H343</f>
        <v>6213.8099999999995</v>
      </c>
      <c r="I338" s="361">
        <f t="shared" si="4"/>
        <v>37.38462093819376</v>
      </c>
      <c r="K338" s="283">
        <f t="shared" si="5"/>
        <v>16621.3</v>
      </c>
    </row>
    <row r="339" spans="1:11" s="14" customFormat="1" ht="28.5">
      <c r="A339" s="265" t="s">
        <v>526</v>
      </c>
      <c r="B339" s="248"/>
      <c r="C339" s="56" t="s">
        <v>104</v>
      </c>
      <c r="D339" s="88" t="s">
        <v>398</v>
      </c>
      <c r="E339" s="88" t="s">
        <v>312</v>
      </c>
      <c r="F339" s="103"/>
      <c r="G339" s="132">
        <f>SUM(G340:G342)</f>
        <v>6722.3</v>
      </c>
      <c r="H339" s="125">
        <f>SUM(H340:H342)</f>
        <v>3207.6</v>
      </c>
      <c r="I339" s="361">
        <f t="shared" si="4"/>
        <v>47.7158115525936</v>
      </c>
      <c r="K339" s="283">
        <f t="shared" si="5"/>
        <v>6722.3</v>
      </c>
    </row>
    <row r="340" spans="1:11" s="14" customFormat="1" ht="28.5">
      <c r="A340" s="260" t="s">
        <v>675</v>
      </c>
      <c r="B340" s="252"/>
      <c r="C340" s="56" t="s">
        <v>104</v>
      </c>
      <c r="D340" s="88" t="s">
        <v>398</v>
      </c>
      <c r="E340" s="88" t="s">
        <v>312</v>
      </c>
      <c r="F340" s="103" t="s">
        <v>107</v>
      </c>
      <c r="G340" s="132">
        <v>1563.5</v>
      </c>
      <c r="H340" s="125"/>
      <c r="I340" s="361">
        <f t="shared" si="4"/>
        <v>0</v>
      </c>
      <c r="J340">
        <f>SUM('ведомствен.2015'!G695)</f>
        <v>1563.5</v>
      </c>
      <c r="K340" s="283">
        <f t="shared" si="5"/>
        <v>0</v>
      </c>
    </row>
    <row r="341" spans="1:11" s="14" customFormat="1" ht="14.25">
      <c r="A341" s="260" t="s">
        <v>707</v>
      </c>
      <c r="B341" s="500"/>
      <c r="C341" s="56" t="s">
        <v>104</v>
      </c>
      <c r="D341" s="88" t="s">
        <v>398</v>
      </c>
      <c r="E341" s="88" t="s">
        <v>312</v>
      </c>
      <c r="F341" s="103" t="s">
        <v>439</v>
      </c>
      <c r="G341" s="132">
        <v>3425.6</v>
      </c>
      <c r="H341" s="125">
        <v>3207.6</v>
      </c>
      <c r="I341" s="361">
        <f t="shared" si="4"/>
        <v>93.63615133115366</v>
      </c>
      <c r="J341">
        <f>SUM('ведомствен.2015'!G696)</f>
        <v>3425.6</v>
      </c>
      <c r="K341" s="283">
        <f t="shared" si="5"/>
        <v>0</v>
      </c>
    </row>
    <row r="342" spans="1:11" s="14" customFormat="1" ht="28.5">
      <c r="A342" s="116" t="s">
        <v>454</v>
      </c>
      <c r="B342" s="252"/>
      <c r="C342" s="56" t="s">
        <v>104</v>
      </c>
      <c r="D342" s="88" t="s">
        <v>398</v>
      </c>
      <c r="E342" s="88" t="s">
        <v>312</v>
      </c>
      <c r="F342" s="103" t="s">
        <v>445</v>
      </c>
      <c r="G342" s="132">
        <v>1733.2</v>
      </c>
      <c r="H342" s="125"/>
      <c r="I342" s="361">
        <f t="shared" si="4"/>
        <v>0</v>
      </c>
      <c r="J342">
        <f>SUM('ведомствен.2015'!G697)</f>
        <v>1733.2</v>
      </c>
      <c r="K342" s="283">
        <f t="shared" si="5"/>
        <v>0</v>
      </c>
    </row>
    <row r="343" spans="1:11" s="14" customFormat="1" ht="28.5">
      <c r="A343" s="116" t="s">
        <v>615</v>
      </c>
      <c r="B343" s="253"/>
      <c r="C343" s="54" t="s">
        <v>104</v>
      </c>
      <c r="D343" s="89" t="s">
        <v>398</v>
      </c>
      <c r="E343" s="89" t="s">
        <v>616</v>
      </c>
      <c r="F343" s="95"/>
      <c r="G343" s="129">
        <f>SUM(G344:G345)</f>
        <v>9899</v>
      </c>
      <c r="H343" s="118">
        <f>SUM(H344:H345)</f>
        <v>3006.21</v>
      </c>
      <c r="I343" s="361">
        <f t="shared" si="4"/>
        <v>30.368825133851907</v>
      </c>
      <c r="J343"/>
      <c r="K343" s="283">
        <f t="shared" si="5"/>
        <v>9899</v>
      </c>
    </row>
    <row r="344" spans="1:11" s="14" customFormat="1" ht="28.5">
      <c r="A344" s="260" t="s">
        <v>675</v>
      </c>
      <c r="B344" s="253"/>
      <c r="C344" s="54" t="s">
        <v>104</v>
      </c>
      <c r="D344" s="89" t="s">
        <v>398</v>
      </c>
      <c r="E344" s="89" t="s">
        <v>616</v>
      </c>
      <c r="F344" s="95" t="s">
        <v>107</v>
      </c>
      <c r="G344" s="129">
        <v>1561.1</v>
      </c>
      <c r="H344" s="118">
        <v>803.6</v>
      </c>
      <c r="I344" s="361">
        <f t="shared" si="4"/>
        <v>51.47652296457627</v>
      </c>
      <c r="J344">
        <f>SUM('ведомствен.2015'!G699)</f>
        <v>1561.1</v>
      </c>
      <c r="K344" s="283">
        <f t="shared" si="5"/>
        <v>0</v>
      </c>
    </row>
    <row r="345" spans="1:11" s="14" customFormat="1" ht="28.5">
      <c r="A345" s="116" t="s">
        <v>454</v>
      </c>
      <c r="B345" s="501"/>
      <c r="C345" s="54" t="s">
        <v>104</v>
      </c>
      <c r="D345" s="89" t="s">
        <v>398</v>
      </c>
      <c r="E345" s="89" t="s">
        <v>616</v>
      </c>
      <c r="F345" s="95" t="s">
        <v>445</v>
      </c>
      <c r="G345" s="129">
        <v>8337.9</v>
      </c>
      <c r="H345" s="118">
        <v>2202.61</v>
      </c>
      <c r="I345" s="361">
        <f t="shared" si="4"/>
        <v>26.41684356972379</v>
      </c>
      <c r="J345">
        <f>SUM('ведомствен.2015'!G700)</f>
        <v>8337.9</v>
      </c>
      <c r="K345" s="283">
        <f t="shared" si="5"/>
        <v>0</v>
      </c>
    </row>
    <row r="346" spans="1:12" s="18" customFormat="1" ht="15">
      <c r="A346" s="265" t="s">
        <v>289</v>
      </c>
      <c r="B346" s="248"/>
      <c r="C346" s="56" t="s">
        <v>104</v>
      </c>
      <c r="D346" s="88" t="s">
        <v>400</v>
      </c>
      <c r="E346" s="88"/>
      <c r="F346" s="103"/>
      <c r="G346" s="132">
        <f>SUM(G347+G361+G373+G378+G415+G422)</f>
        <v>1096175.7000000002</v>
      </c>
      <c r="H346" s="125">
        <f>SUM(H347+H361+H373+H378+H415+H422)</f>
        <v>747667.1000000001</v>
      </c>
      <c r="I346" s="361">
        <f t="shared" si="4"/>
        <v>68.20686683713204</v>
      </c>
      <c r="J346" s="24"/>
      <c r="K346" s="283">
        <f>SUM(J347:J430)</f>
        <v>1096175.7</v>
      </c>
      <c r="L346" s="18">
        <f>SUM('ведомствен.2015'!G423+'ведомствен.2015'!G605+'ведомствен.2015'!G701+'ведомствен.2015'!G827)</f>
        <v>1096175.7</v>
      </c>
    </row>
    <row r="347" spans="1:13" s="18" customFormat="1" ht="28.5">
      <c r="A347" s="265" t="s">
        <v>290</v>
      </c>
      <c r="B347" s="248"/>
      <c r="C347" s="56" t="s">
        <v>104</v>
      </c>
      <c r="D347" s="88" t="s">
        <v>400</v>
      </c>
      <c r="E347" s="88" t="s">
        <v>291</v>
      </c>
      <c r="F347" s="103"/>
      <c r="G347" s="132">
        <f>G348+G356</f>
        <v>178817.5</v>
      </c>
      <c r="H347" s="125">
        <f>H348+H356</f>
        <v>126575.7</v>
      </c>
      <c r="I347" s="361">
        <f t="shared" si="4"/>
        <v>70.78485047604401</v>
      </c>
      <c r="K347" s="283">
        <f t="shared" si="5"/>
        <v>178817.5</v>
      </c>
      <c r="M347" s="52">
        <f>SUM(G346-K346)</f>
        <v>2.3283064365386963E-10</v>
      </c>
    </row>
    <row r="348" spans="1:11" ht="28.5">
      <c r="A348" s="265" t="s">
        <v>13</v>
      </c>
      <c r="B348" s="248"/>
      <c r="C348" s="56" t="s">
        <v>104</v>
      </c>
      <c r="D348" s="88" t="s">
        <v>400</v>
      </c>
      <c r="E348" s="88" t="s">
        <v>80</v>
      </c>
      <c r="F348" s="103"/>
      <c r="G348" s="132">
        <f>G349+G351</f>
        <v>101184.9</v>
      </c>
      <c r="H348" s="125">
        <f>H349+H354</f>
        <v>67156.8</v>
      </c>
      <c r="I348" s="361">
        <f t="shared" si="4"/>
        <v>66.37037739820863</v>
      </c>
      <c r="J348"/>
      <c r="K348" s="283">
        <f t="shared" si="5"/>
        <v>101184.9</v>
      </c>
    </row>
    <row r="349" spans="1:11" ht="28.5">
      <c r="A349" s="265" t="s">
        <v>175</v>
      </c>
      <c r="B349" s="248"/>
      <c r="C349" s="56" t="s">
        <v>104</v>
      </c>
      <c r="D349" s="88" t="s">
        <v>400</v>
      </c>
      <c r="E349" s="88" t="s">
        <v>81</v>
      </c>
      <c r="F349" s="103"/>
      <c r="G349" s="132">
        <f>SUM(G350)</f>
        <v>101002</v>
      </c>
      <c r="H349" s="125">
        <f>SUM(H350)</f>
        <v>67156.8</v>
      </c>
      <c r="I349" s="361">
        <f t="shared" si="4"/>
        <v>66.49056454327638</v>
      </c>
      <c r="J349"/>
      <c r="K349" s="283">
        <f t="shared" si="5"/>
        <v>101002</v>
      </c>
    </row>
    <row r="350" spans="1:11" s="18" customFormat="1" ht="28.5">
      <c r="A350" s="265" t="s">
        <v>447</v>
      </c>
      <c r="B350" s="248"/>
      <c r="C350" s="56" t="s">
        <v>104</v>
      </c>
      <c r="D350" s="88" t="s">
        <v>400</v>
      </c>
      <c r="E350" s="88" t="s">
        <v>81</v>
      </c>
      <c r="F350" s="103" t="s">
        <v>445</v>
      </c>
      <c r="G350" s="132">
        <v>101002</v>
      </c>
      <c r="H350" s="125">
        <v>67156.8</v>
      </c>
      <c r="I350" s="361">
        <f aca="true" t="shared" si="6" ref="I350:I426">SUM(H350/G350*100)</f>
        <v>66.49056454327638</v>
      </c>
      <c r="J350">
        <f>SUM('ведомствен.2015'!G705)</f>
        <v>101002</v>
      </c>
      <c r="K350" s="283">
        <f t="shared" si="5"/>
        <v>0</v>
      </c>
    </row>
    <row r="351" spans="1:11" s="18" customFormat="1" ht="15">
      <c r="A351" s="115" t="s">
        <v>140</v>
      </c>
      <c r="B351" s="248"/>
      <c r="C351" s="56" t="s">
        <v>104</v>
      </c>
      <c r="D351" s="88" t="s">
        <v>400</v>
      </c>
      <c r="E351" s="88" t="s">
        <v>617</v>
      </c>
      <c r="F351" s="103"/>
      <c r="G351" s="132">
        <f>SUM(G354)+G352</f>
        <v>182.9</v>
      </c>
      <c r="H351" s="125">
        <f>SUM(H354)</f>
        <v>0</v>
      </c>
      <c r="I351" s="361">
        <f t="shared" si="6"/>
        <v>0</v>
      </c>
      <c r="J351"/>
      <c r="K351" s="283">
        <f t="shared" si="5"/>
        <v>182.9</v>
      </c>
    </row>
    <row r="352" spans="1:11" s="18" customFormat="1" ht="28.5">
      <c r="A352" s="115" t="s">
        <v>355</v>
      </c>
      <c r="B352" s="246"/>
      <c r="C352" s="135" t="s">
        <v>104</v>
      </c>
      <c r="D352" s="112" t="s">
        <v>400</v>
      </c>
      <c r="E352" s="112" t="s">
        <v>1246</v>
      </c>
      <c r="F352" s="95"/>
      <c r="G352" s="133">
        <f>SUM(G353)</f>
        <v>40</v>
      </c>
      <c r="H352" s="125"/>
      <c r="I352" s="361"/>
      <c r="J352"/>
      <c r="K352" s="283">
        <f t="shared" si="5"/>
        <v>40</v>
      </c>
    </row>
    <row r="353" spans="1:11" s="18" customFormat="1" ht="28.5">
      <c r="A353" s="116" t="s">
        <v>454</v>
      </c>
      <c r="B353" s="246"/>
      <c r="C353" s="135" t="s">
        <v>104</v>
      </c>
      <c r="D353" s="112" t="s">
        <v>400</v>
      </c>
      <c r="E353" s="112" t="s">
        <v>1246</v>
      </c>
      <c r="F353" s="95" t="s">
        <v>445</v>
      </c>
      <c r="G353" s="129">
        <v>40</v>
      </c>
      <c r="H353" s="125"/>
      <c r="I353" s="361"/>
      <c r="J353">
        <f>SUM('ведомствен.2015'!G708)</f>
        <v>40</v>
      </c>
      <c r="K353" s="283">
        <f t="shared" si="5"/>
        <v>0</v>
      </c>
    </row>
    <row r="354" spans="1:11" s="18" customFormat="1" ht="28.5">
      <c r="A354" s="115" t="s">
        <v>183</v>
      </c>
      <c r="B354" s="249"/>
      <c r="C354" s="135" t="s">
        <v>104</v>
      </c>
      <c r="D354" s="112" t="s">
        <v>400</v>
      </c>
      <c r="E354" s="112" t="s">
        <v>618</v>
      </c>
      <c r="F354" s="114"/>
      <c r="G354" s="133">
        <f>SUM(G355)</f>
        <v>142.9</v>
      </c>
      <c r="H354" s="354">
        <f>SUM(H355)</f>
        <v>0</v>
      </c>
      <c r="I354" s="361">
        <f t="shared" si="6"/>
        <v>0</v>
      </c>
      <c r="J354" s="24"/>
      <c r="K354" s="283">
        <f t="shared" si="5"/>
        <v>142.9</v>
      </c>
    </row>
    <row r="355" spans="1:11" s="18" customFormat="1" ht="28.5">
      <c r="A355" s="116" t="s">
        <v>454</v>
      </c>
      <c r="B355" s="249"/>
      <c r="C355" s="135" t="s">
        <v>104</v>
      </c>
      <c r="D355" s="112" t="s">
        <v>400</v>
      </c>
      <c r="E355" s="112" t="s">
        <v>618</v>
      </c>
      <c r="F355" s="114" t="s">
        <v>445</v>
      </c>
      <c r="G355" s="133">
        <v>142.9</v>
      </c>
      <c r="H355" s="354"/>
      <c r="I355" s="361">
        <f t="shared" si="6"/>
        <v>0</v>
      </c>
      <c r="J355">
        <f>SUM('ведомствен.2015'!G710)</f>
        <v>142.9</v>
      </c>
      <c r="K355" s="283">
        <f t="shared" si="5"/>
        <v>0</v>
      </c>
    </row>
    <row r="356" spans="1:11" s="18" customFormat="1" ht="28.5">
      <c r="A356" s="265" t="s">
        <v>50</v>
      </c>
      <c r="B356" s="248"/>
      <c r="C356" s="56" t="s">
        <v>104</v>
      </c>
      <c r="D356" s="88" t="s">
        <v>400</v>
      </c>
      <c r="E356" s="88" t="s">
        <v>292</v>
      </c>
      <c r="F356" s="103"/>
      <c r="G356" s="132">
        <f>SUM(G357+G358+G360)+G359</f>
        <v>77632.59999999999</v>
      </c>
      <c r="H356" s="125">
        <f>SUM(H357+H358+H360)+H359</f>
        <v>59418.899999999994</v>
      </c>
      <c r="I356" s="361">
        <f t="shared" si="6"/>
        <v>76.53859332290817</v>
      </c>
      <c r="J356" s="24"/>
      <c r="K356" s="283">
        <f t="shared" si="5"/>
        <v>77632.59999999999</v>
      </c>
    </row>
    <row r="357" spans="1:11" s="18" customFormat="1" ht="28.5">
      <c r="A357" s="265" t="s">
        <v>428</v>
      </c>
      <c r="B357" s="248"/>
      <c r="C357" s="56" t="s">
        <v>104</v>
      </c>
      <c r="D357" s="88" t="s">
        <v>400</v>
      </c>
      <c r="E357" s="88" t="s">
        <v>292</v>
      </c>
      <c r="F357" s="103" t="s">
        <v>429</v>
      </c>
      <c r="G357" s="132">
        <v>33381.2</v>
      </c>
      <c r="H357" s="125">
        <v>25284.8</v>
      </c>
      <c r="I357" s="361">
        <f t="shared" si="6"/>
        <v>75.74562927635915</v>
      </c>
      <c r="J357">
        <f>SUM('ведомствен.2015'!G712)</f>
        <v>33381.2</v>
      </c>
      <c r="K357" s="283">
        <f t="shared" si="5"/>
        <v>0</v>
      </c>
    </row>
    <row r="358" spans="1:11" s="18" customFormat="1" ht="28.5">
      <c r="A358" s="260" t="s">
        <v>675</v>
      </c>
      <c r="B358" s="248"/>
      <c r="C358" s="56" t="s">
        <v>104</v>
      </c>
      <c r="D358" s="88" t="s">
        <v>400</v>
      </c>
      <c r="E358" s="88" t="s">
        <v>292</v>
      </c>
      <c r="F358" s="103" t="s">
        <v>107</v>
      </c>
      <c r="G358" s="132">
        <v>31112.1</v>
      </c>
      <c r="H358" s="125">
        <v>24339.9</v>
      </c>
      <c r="I358" s="361">
        <f t="shared" si="6"/>
        <v>78.23290616833965</v>
      </c>
      <c r="J358">
        <f>SUM('ведомствен.2015'!G713)</f>
        <v>31112.1</v>
      </c>
      <c r="K358" s="283">
        <f t="shared" si="5"/>
        <v>0</v>
      </c>
    </row>
    <row r="359" spans="1:11" s="18" customFormat="1" ht="15">
      <c r="A359" s="260" t="s">
        <v>707</v>
      </c>
      <c r="B359" s="502"/>
      <c r="C359" s="56" t="s">
        <v>104</v>
      </c>
      <c r="D359" s="88" t="s">
        <v>400</v>
      </c>
      <c r="E359" s="88" t="s">
        <v>292</v>
      </c>
      <c r="F359" s="103" t="s">
        <v>439</v>
      </c>
      <c r="G359" s="132">
        <v>18</v>
      </c>
      <c r="H359" s="125">
        <v>18</v>
      </c>
      <c r="I359" s="361">
        <f t="shared" si="6"/>
        <v>100</v>
      </c>
      <c r="J359">
        <f>SUM('ведомствен.2015'!G714)</f>
        <v>18</v>
      </c>
      <c r="K359" s="283">
        <f t="shared" si="5"/>
        <v>0</v>
      </c>
    </row>
    <row r="360" spans="1:15" s="18" customFormat="1" ht="14.25">
      <c r="A360" s="265" t="s">
        <v>434</v>
      </c>
      <c r="B360" s="252"/>
      <c r="C360" s="56" t="s">
        <v>104</v>
      </c>
      <c r="D360" s="88" t="s">
        <v>400</v>
      </c>
      <c r="E360" s="88" t="s">
        <v>292</v>
      </c>
      <c r="F360" s="223">
        <v>800</v>
      </c>
      <c r="G360" s="132">
        <v>13121.3</v>
      </c>
      <c r="H360" s="125">
        <v>9776.2</v>
      </c>
      <c r="I360" s="361">
        <f t="shared" si="6"/>
        <v>74.50633702453264</v>
      </c>
      <c r="J360">
        <f>SUM('ведомствен.2015'!G715)</f>
        <v>13121.3</v>
      </c>
      <c r="K360" s="283">
        <f t="shared" si="5"/>
        <v>0</v>
      </c>
      <c r="O360" s="52"/>
    </row>
    <row r="361" spans="1:11" ht="14.25">
      <c r="A361" s="265" t="s">
        <v>542</v>
      </c>
      <c r="B361" s="250"/>
      <c r="C361" s="56" t="s">
        <v>104</v>
      </c>
      <c r="D361" s="88" t="s">
        <v>400</v>
      </c>
      <c r="E361" s="88" t="s">
        <v>276</v>
      </c>
      <c r="F361" s="103"/>
      <c r="G361" s="132">
        <f>SUM(G362)</f>
        <v>170065.1</v>
      </c>
      <c r="H361" s="125">
        <f>SUM(H362)</f>
        <v>121042.3</v>
      </c>
      <c r="I361" s="361">
        <f t="shared" si="6"/>
        <v>71.17409744856529</v>
      </c>
      <c r="J361"/>
      <c r="K361" s="283">
        <f t="shared" si="5"/>
        <v>170065.1</v>
      </c>
    </row>
    <row r="362" spans="1:11" ht="27.75" customHeight="1">
      <c r="A362" s="265" t="s">
        <v>525</v>
      </c>
      <c r="B362" s="248"/>
      <c r="C362" s="56" t="s">
        <v>104</v>
      </c>
      <c r="D362" s="88" t="s">
        <v>400</v>
      </c>
      <c r="E362" s="88" t="s">
        <v>72</v>
      </c>
      <c r="F362" s="103"/>
      <c r="G362" s="132">
        <f>SUM(G365+G367)</f>
        <v>170065.1</v>
      </c>
      <c r="H362" s="125">
        <f>SUM(H365+H367)</f>
        <v>121042.3</v>
      </c>
      <c r="I362" s="361">
        <f t="shared" si="6"/>
        <v>71.17409744856529</v>
      </c>
      <c r="J362"/>
      <c r="K362" s="283">
        <f t="shared" si="5"/>
        <v>170065.1</v>
      </c>
    </row>
    <row r="363" spans="1:11" s="14" customFormat="1" ht="12" customHeight="1" hidden="1">
      <c r="A363" s="265" t="s">
        <v>180</v>
      </c>
      <c r="B363" s="248"/>
      <c r="C363" s="56" t="s">
        <v>104</v>
      </c>
      <c r="D363" s="88" t="s">
        <v>400</v>
      </c>
      <c r="E363" s="88" t="s">
        <v>181</v>
      </c>
      <c r="F363" s="103"/>
      <c r="G363" s="132">
        <f>SUM(G364)</f>
        <v>0</v>
      </c>
      <c r="H363" s="125">
        <f>SUM(H364)</f>
        <v>0</v>
      </c>
      <c r="I363" s="361" t="e">
        <f t="shared" si="6"/>
        <v>#DIV/0!</v>
      </c>
      <c r="K363" s="283">
        <f t="shared" si="5"/>
        <v>0</v>
      </c>
    </row>
    <row r="364" spans="1:11" s="14" customFormat="1" ht="15.75" customHeight="1" hidden="1">
      <c r="A364" s="265" t="s">
        <v>140</v>
      </c>
      <c r="B364" s="248"/>
      <c r="C364" s="56" t="s">
        <v>104</v>
      </c>
      <c r="D364" s="88" t="s">
        <v>400</v>
      </c>
      <c r="E364" s="88" t="s">
        <v>181</v>
      </c>
      <c r="F364" s="103" t="s">
        <v>77</v>
      </c>
      <c r="G364" s="132"/>
      <c r="H364" s="125"/>
      <c r="I364" s="361" t="e">
        <f t="shared" si="6"/>
        <v>#DIV/0!</v>
      </c>
      <c r="K364" s="283">
        <f t="shared" si="5"/>
        <v>0</v>
      </c>
    </row>
    <row r="365" spans="1:11" s="14" customFormat="1" ht="28.5">
      <c r="A365" s="265" t="s">
        <v>84</v>
      </c>
      <c r="B365" s="248"/>
      <c r="C365" s="56" t="s">
        <v>104</v>
      </c>
      <c r="D365" s="88" t="s">
        <v>400</v>
      </c>
      <c r="E365" s="88" t="s">
        <v>73</v>
      </c>
      <c r="F365" s="103"/>
      <c r="G365" s="132">
        <f>SUM(G366)</f>
        <v>169915.1</v>
      </c>
      <c r="H365" s="125">
        <f>SUM(H366)</f>
        <v>121042.3</v>
      </c>
      <c r="I365" s="361">
        <f t="shared" si="6"/>
        <v>71.23692950185122</v>
      </c>
      <c r="K365" s="283">
        <f t="shared" si="5"/>
        <v>169915.1</v>
      </c>
    </row>
    <row r="366" spans="1:11" s="14" customFormat="1" ht="28.5">
      <c r="A366" s="265" t="s">
        <v>447</v>
      </c>
      <c r="B366" s="248"/>
      <c r="C366" s="56" t="s">
        <v>104</v>
      </c>
      <c r="D366" s="88" t="s">
        <v>400</v>
      </c>
      <c r="E366" s="88" t="s">
        <v>73</v>
      </c>
      <c r="F366" s="103" t="s">
        <v>445</v>
      </c>
      <c r="G366" s="132">
        <v>169915.1</v>
      </c>
      <c r="H366" s="125">
        <v>121042.3</v>
      </c>
      <c r="I366" s="361">
        <f t="shared" si="6"/>
        <v>71.23692950185122</v>
      </c>
      <c r="J366" s="14">
        <f>SUM('ведомствен.2015'!G831+'ведомствен.2015'!G721+'ведомствен.2015'!G609)</f>
        <v>169915.1</v>
      </c>
      <c r="K366" s="283">
        <f t="shared" si="5"/>
        <v>0</v>
      </c>
    </row>
    <row r="367" spans="1:11" s="14" customFormat="1" ht="15">
      <c r="A367" s="265" t="s">
        <v>140</v>
      </c>
      <c r="B367" s="248"/>
      <c r="C367" s="54" t="s">
        <v>104</v>
      </c>
      <c r="D367" s="89" t="s">
        <v>400</v>
      </c>
      <c r="E367" s="89" t="s">
        <v>134</v>
      </c>
      <c r="F367" s="96"/>
      <c r="G367" s="129">
        <f>SUM(G370)+G368</f>
        <v>150</v>
      </c>
      <c r="H367" s="118">
        <f>SUM(H370)+H368</f>
        <v>0</v>
      </c>
      <c r="I367" s="361">
        <f t="shared" si="6"/>
        <v>0</v>
      </c>
      <c r="K367" s="283">
        <f t="shared" si="5"/>
        <v>150</v>
      </c>
    </row>
    <row r="368" spans="1:11" s="14" customFormat="1" ht="28.5">
      <c r="A368" s="265" t="s">
        <v>128</v>
      </c>
      <c r="B368" s="502"/>
      <c r="C368" s="54" t="s">
        <v>104</v>
      </c>
      <c r="D368" s="89" t="s">
        <v>400</v>
      </c>
      <c r="E368" s="89" t="s">
        <v>402</v>
      </c>
      <c r="F368" s="96"/>
      <c r="G368" s="129">
        <f>SUM(G369)</f>
        <v>100</v>
      </c>
      <c r="H368" s="118">
        <f>SUM(H369)</f>
        <v>0</v>
      </c>
      <c r="I368" s="361">
        <f t="shared" si="6"/>
        <v>0</v>
      </c>
      <c r="K368" s="283">
        <f t="shared" si="5"/>
        <v>100</v>
      </c>
    </row>
    <row r="369" spans="1:11" s="14" customFormat="1" ht="28.5">
      <c r="A369" s="265" t="s">
        <v>447</v>
      </c>
      <c r="B369" s="502"/>
      <c r="C369" s="54" t="s">
        <v>104</v>
      </c>
      <c r="D369" s="89" t="s">
        <v>400</v>
      </c>
      <c r="E369" s="89" t="s">
        <v>402</v>
      </c>
      <c r="F369" s="96" t="s">
        <v>445</v>
      </c>
      <c r="G369" s="129">
        <v>100</v>
      </c>
      <c r="H369" s="118"/>
      <c r="I369" s="361">
        <f t="shared" si="6"/>
        <v>0</v>
      </c>
      <c r="J369" s="14">
        <f>SUM('ведомствен.2015'!G612)</f>
        <v>100</v>
      </c>
      <c r="K369" s="283">
        <f t="shared" si="5"/>
        <v>0</v>
      </c>
    </row>
    <row r="370" spans="1:11" s="14" customFormat="1" ht="28.5">
      <c r="A370" s="265" t="s">
        <v>137</v>
      </c>
      <c r="B370" s="248"/>
      <c r="C370" s="54" t="s">
        <v>104</v>
      </c>
      <c r="D370" s="89" t="s">
        <v>400</v>
      </c>
      <c r="E370" s="89" t="s">
        <v>187</v>
      </c>
      <c r="F370" s="96"/>
      <c r="G370" s="129">
        <f>SUM(G371)</f>
        <v>50</v>
      </c>
      <c r="H370" s="118">
        <f>SUM(H371)</f>
        <v>0</v>
      </c>
      <c r="I370" s="361">
        <f t="shared" si="6"/>
        <v>0</v>
      </c>
      <c r="K370" s="283">
        <f t="shared" si="5"/>
        <v>50</v>
      </c>
    </row>
    <row r="371" spans="1:11" s="14" customFormat="1" ht="27" customHeight="1">
      <c r="A371" s="265" t="s">
        <v>447</v>
      </c>
      <c r="B371" s="248"/>
      <c r="C371" s="54" t="s">
        <v>104</v>
      </c>
      <c r="D371" s="89" t="s">
        <v>400</v>
      </c>
      <c r="E371" s="89" t="s">
        <v>187</v>
      </c>
      <c r="F371" s="96" t="s">
        <v>445</v>
      </c>
      <c r="G371" s="129">
        <v>50</v>
      </c>
      <c r="H371" s="118"/>
      <c r="I371" s="361">
        <f t="shared" si="6"/>
        <v>0</v>
      </c>
      <c r="J371" s="14">
        <f>SUM('ведомствен.2015'!G834+'ведомствен.2015'!G724+'ведомствен.2015'!G619)</f>
        <v>50</v>
      </c>
      <c r="K371" s="283">
        <f t="shared" si="5"/>
        <v>0</v>
      </c>
    </row>
    <row r="372" spans="1:11" s="14" customFormat="1" ht="11.25" customHeight="1" hidden="1">
      <c r="A372" s="265" t="s">
        <v>137</v>
      </c>
      <c r="B372" s="248"/>
      <c r="C372" s="54" t="s">
        <v>104</v>
      </c>
      <c r="D372" s="89" t="s">
        <v>400</v>
      </c>
      <c r="E372" s="89" t="s">
        <v>187</v>
      </c>
      <c r="F372" s="96"/>
      <c r="G372" s="129"/>
      <c r="H372" s="118"/>
      <c r="I372" s="361" t="e">
        <f t="shared" si="6"/>
        <v>#DIV/0!</v>
      </c>
      <c r="K372" s="283">
        <f t="shared" si="5"/>
        <v>0</v>
      </c>
    </row>
    <row r="373" spans="1:11" s="14" customFormat="1" ht="14.25">
      <c r="A373" s="265" t="s">
        <v>282</v>
      </c>
      <c r="B373" s="250"/>
      <c r="C373" s="56" t="s">
        <v>104</v>
      </c>
      <c r="D373" s="88" t="s">
        <v>400</v>
      </c>
      <c r="E373" s="88" t="s">
        <v>283</v>
      </c>
      <c r="F373" s="103"/>
      <c r="G373" s="132">
        <f>SUM(G374)</f>
        <v>6407.9</v>
      </c>
      <c r="H373" s="125">
        <f>SUM(H374)</f>
        <v>4651.1</v>
      </c>
      <c r="I373" s="361">
        <f t="shared" si="6"/>
        <v>72.58384182025314</v>
      </c>
      <c r="K373" s="283">
        <f t="shared" si="5"/>
        <v>6407.9</v>
      </c>
    </row>
    <row r="374" spans="1:11" s="14" customFormat="1" ht="28.5">
      <c r="A374" s="265" t="s">
        <v>50</v>
      </c>
      <c r="B374" s="248"/>
      <c r="C374" s="56" t="s">
        <v>104</v>
      </c>
      <c r="D374" s="88" t="s">
        <v>400</v>
      </c>
      <c r="E374" s="88" t="s">
        <v>284</v>
      </c>
      <c r="F374" s="103"/>
      <c r="G374" s="132">
        <f>SUM(G375+G376+G377)</f>
        <v>6407.9</v>
      </c>
      <c r="H374" s="125">
        <f>SUM(H375+H376+H377)</f>
        <v>4651.1</v>
      </c>
      <c r="I374" s="361">
        <f t="shared" si="6"/>
        <v>72.58384182025314</v>
      </c>
      <c r="K374" s="283">
        <f aca="true" t="shared" si="7" ref="K374:K437">SUM(G374-J374)</f>
        <v>6407.9</v>
      </c>
    </row>
    <row r="375" spans="1:11" s="14" customFormat="1" ht="28.5">
      <c r="A375" s="265" t="s">
        <v>428</v>
      </c>
      <c r="B375" s="248"/>
      <c r="C375" s="56" t="s">
        <v>104</v>
      </c>
      <c r="D375" s="88" t="s">
        <v>400</v>
      </c>
      <c r="E375" s="88" t="s">
        <v>228</v>
      </c>
      <c r="F375" s="103" t="s">
        <v>429</v>
      </c>
      <c r="G375" s="132">
        <v>2570.5</v>
      </c>
      <c r="H375" s="125">
        <v>1951.4</v>
      </c>
      <c r="I375" s="361">
        <f t="shared" si="6"/>
        <v>75.91519159696557</v>
      </c>
      <c r="J375" s="14">
        <f>SUM('ведомствен.2015'!G727)</f>
        <v>2570.5</v>
      </c>
      <c r="K375" s="283">
        <f t="shared" si="7"/>
        <v>0</v>
      </c>
    </row>
    <row r="376" spans="1:11" s="14" customFormat="1" ht="28.5">
      <c r="A376" s="260" t="s">
        <v>675</v>
      </c>
      <c r="B376" s="248"/>
      <c r="C376" s="56" t="s">
        <v>104</v>
      </c>
      <c r="D376" s="88" t="s">
        <v>400</v>
      </c>
      <c r="E376" s="88" t="s">
        <v>228</v>
      </c>
      <c r="F376" s="103" t="s">
        <v>107</v>
      </c>
      <c r="G376" s="132">
        <v>2629</v>
      </c>
      <c r="H376" s="125">
        <v>1786</v>
      </c>
      <c r="I376" s="361">
        <f t="shared" si="6"/>
        <v>67.93457588436668</v>
      </c>
      <c r="J376" s="14">
        <f>SUM('ведомствен.2015'!G728)</f>
        <v>2629</v>
      </c>
      <c r="K376" s="283">
        <f t="shared" si="7"/>
        <v>0</v>
      </c>
    </row>
    <row r="377" spans="1:11" ht="15">
      <c r="A377" s="265" t="s">
        <v>434</v>
      </c>
      <c r="B377" s="248"/>
      <c r="C377" s="56" t="s">
        <v>104</v>
      </c>
      <c r="D377" s="88" t="s">
        <v>400</v>
      </c>
      <c r="E377" s="88" t="s">
        <v>228</v>
      </c>
      <c r="F377" s="103" t="s">
        <v>152</v>
      </c>
      <c r="G377" s="132">
        <v>1208.4</v>
      </c>
      <c r="H377" s="125">
        <v>913.7</v>
      </c>
      <c r="I377" s="361">
        <f t="shared" si="6"/>
        <v>75.61238000662033</v>
      </c>
      <c r="J377" s="14">
        <f>SUM('ведомствен.2015'!G729)</f>
        <v>1208.4</v>
      </c>
      <c r="K377" s="283">
        <f t="shared" si="7"/>
        <v>0</v>
      </c>
    </row>
    <row r="378" spans="1:11" s="18" customFormat="1" ht="28.5">
      <c r="A378" s="222" t="s">
        <v>619</v>
      </c>
      <c r="B378" s="246"/>
      <c r="C378" s="56" t="s">
        <v>104</v>
      </c>
      <c r="D378" s="88" t="s">
        <v>400</v>
      </c>
      <c r="E378" s="117" t="s">
        <v>620</v>
      </c>
      <c r="F378" s="224"/>
      <c r="G378" s="129">
        <f>SUM(G379+G393+G406+G412)+G399+G402+G404</f>
        <v>668375.8</v>
      </c>
      <c r="H378" s="118">
        <f>SUM(H379+H393+H406+H412)</f>
        <v>448767.2</v>
      </c>
      <c r="I378" s="361">
        <f t="shared" si="6"/>
        <v>67.14294563028763</v>
      </c>
      <c r="K378" s="283">
        <f t="shared" si="7"/>
        <v>668375.8</v>
      </c>
    </row>
    <row r="379" spans="1:11" s="18" customFormat="1" ht="85.5">
      <c r="A379" s="509" t="s">
        <v>708</v>
      </c>
      <c r="B379" s="502"/>
      <c r="C379" s="56" t="s">
        <v>104</v>
      </c>
      <c r="D379" s="88" t="s">
        <v>400</v>
      </c>
      <c r="E379" s="517" t="s">
        <v>709</v>
      </c>
      <c r="F379" s="518"/>
      <c r="G379" s="132">
        <f>SUM(G380+G383+G385+G387+G389+G391)</f>
        <v>3736.5</v>
      </c>
      <c r="H379" s="125">
        <f>H380+H383+H385+H391</f>
        <v>2160.2</v>
      </c>
      <c r="I379" s="361">
        <f t="shared" si="6"/>
        <v>57.813461795798204</v>
      </c>
      <c r="K379" s="283">
        <f t="shared" si="7"/>
        <v>3736.5</v>
      </c>
    </row>
    <row r="380" spans="1:11" s="18" customFormat="1" ht="28.5">
      <c r="A380" s="510" t="s">
        <v>710</v>
      </c>
      <c r="B380" s="502"/>
      <c r="C380" s="56" t="s">
        <v>104</v>
      </c>
      <c r="D380" s="88" t="s">
        <v>400</v>
      </c>
      <c r="E380" s="517" t="s">
        <v>711</v>
      </c>
      <c r="F380" s="518"/>
      <c r="G380" s="132">
        <f>G381+G382</f>
        <v>170.5</v>
      </c>
      <c r="H380" s="125">
        <f>H381+H382</f>
        <v>170.5</v>
      </c>
      <c r="I380" s="361">
        <f t="shared" si="6"/>
        <v>100</v>
      </c>
      <c r="K380" s="283">
        <f t="shared" si="7"/>
        <v>170.5</v>
      </c>
    </row>
    <row r="381" spans="1:11" s="18" customFormat="1" ht="15">
      <c r="A381" s="265" t="s">
        <v>433</v>
      </c>
      <c r="B381" s="502"/>
      <c r="C381" s="56" t="s">
        <v>104</v>
      </c>
      <c r="D381" s="88" t="s">
        <v>400</v>
      </c>
      <c r="E381" s="517" t="s">
        <v>711</v>
      </c>
      <c r="F381" s="103" t="s">
        <v>107</v>
      </c>
      <c r="G381" s="132">
        <v>118.8</v>
      </c>
      <c r="H381" s="125">
        <v>118.8</v>
      </c>
      <c r="I381" s="361">
        <f t="shared" si="6"/>
        <v>100</v>
      </c>
      <c r="J381" s="14">
        <f>SUM('ведомствен.2015'!G733)</f>
        <v>118.8</v>
      </c>
      <c r="K381" s="283">
        <f t="shared" si="7"/>
        <v>0</v>
      </c>
    </row>
    <row r="382" spans="1:11" s="18" customFormat="1" ht="28.5">
      <c r="A382" s="265" t="s">
        <v>454</v>
      </c>
      <c r="B382" s="502"/>
      <c r="C382" s="56" t="s">
        <v>104</v>
      </c>
      <c r="D382" s="88" t="s">
        <v>400</v>
      </c>
      <c r="E382" s="517" t="s">
        <v>711</v>
      </c>
      <c r="F382" s="103" t="s">
        <v>445</v>
      </c>
      <c r="G382" s="132">
        <v>51.7</v>
      </c>
      <c r="H382" s="125">
        <v>51.7</v>
      </c>
      <c r="I382" s="361">
        <f t="shared" si="6"/>
        <v>100</v>
      </c>
      <c r="J382" s="14">
        <f>SUM('ведомствен.2015'!G734)</f>
        <v>51.7</v>
      </c>
      <c r="K382" s="283">
        <f t="shared" si="7"/>
        <v>0</v>
      </c>
    </row>
    <row r="383" spans="1:11" s="18" customFormat="1" ht="28.5">
      <c r="A383" s="265" t="s">
        <v>712</v>
      </c>
      <c r="B383" s="502"/>
      <c r="C383" s="56" t="s">
        <v>104</v>
      </c>
      <c r="D383" s="88" t="s">
        <v>400</v>
      </c>
      <c r="E383" s="517" t="s">
        <v>713</v>
      </c>
      <c r="F383" s="103"/>
      <c r="G383" s="132">
        <v>86.6</v>
      </c>
      <c r="H383" s="125">
        <v>86.6</v>
      </c>
      <c r="I383" s="361">
        <f t="shared" si="6"/>
        <v>100</v>
      </c>
      <c r="K383" s="283">
        <f t="shared" si="7"/>
        <v>86.6</v>
      </c>
    </row>
    <row r="384" spans="1:11" s="18" customFormat="1" ht="28.5">
      <c r="A384" s="265" t="s">
        <v>454</v>
      </c>
      <c r="B384" s="502"/>
      <c r="C384" s="56" t="s">
        <v>104</v>
      </c>
      <c r="D384" s="88" t="s">
        <v>400</v>
      </c>
      <c r="E384" s="517" t="s">
        <v>713</v>
      </c>
      <c r="F384" s="103" t="s">
        <v>445</v>
      </c>
      <c r="G384" s="132">
        <v>86.6</v>
      </c>
      <c r="H384" s="125">
        <v>86.6</v>
      </c>
      <c r="I384" s="361">
        <f t="shared" si="6"/>
        <v>100</v>
      </c>
      <c r="J384" s="14">
        <f>SUM('ведомствен.2015'!G736)</f>
        <v>86.6</v>
      </c>
      <c r="K384" s="283">
        <f t="shared" si="7"/>
        <v>0</v>
      </c>
    </row>
    <row r="385" spans="1:11" s="18" customFormat="1" ht="71.25">
      <c r="A385" s="265" t="s">
        <v>1059</v>
      </c>
      <c r="B385" s="502"/>
      <c r="C385" s="56" t="s">
        <v>104</v>
      </c>
      <c r="D385" s="88" t="s">
        <v>400</v>
      </c>
      <c r="E385" s="517" t="s">
        <v>1060</v>
      </c>
      <c r="F385" s="103"/>
      <c r="G385" s="132">
        <f>SUM(G386)</f>
        <v>415.2</v>
      </c>
      <c r="H385" s="125">
        <f>SUM(H386)</f>
        <v>415.2</v>
      </c>
      <c r="I385" s="361">
        <f t="shared" si="6"/>
        <v>100</v>
      </c>
      <c r="J385" s="14"/>
      <c r="K385" s="283">
        <f t="shared" si="7"/>
        <v>415.2</v>
      </c>
    </row>
    <row r="386" spans="1:11" s="18" customFormat="1" ht="28.5">
      <c r="A386" s="265" t="s">
        <v>454</v>
      </c>
      <c r="B386" s="502"/>
      <c r="C386" s="56" t="s">
        <v>104</v>
      </c>
      <c r="D386" s="88" t="s">
        <v>400</v>
      </c>
      <c r="E386" s="517" t="s">
        <v>1060</v>
      </c>
      <c r="F386" s="103" t="s">
        <v>445</v>
      </c>
      <c r="G386" s="132">
        <v>415.2</v>
      </c>
      <c r="H386" s="125">
        <v>415.2</v>
      </c>
      <c r="I386" s="361">
        <f t="shared" si="6"/>
        <v>100</v>
      </c>
      <c r="J386" s="14">
        <f>SUM('ведомствен.2015'!G738)</f>
        <v>415.2</v>
      </c>
      <c r="K386" s="283">
        <f t="shared" si="7"/>
        <v>0</v>
      </c>
    </row>
    <row r="387" spans="1:11" s="18" customFormat="1" ht="57">
      <c r="A387" s="116" t="s">
        <v>1247</v>
      </c>
      <c r="B387" s="246"/>
      <c r="C387" s="54" t="s">
        <v>104</v>
      </c>
      <c r="D387" s="89" t="s">
        <v>400</v>
      </c>
      <c r="E387" s="117" t="s">
        <v>1248</v>
      </c>
      <c r="F387" s="532"/>
      <c r="G387" s="129">
        <f>G388</f>
        <v>493.9</v>
      </c>
      <c r="H387" s="125"/>
      <c r="I387" s="361"/>
      <c r="J387" s="14"/>
      <c r="K387" s="283">
        <f t="shared" si="7"/>
        <v>493.9</v>
      </c>
    </row>
    <row r="388" spans="1:11" s="18" customFormat="1" ht="28.5">
      <c r="A388" s="116" t="s">
        <v>675</v>
      </c>
      <c r="B388" s="246"/>
      <c r="C388" s="54" t="s">
        <v>104</v>
      </c>
      <c r="D388" s="89" t="s">
        <v>400</v>
      </c>
      <c r="E388" s="117" t="s">
        <v>1248</v>
      </c>
      <c r="F388" s="532">
        <v>200</v>
      </c>
      <c r="G388" s="129">
        <v>493.9</v>
      </c>
      <c r="H388" s="125"/>
      <c r="I388" s="361"/>
      <c r="J388" s="14">
        <f>SUM('ведомствен.2015'!G740)</f>
        <v>493.9</v>
      </c>
      <c r="K388" s="283">
        <f t="shared" si="7"/>
        <v>0</v>
      </c>
    </row>
    <row r="389" spans="1:11" s="18" customFormat="1" ht="42.75">
      <c r="A389" s="116" t="s">
        <v>1249</v>
      </c>
      <c r="B389" s="246"/>
      <c r="C389" s="54" t="s">
        <v>104</v>
      </c>
      <c r="D389" s="89" t="s">
        <v>400</v>
      </c>
      <c r="E389" s="117" t="s">
        <v>1250</v>
      </c>
      <c r="F389" s="532"/>
      <c r="G389" s="129">
        <f>G390</f>
        <v>1082.4</v>
      </c>
      <c r="H389" s="125"/>
      <c r="I389" s="361"/>
      <c r="J389" s="14"/>
      <c r="K389" s="283">
        <f t="shared" si="7"/>
        <v>1082.4</v>
      </c>
    </row>
    <row r="390" spans="1:11" s="18" customFormat="1" ht="28.5">
      <c r="A390" s="116" t="s">
        <v>454</v>
      </c>
      <c r="B390" s="246"/>
      <c r="C390" s="54" t="s">
        <v>104</v>
      </c>
      <c r="D390" s="89" t="s">
        <v>400</v>
      </c>
      <c r="E390" s="117" t="s">
        <v>1250</v>
      </c>
      <c r="F390" s="532">
        <v>600</v>
      </c>
      <c r="G390" s="129">
        <v>1082.4</v>
      </c>
      <c r="H390" s="125"/>
      <c r="I390" s="361"/>
      <c r="J390" s="14">
        <f>SUM('ведомствен.2015'!G742)</f>
        <v>1082.4</v>
      </c>
      <c r="K390" s="283">
        <f t="shared" si="7"/>
        <v>0</v>
      </c>
    </row>
    <row r="391" spans="1:11" s="18" customFormat="1" ht="28.5">
      <c r="A391" s="265" t="s">
        <v>1061</v>
      </c>
      <c r="B391" s="502"/>
      <c r="C391" s="56" t="s">
        <v>104</v>
      </c>
      <c r="D391" s="88" t="s">
        <v>400</v>
      </c>
      <c r="E391" s="517" t="s">
        <v>1062</v>
      </c>
      <c r="F391" s="103"/>
      <c r="G391" s="132">
        <f>SUM(G392)</f>
        <v>1487.9</v>
      </c>
      <c r="H391" s="125">
        <f>SUM(H392)</f>
        <v>1487.9</v>
      </c>
      <c r="I391" s="361">
        <f t="shared" si="6"/>
        <v>100</v>
      </c>
      <c r="J391" s="14"/>
      <c r="K391" s="283">
        <f t="shared" si="7"/>
        <v>1487.9</v>
      </c>
    </row>
    <row r="392" spans="1:11" s="18" customFormat="1" ht="28.5">
      <c r="A392" s="265" t="s">
        <v>454</v>
      </c>
      <c r="B392" s="502"/>
      <c r="C392" s="56" t="s">
        <v>104</v>
      </c>
      <c r="D392" s="88" t="s">
        <v>400</v>
      </c>
      <c r="E392" s="517" t="s">
        <v>1062</v>
      </c>
      <c r="F392" s="103" t="s">
        <v>445</v>
      </c>
      <c r="G392" s="132">
        <v>1487.9</v>
      </c>
      <c r="H392" s="125">
        <v>1487.9</v>
      </c>
      <c r="I392" s="361">
        <f t="shared" si="6"/>
        <v>100</v>
      </c>
      <c r="J392" s="14">
        <f>SUM('ведомствен.2015'!G744)</f>
        <v>1487.9</v>
      </c>
      <c r="K392" s="283">
        <f t="shared" si="7"/>
        <v>0</v>
      </c>
    </row>
    <row r="393" spans="1:11" s="18" customFormat="1" ht="114.75" customHeight="1">
      <c r="A393" s="213" t="s">
        <v>621</v>
      </c>
      <c r="B393" s="128"/>
      <c r="C393" s="54" t="s">
        <v>104</v>
      </c>
      <c r="D393" s="89" t="s">
        <v>400</v>
      </c>
      <c r="E393" s="121" t="s">
        <v>622</v>
      </c>
      <c r="F393" s="95"/>
      <c r="G393" s="129">
        <f>SUM(G394+G396)</f>
        <v>54187.8</v>
      </c>
      <c r="H393" s="118">
        <f>SUM(H394+H396)</f>
        <v>33526.2</v>
      </c>
      <c r="I393" s="361">
        <f t="shared" si="6"/>
        <v>61.870384108600085</v>
      </c>
      <c r="K393" s="283">
        <f t="shared" si="7"/>
        <v>54187.8</v>
      </c>
    </row>
    <row r="394" spans="1:11" s="18" customFormat="1" ht="42.75">
      <c r="A394" s="222" t="s">
        <v>625</v>
      </c>
      <c r="B394" s="128"/>
      <c r="C394" s="54" t="s">
        <v>104</v>
      </c>
      <c r="D394" s="89" t="s">
        <v>400</v>
      </c>
      <c r="E394" s="121" t="s">
        <v>626</v>
      </c>
      <c r="F394" s="95"/>
      <c r="G394" s="129">
        <f>G395</f>
        <v>6261</v>
      </c>
      <c r="H394" s="118">
        <f>H395</f>
        <v>4314</v>
      </c>
      <c r="I394" s="361">
        <f t="shared" si="6"/>
        <v>68.90273119310014</v>
      </c>
      <c r="K394" s="283">
        <f t="shared" si="7"/>
        <v>6261</v>
      </c>
    </row>
    <row r="395" spans="1:11" s="18" customFormat="1" ht="28.5">
      <c r="A395" s="116" t="s">
        <v>447</v>
      </c>
      <c r="B395" s="128"/>
      <c r="C395" s="54" t="s">
        <v>104</v>
      </c>
      <c r="D395" s="89" t="s">
        <v>400</v>
      </c>
      <c r="E395" s="121" t="s">
        <v>626</v>
      </c>
      <c r="F395" s="95" t="s">
        <v>445</v>
      </c>
      <c r="G395" s="129">
        <v>6261</v>
      </c>
      <c r="H395" s="118">
        <v>4314</v>
      </c>
      <c r="I395" s="361">
        <f t="shared" si="6"/>
        <v>68.90273119310014</v>
      </c>
      <c r="J395" s="14">
        <f>SUM('ведомствен.2015'!G747)</f>
        <v>6261</v>
      </c>
      <c r="K395" s="283">
        <f t="shared" si="7"/>
        <v>0</v>
      </c>
    </row>
    <row r="396" spans="1:11" s="18" customFormat="1" ht="85.5">
      <c r="A396" s="213" t="s">
        <v>623</v>
      </c>
      <c r="B396" s="128"/>
      <c r="C396" s="54" t="s">
        <v>104</v>
      </c>
      <c r="D396" s="89" t="s">
        <v>400</v>
      </c>
      <c r="E396" s="121" t="s">
        <v>624</v>
      </c>
      <c r="F396" s="95"/>
      <c r="G396" s="129">
        <f>G397+G398</f>
        <v>47926.8</v>
      </c>
      <c r="H396" s="118">
        <f>H397+H398</f>
        <v>29212.2</v>
      </c>
      <c r="I396" s="361">
        <f t="shared" si="6"/>
        <v>60.951701344550436</v>
      </c>
      <c r="K396" s="283">
        <f t="shared" si="7"/>
        <v>47926.8</v>
      </c>
    </row>
    <row r="397" spans="1:11" s="18" customFormat="1" ht="28.5">
      <c r="A397" s="116" t="s">
        <v>428</v>
      </c>
      <c r="B397" s="246"/>
      <c r="C397" s="54" t="s">
        <v>104</v>
      </c>
      <c r="D397" s="89" t="s">
        <v>400</v>
      </c>
      <c r="E397" s="121" t="s">
        <v>624</v>
      </c>
      <c r="F397" s="95" t="s">
        <v>429</v>
      </c>
      <c r="G397" s="129">
        <v>44606.3</v>
      </c>
      <c r="H397" s="118">
        <v>27742.8</v>
      </c>
      <c r="I397" s="361">
        <f t="shared" si="6"/>
        <v>62.19480207952688</v>
      </c>
      <c r="J397" s="14">
        <f>SUM('ведомствен.2015'!G749)</f>
        <v>44606.3</v>
      </c>
      <c r="K397" s="283">
        <f t="shared" si="7"/>
        <v>0</v>
      </c>
    </row>
    <row r="398" spans="1:11" s="18" customFormat="1" ht="28.5">
      <c r="A398" s="260" t="s">
        <v>675</v>
      </c>
      <c r="B398" s="246"/>
      <c r="C398" s="54" t="s">
        <v>104</v>
      </c>
      <c r="D398" s="89" t="s">
        <v>400</v>
      </c>
      <c r="E398" s="121" t="s">
        <v>624</v>
      </c>
      <c r="F398" s="95" t="s">
        <v>107</v>
      </c>
      <c r="G398" s="129">
        <v>3320.5</v>
      </c>
      <c r="H398" s="118">
        <v>1469.4</v>
      </c>
      <c r="I398" s="361">
        <f t="shared" si="6"/>
        <v>44.2523716307785</v>
      </c>
      <c r="J398" s="14">
        <f>SUM('ведомствен.2015'!G750)</f>
        <v>3320.5</v>
      </c>
      <c r="K398" s="283">
        <f t="shared" si="7"/>
        <v>0</v>
      </c>
    </row>
    <row r="399" spans="1:11" s="18" customFormat="1" ht="42.75">
      <c r="A399" s="260" t="s">
        <v>1251</v>
      </c>
      <c r="B399" s="301"/>
      <c r="C399" s="54" t="s">
        <v>104</v>
      </c>
      <c r="D399" s="89" t="s">
        <v>400</v>
      </c>
      <c r="E399" s="121" t="s">
        <v>1252</v>
      </c>
      <c r="F399" s="95"/>
      <c r="G399" s="129">
        <f>SUM(G400)</f>
        <v>600</v>
      </c>
      <c r="H399" s="118"/>
      <c r="I399" s="361"/>
      <c r="J399" s="14"/>
      <c r="K399" s="283">
        <f t="shared" si="7"/>
        <v>600</v>
      </c>
    </row>
    <row r="400" spans="1:11" s="18" customFormat="1" ht="85.5">
      <c r="A400" s="122" t="s">
        <v>1254</v>
      </c>
      <c r="B400" s="128"/>
      <c r="C400" s="54" t="s">
        <v>104</v>
      </c>
      <c r="D400" s="89" t="s">
        <v>400</v>
      </c>
      <c r="E400" s="121" t="s">
        <v>1253</v>
      </c>
      <c r="F400" s="95"/>
      <c r="G400" s="129">
        <f>G401</f>
        <v>600</v>
      </c>
      <c r="H400" s="118"/>
      <c r="I400" s="361"/>
      <c r="J400" s="14"/>
      <c r="K400" s="283">
        <f t="shared" si="7"/>
        <v>600</v>
      </c>
    </row>
    <row r="401" spans="1:11" s="18" customFormat="1" ht="28.5">
      <c r="A401" s="116" t="s">
        <v>447</v>
      </c>
      <c r="B401" s="128"/>
      <c r="C401" s="54" t="s">
        <v>104</v>
      </c>
      <c r="D401" s="89" t="s">
        <v>400</v>
      </c>
      <c r="E401" s="121" t="s">
        <v>1253</v>
      </c>
      <c r="F401" s="95" t="s">
        <v>445</v>
      </c>
      <c r="G401" s="129">
        <v>600</v>
      </c>
      <c r="H401" s="118"/>
      <c r="I401" s="361"/>
      <c r="J401" s="14">
        <f>SUM('ведомствен.2015'!G753)</f>
        <v>600</v>
      </c>
      <c r="K401" s="283">
        <f t="shared" si="7"/>
        <v>0</v>
      </c>
    </row>
    <row r="402" spans="1:11" s="18" customFormat="1" ht="28.5">
      <c r="A402" s="122" t="s">
        <v>1255</v>
      </c>
      <c r="B402" s="128"/>
      <c r="C402" s="54" t="s">
        <v>104</v>
      </c>
      <c r="D402" s="89" t="s">
        <v>400</v>
      </c>
      <c r="E402" s="121" t="s">
        <v>1256</v>
      </c>
      <c r="F402" s="95"/>
      <c r="G402" s="129">
        <f>G403</f>
        <v>2582.4</v>
      </c>
      <c r="H402" s="118"/>
      <c r="I402" s="361"/>
      <c r="J402" s="14"/>
      <c r="K402" s="283">
        <f t="shared" si="7"/>
        <v>2582.4</v>
      </c>
    </row>
    <row r="403" spans="1:11" s="18" customFormat="1" ht="28.5">
      <c r="A403" s="116" t="s">
        <v>447</v>
      </c>
      <c r="B403" s="128"/>
      <c r="C403" s="54" t="s">
        <v>104</v>
      </c>
      <c r="D403" s="89" t="s">
        <v>400</v>
      </c>
      <c r="E403" s="121" t="s">
        <v>1256</v>
      </c>
      <c r="F403" s="95" t="s">
        <v>445</v>
      </c>
      <c r="G403" s="129">
        <v>2582.4</v>
      </c>
      <c r="H403" s="118"/>
      <c r="I403" s="361"/>
      <c r="J403" s="14">
        <f>SUM('ведомствен.2015'!G755)</f>
        <v>2582.4</v>
      </c>
      <c r="K403" s="283">
        <f t="shared" si="7"/>
        <v>0</v>
      </c>
    </row>
    <row r="404" spans="1:11" s="18" customFormat="1" ht="42.75">
      <c r="A404" s="122" t="s">
        <v>1257</v>
      </c>
      <c r="B404" s="128"/>
      <c r="C404" s="54" t="s">
        <v>104</v>
      </c>
      <c r="D404" s="89" t="s">
        <v>400</v>
      </c>
      <c r="E404" s="121" t="s">
        <v>1258</v>
      </c>
      <c r="F404" s="95"/>
      <c r="G404" s="129">
        <f>G405</f>
        <v>3132.6</v>
      </c>
      <c r="H404" s="118"/>
      <c r="I404" s="361"/>
      <c r="J404" s="14"/>
      <c r="K404" s="283">
        <f t="shared" si="7"/>
        <v>3132.6</v>
      </c>
    </row>
    <row r="405" spans="1:11" s="18" customFormat="1" ht="28.5">
      <c r="A405" s="116" t="s">
        <v>675</v>
      </c>
      <c r="B405" s="128"/>
      <c r="C405" s="54" t="s">
        <v>104</v>
      </c>
      <c r="D405" s="89" t="s">
        <v>400</v>
      </c>
      <c r="E405" s="121" t="s">
        <v>1258</v>
      </c>
      <c r="F405" s="95" t="s">
        <v>107</v>
      </c>
      <c r="G405" s="129">
        <v>3132.6</v>
      </c>
      <c r="H405" s="118"/>
      <c r="I405" s="361"/>
      <c r="J405" s="14">
        <f>SUM('ведомствен.2015'!G757)</f>
        <v>3132.6</v>
      </c>
      <c r="K405" s="283">
        <f t="shared" si="7"/>
        <v>0</v>
      </c>
    </row>
    <row r="406" spans="1:11" s="18" customFormat="1" ht="28.5">
      <c r="A406" s="265" t="s">
        <v>525</v>
      </c>
      <c r="B406" s="246"/>
      <c r="C406" s="54" t="s">
        <v>104</v>
      </c>
      <c r="D406" s="89" t="s">
        <v>400</v>
      </c>
      <c r="E406" s="212" t="s">
        <v>632</v>
      </c>
      <c r="F406" s="95"/>
      <c r="G406" s="129">
        <f>SUM(G407+G409)</f>
        <v>313774.4</v>
      </c>
      <c r="H406" s="118">
        <f>SUM(H407+H409)</f>
        <v>219421.9</v>
      </c>
      <c r="I406" s="361">
        <f t="shared" si="6"/>
        <v>69.92982856472675</v>
      </c>
      <c r="K406" s="283">
        <f t="shared" si="7"/>
        <v>313774.4</v>
      </c>
    </row>
    <row r="407" spans="1:11" s="18" customFormat="1" ht="28.5">
      <c r="A407" s="265" t="s">
        <v>84</v>
      </c>
      <c r="B407" s="246"/>
      <c r="C407" s="54" t="s">
        <v>104</v>
      </c>
      <c r="D407" s="89" t="s">
        <v>400</v>
      </c>
      <c r="E407" s="121" t="s">
        <v>629</v>
      </c>
      <c r="F407" s="95"/>
      <c r="G407" s="129">
        <f>SUM(G408)</f>
        <v>311135</v>
      </c>
      <c r="H407" s="118">
        <f>SUM(H408)</f>
        <v>217427.5</v>
      </c>
      <c r="I407" s="361">
        <f t="shared" si="6"/>
        <v>69.88204477156218</v>
      </c>
      <c r="K407" s="283">
        <f t="shared" si="7"/>
        <v>311135</v>
      </c>
    </row>
    <row r="408" spans="1:11" s="18" customFormat="1" ht="28.5">
      <c r="A408" s="116" t="s">
        <v>447</v>
      </c>
      <c r="B408" s="128"/>
      <c r="C408" s="54" t="s">
        <v>104</v>
      </c>
      <c r="D408" s="89" t="s">
        <v>400</v>
      </c>
      <c r="E408" s="212" t="s">
        <v>629</v>
      </c>
      <c r="F408" s="95" t="s">
        <v>445</v>
      </c>
      <c r="G408" s="129">
        <v>311135</v>
      </c>
      <c r="H408" s="118">
        <v>217427.5</v>
      </c>
      <c r="I408" s="361">
        <f t="shared" si="6"/>
        <v>69.88204477156218</v>
      </c>
      <c r="J408" s="14">
        <f>SUM('ведомствен.2015'!G760)</f>
        <v>311135</v>
      </c>
      <c r="K408" s="283">
        <f t="shared" si="7"/>
        <v>0</v>
      </c>
    </row>
    <row r="409" spans="1:11" s="18" customFormat="1" ht="14.25">
      <c r="A409" s="115" t="s">
        <v>140</v>
      </c>
      <c r="B409" s="128"/>
      <c r="C409" s="54" t="s">
        <v>104</v>
      </c>
      <c r="D409" s="89" t="s">
        <v>400</v>
      </c>
      <c r="E409" s="121" t="s">
        <v>631</v>
      </c>
      <c r="F409" s="95"/>
      <c r="G409" s="129">
        <f>SUM(G410)</f>
        <v>2639.4</v>
      </c>
      <c r="H409" s="118">
        <f>SUM(H410)</f>
        <v>1994.4</v>
      </c>
      <c r="I409" s="361">
        <f t="shared" si="6"/>
        <v>75.56262786997044</v>
      </c>
      <c r="K409" s="283">
        <f t="shared" si="7"/>
        <v>2639.4</v>
      </c>
    </row>
    <row r="410" spans="1:11" s="18" customFormat="1" ht="28.5">
      <c r="A410" s="116" t="s">
        <v>355</v>
      </c>
      <c r="B410" s="128"/>
      <c r="C410" s="54" t="s">
        <v>104</v>
      </c>
      <c r="D410" s="89" t="s">
        <v>400</v>
      </c>
      <c r="E410" s="121" t="s">
        <v>630</v>
      </c>
      <c r="F410" s="95"/>
      <c r="G410" s="129">
        <f>SUM(G411)</f>
        <v>2639.4</v>
      </c>
      <c r="H410" s="118">
        <f>SUM(H411)</f>
        <v>1994.4</v>
      </c>
      <c r="I410" s="361">
        <f t="shared" si="6"/>
        <v>75.56262786997044</v>
      </c>
      <c r="K410" s="283">
        <f t="shared" si="7"/>
        <v>2639.4</v>
      </c>
    </row>
    <row r="411" spans="1:11" s="18" customFormat="1" ht="28.5">
      <c r="A411" s="116" t="s">
        <v>454</v>
      </c>
      <c r="B411" s="246"/>
      <c r="C411" s="54" t="s">
        <v>104</v>
      </c>
      <c r="D411" s="89" t="s">
        <v>400</v>
      </c>
      <c r="E411" s="121" t="s">
        <v>630</v>
      </c>
      <c r="F411" s="95" t="s">
        <v>445</v>
      </c>
      <c r="G411" s="129">
        <f>505.1+2134.3</f>
        <v>2639.4</v>
      </c>
      <c r="H411" s="118">
        <v>1994.4</v>
      </c>
      <c r="I411" s="361">
        <f t="shared" si="6"/>
        <v>75.56262786997044</v>
      </c>
      <c r="J411" s="14">
        <f>SUM('ведомствен.2015'!G763)</f>
        <v>2639.4</v>
      </c>
      <c r="K411" s="283">
        <f t="shared" si="7"/>
        <v>0</v>
      </c>
    </row>
    <row r="412" spans="1:11" s="18" customFormat="1" ht="71.25">
      <c r="A412" s="222" t="s">
        <v>627</v>
      </c>
      <c r="B412" s="128"/>
      <c r="C412" s="54" t="s">
        <v>104</v>
      </c>
      <c r="D412" s="89" t="s">
        <v>400</v>
      </c>
      <c r="E412" s="121" t="s">
        <v>628</v>
      </c>
      <c r="F412" s="95"/>
      <c r="G412" s="129">
        <f>SUM(G413:G414)</f>
        <v>290362.10000000003</v>
      </c>
      <c r="H412" s="118">
        <f>SUM(H413:H414)</f>
        <v>193658.90000000002</v>
      </c>
      <c r="I412" s="361">
        <f t="shared" si="6"/>
        <v>66.69565346166046</v>
      </c>
      <c r="K412" s="283">
        <f t="shared" si="7"/>
        <v>290362.10000000003</v>
      </c>
    </row>
    <row r="413" spans="1:11" s="18" customFormat="1" ht="28.5">
      <c r="A413" s="116" t="s">
        <v>428</v>
      </c>
      <c r="B413" s="128"/>
      <c r="C413" s="54" t="s">
        <v>104</v>
      </c>
      <c r="D413" s="89" t="s">
        <v>400</v>
      </c>
      <c r="E413" s="121" t="s">
        <v>628</v>
      </c>
      <c r="F413" s="95" t="s">
        <v>429</v>
      </c>
      <c r="G413" s="129">
        <v>286727.4</v>
      </c>
      <c r="H413" s="118">
        <v>191788.7</v>
      </c>
      <c r="I413" s="361">
        <f t="shared" si="6"/>
        <v>66.88886377792984</v>
      </c>
      <c r="J413" s="14">
        <f>SUM('ведомствен.2015'!G765)</f>
        <v>286727.4</v>
      </c>
      <c r="K413" s="283">
        <f t="shared" si="7"/>
        <v>0</v>
      </c>
    </row>
    <row r="414" spans="1:11" s="18" customFormat="1" ht="28.5">
      <c r="A414" s="260" t="s">
        <v>675</v>
      </c>
      <c r="B414" s="128"/>
      <c r="C414" s="54" t="s">
        <v>104</v>
      </c>
      <c r="D414" s="89" t="s">
        <v>400</v>
      </c>
      <c r="E414" s="121" t="s">
        <v>628</v>
      </c>
      <c r="F414" s="95" t="s">
        <v>107</v>
      </c>
      <c r="G414" s="129">
        <v>3634.7</v>
      </c>
      <c r="H414" s="118">
        <v>1870.2</v>
      </c>
      <c r="I414" s="361">
        <f t="shared" si="6"/>
        <v>51.45404022340221</v>
      </c>
      <c r="J414" s="14">
        <f>SUM('ведомствен.2015'!G766)</f>
        <v>3634.7</v>
      </c>
      <c r="K414" s="283">
        <f t="shared" si="7"/>
        <v>0</v>
      </c>
    </row>
    <row r="415" spans="1:11" ht="28.5">
      <c r="A415" s="260" t="s">
        <v>573</v>
      </c>
      <c r="B415" s="240"/>
      <c r="C415" s="54" t="s">
        <v>104</v>
      </c>
      <c r="D415" s="89" t="s">
        <v>400</v>
      </c>
      <c r="E415" s="89" t="s">
        <v>574</v>
      </c>
      <c r="F415" s="94"/>
      <c r="G415" s="129">
        <f>SUM(G416)</f>
        <v>62978.8</v>
      </c>
      <c r="H415" s="118">
        <f>SUM(H416)</f>
        <v>40825.50000000001</v>
      </c>
      <c r="I415" s="361">
        <f t="shared" si="6"/>
        <v>64.82419480841173</v>
      </c>
      <c r="J415"/>
      <c r="K415" s="283">
        <f t="shared" si="7"/>
        <v>62978.8</v>
      </c>
    </row>
    <row r="416" spans="1:11" ht="28.5">
      <c r="A416" s="260" t="s">
        <v>50</v>
      </c>
      <c r="B416" s="240"/>
      <c r="C416" s="54" t="s">
        <v>104</v>
      </c>
      <c r="D416" s="89" t="s">
        <v>400</v>
      </c>
      <c r="E416" s="89" t="s">
        <v>575</v>
      </c>
      <c r="F416" s="94"/>
      <c r="G416" s="129">
        <f>SUM(G417)</f>
        <v>62978.8</v>
      </c>
      <c r="H416" s="118">
        <f>SUM(H417)</f>
        <v>40825.50000000001</v>
      </c>
      <c r="I416" s="361">
        <f t="shared" si="6"/>
        <v>64.82419480841173</v>
      </c>
      <c r="J416"/>
      <c r="K416" s="283">
        <f t="shared" si="7"/>
        <v>62978.8</v>
      </c>
    </row>
    <row r="417" spans="1:11" ht="71.25">
      <c r="A417" s="260" t="s">
        <v>405</v>
      </c>
      <c r="B417" s="240"/>
      <c r="C417" s="54" t="s">
        <v>104</v>
      </c>
      <c r="D417" s="89" t="s">
        <v>400</v>
      </c>
      <c r="E417" s="89" t="s">
        <v>576</v>
      </c>
      <c r="F417" s="94"/>
      <c r="G417" s="129">
        <f>SUM(G418:G421)</f>
        <v>62978.8</v>
      </c>
      <c r="H417" s="118">
        <f>SUM(H418:H421)</f>
        <v>40825.50000000001</v>
      </c>
      <c r="I417" s="361">
        <f t="shared" si="6"/>
        <v>64.82419480841173</v>
      </c>
      <c r="J417"/>
      <c r="K417" s="283">
        <f t="shared" si="7"/>
        <v>62978.8</v>
      </c>
    </row>
    <row r="418" spans="1:11" ht="28.5">
      <c r="A418" s="260" t="s">
        <v>428</v>
      </c>
      <c r="B418" s="240"/>
      <c r="C418" s="54" t="s">
        <v>104</v>
      </c>
      <c r="D418" s="89" t="s">
        <v>400</v>
      </c>
      <c r="E418" s="89" t="s">
        <v>576</v>
      </c>
      <c r="F418" s="94" t="s">
        <v>429</v>
      </c>
      <c r="G418" s="129">
        <v>44147.6</v>
      </c>
      <c r="H418" s="118">
        <v>29239.8</v>
      </c>
      <c r="I418" s="361">
        <f t="shared" si="6"/>
        <v>66.23191294657013</v>
      </c>
      <c r="J418">
        <f>SUM('ведомствен.2015'!G436)</f>
        <v>44147.6</v>
      </c>
      <c r="K418" s="283">
        <f t="shared" si="7"/>
        <v>0</v>
      </c>
    </row>
    <row r="419" spans="1:11" ht="28.5">
      <c r="A419" s="260" t="s">
        <v>675</v>
      </c>
      <c r="B419" s="240"/>
      <c r="C419" s="54" t="s">
        <v>104</v>
      </c>
      <c r="D419" s="89" t="s">
        <v>400</v>
      </c>
      <c r="E419" s="89" t="s">
        <v>576</v>
      </c>
      <c r="F419" s="94" t="s">
        <v>107</v>
      </c>
      <c r="G419" s="129">
        <v>18147</v>
      </c>
      <c r="H419" s="118">
        <v>11062.1</v>
      </c>
      <c r="I419" s="361">
        <f t="shared" si="6"/>
        <v>60.958285115997136</v>
      </c>
      <c r="J419">
        <f>SUM('ведомствен.2015'!G437)</f>
        <v>18147</v>
      </c>
      <c r="K419" s="283">
        <f t="shared" si="7"/>
        <v>0</v>
      </c>
    </row>
    <row r="420" spans="1:11" ht="14.25">
      <c r="A420" s="260" t="s">
        <v>438</v>
      </c>
      <c r="B420" s="498"/>
      <c r="C420" s="54" t="s">
        <v>104</v>
      </c>
      <c r="D420" s="89" t="s">
        <v>400</v>
      </c>
      <c r="E420" s="89" t="s">
        <v>576</v>
      </c>
      <c r="F420" s="94" t="s">
        <v>439</v>
      </c>
      <c r="G420" s="129">
        <v>37.3</v>
      </c>
      <c r="H420" s="118">
        <v>37.3</v>
      </c>
      <c r="I420" s="361">
        <f t="shared" si="6"/>
        <v>100</v>
      </c>
      <c r="J420">
        <f>SUM('ведомствен.2015'!G438)</f>
        <v>37.3</v>
      </c>
      <c r="K420" s="283">
        <f t="shared" si="7"/>
        <v>0</v>
      </c>
    </row>
    <row r="421" spans="1:11" ht="14.25">
      <c r="A421" s="260" t="s">
        <v>434</v>
      </c>
      <c r="B421" s="498"/>
      <c r="C421" s="54" t="s">
        <v>104</v>
      </c>
      <c r="D421" s="89" t="s">
        <v>400</v>
      </c>
      <c r="E421" s="89" t="s">
        <v>576</v>
      </c>
      <c r="F421" s="94" t="s">
        <v>152</v>
      </c>
      <c r="G421" s="129">
        <v>646.9</v>
      </c>
      <c r="H421" s="118">
        <v>486.3</v>
      </c>
      <c r="I421" s="361">
        <f t="shared" si="6"/>
        <v>75.17390632246097</v>
      </c>
      <c r="J421">
        <f>SUM('ведомствен.2015'!G439)</f>
        <v>646.9</v>
      </c>
      <c r="K421" s="283">
        <f t="shared" si="7"/>
        <v>0</v>
      </c>
    </row>
    <row r="422" spans="1:11" ht="14.25">
      <c r="A422" s="265" t="s">
        <v>512</v>
      </c>
      <c r="B422" s="128"/>
      <c r="C422" s="54" t="s">
        <v>104</v>
      </c>
      <c r="D422" s="89" t="s">
        <v>400</v>
      </c>
      <c r="E422" s="89" t="s">
        <v>116</v>
      </c>
      <c r="F422" s="95"/>
      <c r="G422" s="129">
        <f>SUM(G423+G426)</f>
        <v>9530.599999999999</v>
      </c>
      <c r="H422" s="118">
        <f>SUM(H423+H426)</f>
        <v>5805.299999999999</v>
      </c>
      <c r="I422" s="361">
        <f t="shared" si="6"/>
        <v>60.91221958743416</v>
      </c>
      <c r="J422"/>
      <c r="K422" s="283">
        <f t="shared" si="7"/>
        <v>9530.599999999999</v>
      </c>
    </row>
    <row r="423" spans="1:11" ht="28.5">
      <c r="A423" s="116" t="s">
        <v>615</v>
      </c>
      <c r="B423" s="501"/>
      <c r="C423" s="54" t="s">
        <v>104</v>
      </c>
      <c r="D423" s="89" t="s">
        <v>400</v>
      </c>
      <c r="E423" s="89" t="s">
        <v>616</v>
      </c>
      <c r="F423" s="95"/>
      <c r="G423" s="129">
        <f>SUM(G424:G425)</f>
        <v>8730.599999999999</v>
      </c>
      <c r="H423" s="118">
        <f>SUM(H424:H425)</f>
        <v>5225.9</v>
      </c>
      <c r="I423" s="361">
        <f t="shared" si="6"/>
        <v>59.85728357730282</v>
      </c>
      <c r="J423"/>
      <c r="K423" s="283">
        <f t="shared" si="7"/>
        <v>8730.599999999999</v>
      </c>
    </row>
    <row r="424" spans="1:11" ht="28.5">
      <c r="A424" s="260" t="s">
        <v>675</v>
      </c>
      <c r="B424" s="501"/>
      <c r="C424" s="54" t="s">
        <v>104</v>
      </c>
      <c r="D424" s="89" t="s">
        <v>400</v>
      </c>
      <c r="E424" s="89" t="s">
        <v>616</v>
      </c>
      <c r="F424" s="95" t="s">
        <v>107</v>
      </c>
      <c r="G424" s="129">
        <v>4125.2</v>
      </c>
      <c r="H424" s="118">
        <v>2983.9</v>
      </c>
      <c r="I424" s="361">
        <f t="shared" si="6"/>
        <v>72.33346261999418</v>
      </c>
      <c r="J424">
        <f>SUM('ведомствен.2015'!G769)</f>
        <v>4125.2</v>
      </c>
      <c r="K424" s="283">
        <f t="shared" si="7"/>
        <v>0</v>
      </c>
    </row>
    <row r="425" spans="1:11" ht="28.5">
      <c r="A425" s="116" t="s">
        <v>454</v>
      </c>
      <c r="B425" s="501"/>
      <c r="C425" s="54" t="s">
        <v>104</v>
      </c>
      <c r="D425" s="89" t="s">
        <v>400</v>
      </c>
      <c r="E425" s="89" t="s">
        <v>616</v>
      </c>
      <c r="F425" s="95" t="s">
        <v>445</v>
      </c>
      <c r="G425" s="129">
        <v>4605.4</v>
      </c>
      <c r="H425" s="118">
        <v>2242</v>
      </c>
      <c r="I425" s="361">
        <f t="shared" si="6"/>
        <v>48.68198202110566</v>
      </c>
      <c r="J425">
        <f>SUM('ведомствен.2015'!G770)</f>
        <v>4605.4</v>
      </c>
      <c r="K425" s="283">
        <f t="shared" si="7"/>
        <v>0</v>
      </c>
    </row>
    <row r="426" spans="1:11" ht="28.5">
      <c r="A426" s="116" t="s">
        <v>633</v>
      </c>
      <c r="B426" s="253"/>
      <c r="C426" s="54" t="s">
        <v>104</v>
      </c>
      <c r="D426" s="89" t="s">
        <v>400</v>
      </c>
      <c r="E426" s="89" t="s">
        <v>634</v>
      </c>
      <c r="F426" s="95"/>
      <c r="G426" s="129">
        <f>SUM(G427:G430)</f>
        <v>800</v>
      </c>
      <c r="H426" s="118">
        <f>SUM(H427:H430)</f>
        <v>579.4</v>
      </c>
      <c r="I426" s="361">
        <f t="shared" si="6"/>
        <v>72.425</v>
      </c>
      <c r="J426"/>
      <c r="K426" s="283">
        <f t="shared" si="7"/>
        <v>800</v>
      </c>
    </row>
    <row r="427" spans="1:11" ht="28.5">
      <c r="A427" s="260" t="s">
        <v>428</v>
      </c>
      <c r="B427" s="253"/>
      <c r="C427" s="54" t="s">
        <v>104</v>
      </c>
      <c r="D427" s="89" t="s">
        <v>400</v>
      </c>
      <c r="E427" s="89" t="s">
        <v>634</v>
      </c>
      <c r="F427" s="95" t="s">
        <v>429</v>
      </c>
      <c r="G427" s="129">
        <v>69.8</v>
      </c>
      <c r="H427" s="118">
        <v>69.8</v>
      </c>
      <c r="I427" s="361">
        <f aca="true" t="shared" si="8" ref="I427:I494">SUM(H427/G427*100)</f>
        <v>100</v>
      </c>
      <c r="J427">
        <f>SUM('ведомствен.2015'!G772)</f>
        <v>69.8</v>
      </c>
      <c r="K427" s="283">
        <f t="shared" si="7"/>
        <v>0</v>
      </c>
    </row>
    <row r="428" spans="1:11" ht="28.5">
      <c r="A428" s="260" t="s">
        <v>675</v>
      </c>
      <c r="B428" s="253"/>
      <c r="C428" s="54" t="s">
        <v>104</v>
      </c>
      <c r="D428" s="89" t="s">
        <v>400</v>
      </c>
      <c r="E428" s="89" t="s">
        <v>634</v>
      </c>
      <c r="F428" s="95" t="s">
        <v>107</v>
      </c>
      <c r="G428" s="129">
        <v>373</v>
      </c>
      <c r="H428" s="118">
        <v>233</v>
      </c>
      <c r="I428" s="361">
        <f t="shared" si="8"/>
        <v>62.466487935656836</v>
      </c>
      <c r="J428">
        <f>SUM('ведомствен.2015'!G773)</f>
        <v>373</v>
      </c>
      <c r="K428" s="283">
        <f t="shared" si="7"/>
        <v>0</v>
      </c>
    </row>
    <row r="429" spans="1:11" ht="14.25">
      <c r="A429" s="260" t="s">
        <v>438</v>
      </c>
      <c r="B429" s="253"/>
      <c r="C429" s="54" t="s">
        <v>104</v>
      </c>
      <c r="D429" s="89" t="s">
        <v>400</v>
      </c>
      <c r="E429" s="89" t="s">
        <v>634</v>
      </c>
      <c r="F429" s="95" t="s">
        <v>439</v>
      </c>
      <c r="G429" s="129">
        <v>81.2</v>
      </c>
      <c r="H429" s="118">
        <v>75.6</v>
      </c>
      <c r="I429" s="361">
        <f t="shared" si="8"/>
        <v>93.10344827586205</v>
      </c>
      <c r="J429">
        <f>SUM('ведомствен.2015'!G774)</f>
        <v>81.2</v>
      </c>
      <c r="K429" s="283">
        <f t="shared" si="7"/>
        <v>0</v>
      </c>
    </row>
    <row r="430" spans="1:11" ht="28.5">
      <c r="A430" s="116" t="s">
        <v>454</v>
      </c>
      <c r="B430" s="501"/>
      <c r="C430" s="54" t="s">
        <v>104</v>
      </c>
      <c r="D430" s="89" t="s">
        <v>400</v>
      </c>
      <c r="E430" s="89" t="s">
        <v>634</v>
      </c>
      <c r="F430" s="95" t="s">
        <v>445</v>
      </c>
      <c r="G430" s="129">
        <v>276</v>
      </c>
      <c r="H430" s="118">
        <v>201</v>
      </c>
      <c r="I430" s="361">
        <f t="shared" si="8"/>
        <v>72.82608695652173</v>
      </c>
      <c r="J430">
        <f>SUM('ведомствен.2015'!G775)</f>
        <v>276</v>
      </c>
      <c r="K430" s="283">
        <f t="shared" si="7"/>
        <v>0</v>
      </c>
    </row>
    <row r="431" spans="1:11" s="18" customFormat="1" ht="14.25">
      <c r="A431" s="265" t="s">
        <v>105</v>
      </c>
      <c r="B431" s="250"/>
      <c r="C431" s="56" t="s">
        <v>104</v>
      </c>
      <c r="D431" s="88" t="s">
        <v>104</v>
      </c>
      <c r="E431" s="88"/>
      <c r="F431" s="103"/>
      <c r="G431" s="132">
        <f>SUM(G436+G443+G432+G449)</f>
        <v>31890.9</v>
      </c>
      <c r="H431" s="125">
        <f>SUM(H436+H443+H432+H449)</f>
        <v>22949.8</v>
      </c>
      <c r="I431" s="361">
        <f t="shared" si="8"/>
        <v>71.96347547419482</v>
      </c>
      <c r="K431" s="283">
        <f t="shared" si="7"/>
        <v>31890.9</v>
      </c>
    </row>
    <row r="432" spans="1:11" s="18" customFormat="1" ht="14.25">
      <c r="A432" s="265" t="s">
        <v>330</v>
      </c>
      <c r="B432" s="503"/>
      <c r="C432" s="56" t="s">
        <v>104</v>
      </c>
      <c r="D432" s="88" t="s">
        <v>104</v>
      </c>
      <c r="E432" s="88" t="s">
        <v>440</v>
      </c>
      <c r="F432" s="103"/>
      <c r="G432" s="132">
        <f>G433</f>
        <v>298</v>
      </c>
      <c r="H432" s="125">
        <f>H433</f>
        <v>298</v>
      </c>
      <c r="I432" s="361">
        <f t="shared" si="8"/>
        <v>100</v>
      </c>
      <c r="K432" s="283">
        <f t="shared" si="7"/>
        <v>298</v>
      </c>
    </row>
    <row r="433" spans="1:11" s="18" customFormat="1" ht="14.25" customHeight="1">
      <c r="A433" s="265" t="s">
        <v>433</v>
      </c>
      <c r="B433" s="503"/>
      <c r="C433" s="56" t="s">
        <v>104</v>
      </c>
      <c r="D433" s="88" t="s">
        <v>104</v>
      </c>
      <c r="E433" s="88" t="s">
        <v>440</v>
      </c>
      <c r="F433" s="103" t="s">
        <v>107</v>
      </c>
      <c r="G433" s="132">
        <v>298</v>
      </c>
      <c r="H433" s="125">
        <v>298</v>
      </c>
      <c r="I433" s="361">
        <f t="shared" si="8"/>
        <v>100</v>
      </c>
      <c r="J433">
        <f>SUM('ведомствен.2015'!G778)</f>
        <v>298</v>
      </c>
      <c r="K433" s="283">
        <f t="shared" si="7"/>
        <v>0</v>
      </c>
    </row>
    <row r="434" spans="1:11" s="14" customFormat="1" ht="14.25" hidden="1">
      <c r="A434" s="265" t="s">
        <v>211</v>
      </c>
      <c r="B434" s="250"/>
      <c r="C434" s="56" t="s">
        <v>104</v>
      </c>
      <c r="D434" s="88" t="s">
        <v>104</v>
      </c>
      <c r="E434" s="88" t="s">
        <v>331</v>
      </c>
      <c r="F434" s="103" t="s">
        <v>212</v>
      </c>
      <c r="G434" s="132"/>
      <c r="H434" s="125"/>
      <c r="I434" s="361" t="e">
        <f t="shared" si="8"/>
        <v>#DIV/0!</v>
      </c>
      <c r="K434" s="283">
        <f t="shared" si="7"/>
        <v>0</v>
      </c>
    </row>
    <row r="435" spans="1:11" s="14" customFormat="1" ht="14.25" hidden="1">
      <c r="A435" s="265" t="s">
        <v>191</v>
      </c>
      <c r="B435" s="250"/>
      <c r="C435" s="56" t="s">
        <v>104</v>
      </c>
      <c r="D435" s="88" t="s">
        <v>104</v>
      </c>
      <c r="E435" s="88" t="s">
        <v>331</v>
      </c>
      <c r="F435" s="103" t="s">
        <v>192</v>
      </c>
      <c r="G435" s="132"/>
      <c r="H435" s="125"/>
      <c r="I435" s="361" t="e">
        <f t="shared" si="8"/>
        <v>#DIV/0!</v>
      </c>
      <c r="K435" s="283">
        <f t="shared" si="7"/>
        <v>0</v>
      </c>
    </row>
    <row r="436" spans="1:11" s="14" customFormat="1" ht="14.25">
      <c r="A436" s="265" t="s">
        <v>193</v>
      </c>
      <c r="B436" s="250"/>
      <c r="C436" s="56" t="s">
        <v>104</v>
      </c>
      <c r="D436" s="88" t="s">
        <v>104</v>
      </c>
      <c r="E436" s="88" t="s">
        <v>194</v>
      </c>
      <c r="F436" s="103"/>
      <c r="G436" s="132">
        <f>SUM(G439+G437)</f>
        <v>1645.2000000000003</v>
      </c>
      <c r="H436" s="125">
        <f>SUM(H439+H437)</f>
        <v>1266.2</v>
      </c>
      <c r="I436" s="361">
        <f t="shared" si="8"/>
        <v>76.96328713834183</v>
      </c>
      <c r="K436" s="283">
        <f t="shared" si="7"/>
        <v>1645.2000000000003</v>
      </c>
    </row>
    <row r="437" spans="1:11" s="14" customFormat="1" ht="28.5" hidden="1">
      <c r="A437" s="265" t="s">
        <v>221</v>
      </c>
      <c r="B437" s="250"/>
      <c r="C437" s="56" t="s">
        <v>104</v>
      </c>
      <c r="D437" s="88" t="s">
        <v>104</v>
      </c>
      <c r="E437" s="88" t="s">
        <v>182</v>
      </c>
      <c r="F437" s="103"/>
      <c r="G437" s="132"/>
      <c r="H437" s="125"/>
      <c r="I437" s="361" t="e">
        <f t="shared" si="8"/>
        <v>#DIV/0!</v>
      </c>
      <c r="K437" s="283">
        <f t="shared" si="7"/>
        <v>0</v>
      </c>
    </row>
    <row r="438" spans="1:11" ht="14.25" hidden="1">
      <c r="A438" s="265" t="s">
        <v>51</v>
      </c>
      <c r="B438" s="250"/>
      <c r="C438" s="56" t="s">
        <v>104</v>
      </c>
      <c r="D438" s="88" t="s">
        <v>104</v>
      </c>
      <c r="E438" s="88" t="s">
        <v>182</v>
      </c>
      <c r="F438" s="103"/>
      <c r="G438" s="132"/>
      <c r="H438" s="125"/>
      <c r="I438" s="361" t="e">
        <f t="shared" si="8"/>
        <v>#DIV/0!</v>
      </c>
      <c r="J438"/>
      <c r="K438" s="283">
        <f aca="true" t="shared" si="9" ref="K438:K469">SUM(G438-J438)</f>
        <v>0</v>
      </c>
    </row>
    <row r="439" spans="1:11" ht="28.5">
      <c r="A439" s="265" t="s">
        <v>50</v>
      </c>
      <c r="B439" s="250"/>
      <c r="C439" s="56" t="s">
        <v>104</v>
      </c>
      <c r="D439" s="88" t="s">
        <v>104</v>
      </c>
      <c r="E439" s="88" t="s">
        <v>197</v>
      </c>
      <c r="F439" s="103"/>
      <c r="G439" s="132">
        <f>SUM(G440+G441+G442)</f>
        <v>1645.2000000000003</v>
      </c>
      <c r="H439" s="125">
        <f>SUM(H440+H441+H442)</f>
        <v>1266.2</v>
      </c>
      <c r="I439" s="361">
        <f t="shared" si="8"/>
        <v>76.96328713834183</v>
      </c>
      <c r="J439"/>
      <c r="K439" s="283">
        <f t="shared" si="9"/>
        <v>1645.2000000000003</v>
      </c>
    </row>
    <row r="440" spans="1:11" s="18" customFormat="1" ht="28.5">
      <c r="A440" s="265" t="s">
        <v>428</v>
      </c>
      <c r="B440" s="250"/>
      <c r="C440" s="56" t="s">
        <v>104</v>
      </c>
      <c r="D440" s="88" t="s">
        <v>104</v>
      </c>
      <c r="E440" s="88" t="s">
        <v>197</v>
      </c>
      <c r="F440" s="103" t="s">
        <v>429</v>
      </c>
      <c r="G440" s="132">
        <v>1448.9</v>
      </c>
      <c r="H440" s="125">
        <v>1147.2</v>
      </c>
      <c r="I440" s="361">
        <f t="shared" si="8"/>
        <v>79.17730692249293</v>
      </c>
      <c r="J440">
        <f>SUM('ведомствен.2015'!G785)</f>
        <v>1448.9</v>
      </c>
      <c r="K440" s="283">
        <f t="shared" si="9"/>
        <v>0</v>
      </c>
    </row>
    <row r="441" spans="1:11" ht="28.5">
      <c r="A441" s="260" t="s">
        <v>675</v>
      </c>
      <c r="B441" s="250"/>
      <c r="C441" s="56" t="s">
        <v>104</v>
      </c>
      <c r="D441" s="88" t="s">
        <v>104</v>
      </c>
      <c r="E441" s="88" t="s">
        <v>197</v>
      </c>
      <c r="F441" s="103" t="s">
        <v>107</v>
      </c>
      <c r="G441" s="132">
        <v>188.4</v>
      </c>
      <c r="H441" s="125">
        <v>115</v>
      </c>
      <c r="I441" s="361">
        <f t="shared" si="8"/>
        <v>61.04033970276008</v>
      </c>
      <c r="J441" s="57">
        <f>SUM('ведомствен.2015'!G786)</f>
        <v>188.4</v>
      </c>
      <c r="K441" s="283">
        <f t="shared" si="9"/>
        <v>0</v>
      </c>
    </row>
    <row r="442" spans="1:11" s="18" customFormat="1" ht="14.25" customHeight="1">
      <c r="A442" s="265" t="s">
        <v>434</v>
      </c>
      <c r="B442" s="250"/>
      <c r="C442" s="56" t="s">
        <v>104</v>
      </c>
      <c r="D442" s="88" t="s">
        <v>104</v>
      </c>
      <c r="E442" s="88" t="s">
        <v>197</v>
      </c>
      <c r="F442" s="103" t="s">
        <v>152</v>
      </c>
      <c r="G442" s="132">
        <v>7.9</v>
      </c>
      <c r="H442" s="125">
        <v>4</v>
      </c>
      <c r="I442" s="361">
        <f t="shared" si="8"/>
        <v>50.632911392405056</v>
      </c>
      <c r="J442" s="57">
        <f>SUM('ведомствен.2015'!G787)</f>
        <v>7.9</v>
      </c>
      <c r="K442" s="283">
        <f t="shared" si="9"/>
        <v>0</v>
      </c>
    </row>
    <row r="443" spans="1:11" s="18" customFormat="1" ht="18" customHeight="1">
      <c r="A443" s="269" t="s">
        <v>1063</v>
      </c>
      <c r="B443" s="503"/>
      <c r="C443" s="56" t="s">
        <v>104</v>
      </c>
      <c r="D443" s="88" t="s">
        <v>104</v>
      </c>
      <c r="E443" s="88" t="s">
        <v>620</v>
      </c>
      <c r="F443" s="103"/>
      <c r="G443" s="132">
        <f>SUM(G444)</f>
        <v>23899.2</v>
      </c>
      <c r="H443" s="125">
        <f>SUM(H444)</f>
        <v>16324.9</v>
      </c>
      <c r="I443" s="361">
        <f t="shared" si="8"/>
        <v>68.30730735756845</v>
      </c>
      <c r="K443" s="283">
        <f t="shared" si="9"/>
        <v>23899.2</v>
      </c>
    </row>
    <row r="444" spans="1:11" s="18" customFormat="1" ht="85.5">
      <c r="A444" s="509" t="s">
        <v>708</v>
      </c>
      <c r="B444" s="503"/>
      <c r="C444" s="56" t="s">
        <v>104</v>
      </c>
      <c r="D444" s="88" t="s">
        <v>104</v>
      </c>
      <c r="E444" s="88" t="s">
        <v>709</v>
      </c>
      <c r="F444" s="103"/>
      <c r="G444" s="132">
        <f>SUM(G445)</f>
        <v>23899.2</v>
      </c>
      <c r="H444" s="125">
        <f>SUM(H445)</f>
        <v>16324.9</v>
      </c>
      <c r="I444" s="361">
        <f t="shared" si="8"/>
        <v>68.30730735756845</v>
      </c>
      <c r="K444" s="283">
        <f t="shared" si="9"/>
        <v>23899.2</v>
      </c>
    </row>
    <row r="445" spans="1:11" s="18" customFormat="1" ht="14.25">
      <c r="A445" s="269" t="s">
        <v>1064</v>
      </c>
      <c r="B445" s="503"/>
      <c r="C445" s="56" t="s">
        <v>104</v>
      </c>
      <c r="D445" s="88" t="s">
        <v>104</v>
      </c>
      <c r="E445" s="88" t="s">
        <v>1065</v>
      </c>
      <c r="F445" s="103"/>
      <c r="G445" s="132">
        <f>SUM(G446:G448)</f>
        <v>23899.2</v>
      </c>
      <c r="H445" s="125">
        <f>SUM(H446:H448)</f>
        <v>16324.9</v>
      </c>
      <c r="I445" s="361">
        <f t="shared" si="8"/>
        <v>68.30730735756845</v>
      </c>
      <c r="K445" s="283">
        <f t="shared" si="9"/>
        <v>23899.2</v>
      </c>
    </row>
    <row r="446" spans="1:11" s="18" customFormat="1" ht="28.5">
      <c r="A446" s="260" t="s">
        <v>675</v>
      </c>
      <c r="B446" s="503"/>
      <c r="C446" s="56" t="s">
        <v>104</v>
      </c>
      <c r="D446" s="88" t="s">
        <v>104</v>
      </c>
      <c r="E446" s="88" t="s">
        <v>1065</v>
      </c>
      <c r="F446" s="103" t="s">
        <v>107</v>
      </c>
      <c r="G446" s="132">
        <v>2845.8</v>
      </c>
      <c r="H446" s="125">
        <v>2845.8</v>
      </c>
      <c r="I446" s="361">
        <f t="shared" si="8"/>
        <v>100</v>
      </c>
      <c r="J446" s="57">
        <f>SUM('ведомствен.2015'!G791)</f>
        <v>2845.8</v>
      </c>
      <c r="K446" s="283">
        <f t="shared" si="9"/>
        <v>0</v>
      </c>
    </row>
    <row r="447" spans="1:11" s="18" customFormat="1" ht="28.5">
      <c r="A447" s="116" t="s">
        <v>454</v>
      </c>
      <c r="B447" s="503"/>
      <c r="C447" s="56" t="s">
        <v>104</v>
      </c>
      <c r="D447" s="88" t="s">
        <v>104</v>
      </c>
      <c r="E447" s="88" t="s">
        <v>1065</v>
      </c>
      <c r="F447" s="103" t="s">
        <v>445</v>
      </c>
      <c r="G447" s="132">
        <v>6649.4</v>
      </c>
      <c r="H447" s="125">
        <v>6444.7</v>
      </c>
      <c r="I447" s="361">
        <f t="shared" si="8"/>
        <v>96.92152675429362</v>
      </c>
      <c r="J447" s="57">
        <f>SUM('ведомствен.2015'!G792)</f>
        <v>6649.4</v>
      </c>
      <c r="K447" s="283">
        <f t="shared" si="9"/>
        <v>0</v>
      </c>
    </row>
    <row r="448" spans="1:11" s="18" customFormat="1" ht="14.25">
      <c r="A448" s="265" t="s">
        <v>434</v>
      </c>
      <c r="B448" s="503"/>
      <c r="C448" s="56" t="s">
        <v>104</v>
      </c>
      <c r="D448" s="88" t="s">
        <v>104</v>
      </c>
      <c r="E448" s="88" t="s">
        <v>1065</v>
      </c>
      <c r="F448" s="103" t="s">
        <v>152</v>
      </c>
      <c r="G448" s="132">
        <v>14404</v>
      </c>
      <c r="H448" s="125">
        <v>7034.4</v>
      </c>
      <c r="I448" s="361">
        <f t="shared" si="8"/>
        <v>48.83643432379895</v>
      </c>
      <c r="J448" s="57">
        <f>SUM('ведомствен.2015'!G793)</f>
        <v>14404</v>
      </c>
      <c r="K448" s="283">
        <f t="shared" si="9"/>
        <v>0</v>
      </c>
    </row>
    <row r="449" spans="1:11" s="18" customFormat="1" ht="14.25">
      <c r="A449" s="265" t="s">
        <v>512</v>
      </c>
      <c r="B449" s="251"/>
      <c r="C449" s="56" t="s">
        <v>104</v>
      </c>
      <c r="D449" s="88" t="s">
        <v>104</v>
      </c>
      <c r="E449" s="88" t="s">
        <v>116</v>
      </c>
      <c r="F449" s="103"/>
      <c r="G449" s="132">
        <f>SUM(G456)+G450+G452</f>
        <v>6048.5</v>
      </c>
      <c r="H449" s="125">
        <f>SUM(H456)+H450+H452</f>
        <v>5060.7</v>
      </c>
      <c r="I449" s="361">
        <f t="shared" si="8"/>
        <v>83.66867818467388</v>
      </c>
      <c r="K449" s="283">
        <f t="shared" si="9"/>
        <v>6048.5</v>
      </c>
    </row>
    <row r="450" spans="1:11" s="18" customFormat="1" ht="42.75">
      <c r="A450" s="122" t="s">
        <v>635</v>
      </c>
      <c r="B450" s="247"/>
      <c r="C450" s="54" t="s">
        <v>104</v>
      </c>
      <c r="D450" s="89" t="s">
        <v>104</v>
      </c>
      <c r="E450" s="89" t="s">
        <v>636</v>
      </c>
      <c r="F450" s="95"/>
      <c r="G450" s="129">
        <f>G451</f>
        <v>10</v>
      </c>
      <c r="H450" s="118">
        <f>H451</f>
        <v>10</v>
      </c>
      <c r="I450" s="361">
        <f t="shared" si="8"/>
        <v>100</v>
      </c>
      <c r="K450" s="283">
        <f t="shared" si="9"/>
        <v>10</v>
      </c>
    </row>
    <row r="451" spans="1:11" s="18" customFormat="1" ht="28.5">
      <c r="A451" s="260" t="s">
        <v>675</v>
      </c>
      <c r="B451" s="247"/>
      <c r="C451" s="54" t="s">
        <v>104</v>
      </c>
      <c r="D451" s="89" t="s">
        <v>104</v>
      </c>
      <c r="E451" s="89" t="s">
        <v>636</v>
      </c>
      <c r="F451" s="95" t="s">
        <v>107</v>
      </c>
      <c r="G451" s="129">
        <v>10</v>
      </c>
      <c r="H451" s="118">
        <v>10</v>
      </c>
      <c r="I451" s="361">
        <f t="shared" si="8"/>
        <v>100</v>
      </c>
      <c r="J451" s="57">
        <f>SUM('ведомствен.2015'!G796)</f>
        <v>10</v>
      </c>
      <c r="K451" s="283">
        <f t="shared" si="9"/>
        <v>0</v>
      </c>
    </row>
    <row r="452" spans="1:11" s="18" customFormat="1" ht="42.75">
      <c r="A452" s="269" t="s">
        <v>714</v>
      </c>
      <c r="B452" s="503"/>
      <c r="C452" s="56" t="s">
        <v>104</v>
      </c>
      <c r="D452" s="88" t="s">
        <v>104</v>
      </c>
      <c r="E452" s="88" t="s">
        <v>1098</v>
      </c>
      <c r="F452" s="103"/>
      <c r="G452" s="132">
        <f>SUM(G453+G455)+G454</f>
        <v>4654.9</v>
      </c>
      <c r="H452" s="125">
        <f>SUM(H453+H455)+H454</f>
        <v>3811.2</v>
      </c>
      <c r="I452" s="361">
        <f t="shared" si="8"/>
        <v>81.87501342671165</v>
      </c>
      <c r="J452" s="57"/>
      <c r="K452" s="283">
        <f t="shared" si="9"/>
        <v>4654.9</v>
      </c>
    </row>
    <row r="453" spans="1:11" s="18" customFormat="1" ht="14.25">
      <c r="A453" s="265" t="s">
        <v>433</v>
      </c>
      <c r="B453" s="503"/>
      <c r="C453" s="56" t="s">
        <v>104</v>
      </c>
      <c r="D453" s="88" t="s">
        <v>104</v>
      </c>
      <c r="E453" s="88" t="s">
        <v>1098</v>
      </c>
      <c r="F453" s="103" t="s">
        <v>107</v>
      </c>
      <c r="G453" s="132">
        <v>1741.4</v>
      </c>
      <c r="H453" s="125">
        <v>1451.5</v>
      </c>
      <c r="I453" s="361">
        <f t="shared" si="8"/>
        <v>83.35247502009877</v>
      </c>
      <c r="J453" s="57">
        <f>SUM('ведомствен.2015'!G798)</f>
        <v>1741.4</v>
      </c>
      <c r="K453" s="283">
        <f t="shared" si="9"/>
        <v>0</v>
      </c>
    </row>
    <row r="454" spans="1:11" s="18" customFormat="1" ht="28.5">
      <c r="A454" s="116" t="s">
        <v>454</v>
      </c>
      <c r="B454" s="503"/>
      <c r="C454" s="56" t="s">
        <v>104</v>
      </c>
      <c r="D454" s="88" t="s">
        <v>104</v>
      </c>
      <c r="E454" s="88" t="s">
        <v>1098</v>
      </c>
      <c r="F454" s="103" t="s">
        <v>445</v>
      </c>
      <c r="G454" s="132">
        <v>2309.4</v>
      </c>
      <c r="H454" s="125">
        <v>2272.4</v>
      </c>
      <c r="I454" s="361">
        <f t="shared" si="8"/>
        <v>98.39785225599724</v>
      </c>
      <c r="J454" s="57">
        <f>SUM('ведомствен.2015'!G799)</f>
        <v>2309.4</v>
      </c>
      <c r="K454" s="283">
        <f t="shared" si="9"/>
        <v>0</v>
      </c>
    </row>
    <row r="455" spans="1:11" s="18" customFormat="1" ht="14.25">
      <c r="A455" s="265" t="s">
        <v>434</v>
      </c>
      <c r="B455" s="503"/>
      <c r="C455" s="56" t="s">
        <v>104</v>
      </c>
      <c r="D455" s="88" t="s">
        <v>104</v>
      </c>
      <c r="E455" s="88" t="s">
        <v>1098</v>
      </c>
      <c r="F455" s="103" t="s">
        <v>152</v>
      </c>
      <c r="G455" s="132">
        <v>604.1</v>
      </c>
      <c r="H455" s="125">
        <v>87.3</v>
      </c>
      <c r="I455" s="361">
        <f t="shared" si="8"/>
        <v>14.451249793080615</v>
      </c>
      <c r="J455" s="57">
        <f>SUM('ведомствен.2015'!G800)</f>
        <v>604.1</v>
      </c>
      <c r="K455" s="283">
        <f t="shared" si="9"/>
        <v>0</v>
      </c>
    </row>
    <row r="456" spans="1:11" s="18" customFormat="1" ht="14.25">
      <c r="A456" s="511" t="s">
        <v>527</v>
      </c>
      <c r="B456" s="504"/>
      <c r="C456" s="56" t="s">
        <v>104</v>
      </c>
      <c r="D456" s="88" t="s">
        <v>104</v>
      </c>
      <c r="E456" s="88" t="s">
        <v>86</v>
      </c>
      <c r="F456" s="103"/>
      <c r="G456" s="134">
        <f>SUM(G457:G459)</f>
        <v>1383.6000000000001</v>
      </c>
      <c r="H456" s="127">
        <f>SUM(H457:H459)</f>
        <v>1239.5</v>
      </c>
      <c r="I456" s="361">
        <f t="shared" si="8"/>
        <v>89.58514021393465</v>
      </c>
      <c r="K456" s="283">
        <f t="shared" si="9"/>
        <v>1383.6000000000001</v>
      </c>
    </row>
    <row r="457" spans="1:11" s="18" customFormat="1" ht="28.5">
      <c r="A457" s="116" t="s">
        <v>428</v>
      </c>
      <c r="B457" s="504"/>
      <c r="C457" s="56" t="s">
        <v>104</v>
      </c>
      <c r="D457" s="88" t="s">
        <v>104</v>
      </c>
      <c r="E457" s="88" t="s">
        <v>86</v>
      </c>
      <c r="F457" s="103" t="s">
        <v>429</v>
      </c>
      <c r="G457" s="134">
        <v>10.2</v>
      </c>
      <c r="H457" s="127">
        <v>10.2</v>
      </c>
      <c r="I457" s="361">
        <f t="shared" si="8"/>
        <v>100</v>
      </c>
      <c r="J457" s="57">
        <f>SUM('ведомствен.2015'!G802)</f>
        <v>10.2</v>
      </c>
      <c r="K457" s="283">
        <f t="shared" si="9"/>
        <v>0</v>
      </c>
    </row>
    <row r="458" spans="1:11" s="18" customFormat="1" ht="28.5">
      <c r="A458" s="260" t="s">
        <v>675</v>
      </c>
      <c r="B458" s="504"/>
      <c r="C458" s="56" t="s">
        <v>104</v>
      </c>
      <c r="D458" s="88" t="s">
        <v>104</v>
      </c>
      <c r="E458" s="88" t="s">
        <v>86</v>
      </c>
      <c r="F458" s="103" t="s">
        <v>107</v>
      </c>
      <c r="G458" s="134">
        <v>809.2</v>
      </c>
      <c r="H458" s="127">
        <v>766.3</v>
      </c>
      <c r="I458" s="361">
        <f t="shared" si="8"/>
        <v>94.69846762234305</v>
      </c>
      <c r="J458" s="57">
        <f>SUM('ведомствен.2015'!G803)</f>
        <v>809.2</v>
      </c>
      <c r="K458" s="283">
        <f t="shared" si="9"/>
        <v>0</v>
      </c>
    </row>
    <row r="459" spans="1:11" s="18" customFormat="1" ht="28.5">
      <c r="A459" s="116" t="s">
        <v>454</v>
      </c>
      <c r="B459" s="504"/>
      <c r="C459" s="56" t="s">
        <v>104</v>
      </c>
      <c r="D459" s="88" t="s">
        <v>104</v>
      </c>
      <c r="E459" s="88" t="s">
        <v>86</v>
      </c>
      <c r="F459" s="103" t="s">
        <v>445</v>
      </c>
      <c r="G459" s="134">
        <v>564.2</v>
      </c>
      <c r="H459" s="127">
        <v>463</v>
      </c>
      <c r="I459" s="361">
        <f t="shared" si="8"/>
        <v>82.06309819213044</v>
      </c>
      <c r="J459" s="57">
        <f>SUM('ведомствен.2015'!G804)+'ведомствен.2015'!G854+'ведомствен.2015'!G957+'ведомствен.2015'!G616+'ведомствен.2015'!G449</f>
        <v>564.1999999999999</v>
      </c>
      <c r="K459" s="283">
        <f t="shared" si="9"/>
        <v>1.1368683772161603E-13</v>
      </c>
    </row>
    <row r="460" spans="1:11" s="18" customFormat="1" ht="14.25">
      <c r="A460" s="265" t="s">
        <v>199</v>
      </c>
      <c r="B460" s="250"/>
      <c r="C460" s="56" t="s">
        <v>104</v>
      </c>
      <c r="D460" s="88" t="s">
        <v>259</v>
      </c>
      <c r="E460" s="88"/>
      <c r="F460" s="103"/>
      <c r="G460" s="132">
        <f>G461+G466</f>
        <v>35999.4</v>
      </c>
      <c r="H460" s="125">
        <f>H461+H466</f>
        <v>28368.199999999997</v>
      </c>
      <c r="I460" s="361">
        <f t="shared" si="8"/>
        <v>78.80186892003755</v>
      </c>
      <c r="K460" s="283">
        <f t="shared" si="9"/>
        <v>35999.4</v>
      </c>
    </row>
    <row r="461" spans="1:11" s="18" customFormat="1" ht="57">
      <c r="A461" s="269" t="s">
        <v>251</v>
      </c>
      <c r="B461" s="250"/>
      <c r="C461" s="56" t="s">
        <v>104</v>
      </c>
      <c r="D461" s="88" t="s">
        <v>259</v>
      </c>
      <c r="E461" s="88" t="s">
        <v>252</v>
      </c>
      <c r="F461" s="103"/>
      <c r="G461" s="132">
        <f>SUM(G462)</f>
        <v>33919.6</v>
      </c>
      <c r="H461" s="125">
        <f>SUM(H462)</f>
        <v>26642.6</v>
      </c>
      <c r="I461" s="361">
        <f t="shared" si="8"/>
        <v>78.54632719725468</v>
      </c>
      <c r="K461" s="283">
        <f t="shared" si="9"/>
        <v>33919.6</v>
      </c>
    </row>
    <row r="462" spans="1:11" ht="28.5">
      <c r="A462" s="265" t="s">
        <v>50</v>
      </c>
      <c r="B462" s="250"/>
      <c r="C462" s="56" t="s">
        <v>104</v>
      </c>
      <c r="D462" s="88" t="s">
        <v>259</v>
      </c>
      <c r="E462" s="88" t="s">
        <v>253</v>
      </c>
      <c r="F462" s="103"/>
      <c r="G462" s="132">
        <f>SUM(G463+G464+G465)</f>
        <v>33919.6</v>
      </c>
      <c r="H462" s="125">
        <f>SUM(H463+H464+H465)</f>
        <v>26642.6</v>
      </c>
      <c r="I462" s="361">
        <f t="shared" si="8"/>
        <v>78.54632719725468</v>
      </c>
      <c r="J462"/>
      <c r="K462" s="283">
        <f t="shared" si="9"/>
        <v>33919.6</v>
      </c>
    </row>
    <row r="463" spans="1:11" s="18" customFormat="1" ht="28.5">
      <c r="A463" s="265" t="s">
        <v>428</v>
      </c>
      <c r="B463" s="250"/>
      <c r="C463" s="56" t="s">
        <v>104</v>
      </c>
      <c r="D463" s="88" t="s">
        <v>259</v>
      </c>
      <c r="E463" s="88" t="s">
        <v>253</v>
      </c>
      <c r="F463" s="103" t="s">
        <v>429</v>
      </c>
      <c r="G463" s="132">
        <v>29659.6</v>
      </c>
      <c r="H463" s="125">
        <v>23753.8</v>
      </c>
      <c r="I463" s="361">
        <f t="shared" si="8"/>
        <v>80.08806592132058</v>
      </c>
      <c r="J463" s="57">
        <f>SUM('ведомствен.2015'!G808)</f>
        <v>29659.6</v>
      </c>
      <c r="K463" s="283">
        <f t="shared" si="9"/>
        <v>0</v>
      </c>
    </row>
    <row r="464" spans="1:11" ht="28.5">
      <c r="A464" s="260" t="s">
        <v>675</v>
      </c>
      <c r="B464" s="251"/>
      <c r="C464" s="56" t="s">
        <v>104</v>
      </c>
      <c r="D464" s="88" t="s">
        <v>259</v>
      </c>
      <c r="E464" s="88" t="s">
        <v>253</v>
      </c>
      <c r="F464" s="103" t="s">
        <v>107</v>
      </c>
      <c r="G464" s="132">
        <v>3865.1</v>
      </c>
      <c r="H464" s="125">
        <v>2599.1</v>
      </c>
      <c r="I464" s="361">
        <f t="shared" si="8"/>
        <v>67.24534940881219</v>
      </c>
      <c r="J464" s="57">
        <f>SUM('ведомствен.2015'!G809)</f>
        <v>3865.1</v>
      </c>
      <c r="K464" s="283">
        <f t="shared" si="9"/>
        <v>0</v>
      </c>
    </row>
    <row r="465" spans="1:11" ht="14.25" customHeight="1">
      <c r="A465" s="265" t="s">
        <v>434</v>
      </c>
      <c r="B465" s="250"/>
      <c r="C465" s="56" t="s">
        <v>104</v>
      </c>
      <c r="D465" s="88" t="s">
        <v>259</v>
      </c>
      <c r="E465" s="88" t="s">
        <v>253</v>
      </c>
      <c r="F465" s="103" t="s">
        <v>152</v>
      </c>
      <c r="G465" s="132">
        <v>394.9</v>
      </c>
      <c r="H465" s="125">
        <v>289.7</v>
      </c>
      <c r="I465" s="361">
        <f t="shared" si="8"/>
        <v>73.36034439098506</v>
      </c>
      <c r="J465" s="57">
        <f>SUM('ведомствен.2015'!G810)</f>
        <v>394.9</v>
      </c>
      <c r="K465" s="283">
        <f t="shared" si="9"/>
        <v>0</v>
      </c>
    </row>
    <row r="466" spans="1:11" ht="14.25">
      <c r="A466" s="116" t="s">
        <v>481</v>
      </c>
      <c r="B466" s="242"/>
      <c r="C466" s="216" t="s">
        <v>104</v>
      </c>
      <c r="D466" s="217" t="s">
        <v>259</v>
      </c>
      <c r="E466" s="89" t="s">
        <v>116</v>
      </c>
      <c r="F466" s="219"/>
      <c r="G466" s="232">
        <f>SUM(G467)</f>
        <v>2079.8</v>
      </c>
      <c r="H466" s="367">
        <f>SUM(H467)</f>
        <v>1725.6</v>
      </c>
      <c r="I466" s="361">
        <f t="shared" si="8"/>
        <v>82.96951629964418</v>
      </c>
      <c r="J466"/>
      <c r="K466" s="283">
        <f t="shared" si="9"/>
        <v>2079.8</v>
      </c>
    </row>
    <row r="467" spans="1:11" s="18" customFormat="1" ht="28.5">
      <c r="A467" s="266" t="s">
        <v>717</v>
      </c>
      <c r="B467" s="242"/>
      <c r="C467" s="216" t="s">
        <v>104</v>
      </c>
      <c r="D467" s="217" t="s">
        <v>259</v>
      </c>
      <c r="E467" s="217" t="s">
        <v>48</v>
      </c>
      <c r="F467" s="219"/>
      <c r="G467" s="232">
        <f>SUM(G468:G469)</f>
        <v>2079.8</v>
      </c>
      <c r="H467" s="367">
        <f>H468</f>
        <v>1725.6</v>
      </c>
      <c r="I467" s="361">
        <f t="shared" si="8"/>
        <v>82.96951629964418</v>
      </c>
      <c r="K467" s="283">
        <f t="shared" si="9"/>
        <v>2079.8</v>
      </c>
    </row>
    <row r="468" spans="1:11" ht="28.5">
      <c r="A468" s="116" t="s">
        <v>494</v>
      </c>
      <c r="B468" s="242"/>
      <c r="C468" s="216" t="s">
        <v>104</v>
      </c>
      <c r="D468" s="217" t="s">
        <v>259</v>
      </c>
      <c r="E468" s="217" t="s">
        <v>492</v>
      </c>
      <c r="F468" s="219" t="s">
        <v>489</v>
      </c>
      <c r="G468" s="232">
        <v>2077.8</v>
      </c>
      <c r="H468" s="367">
        <v>1725.6</v>
      </c>
      <c r="I468" s="361">
        <f t="shared" si="8"/>
        <v>83.04937915102512</v>
      </c>
      <c r="J468">
        <f>SUM('ведомствен.2015'!G329)</f>
        <v>2077.8</v>
      </c>
      <c r="K468" s="283">
        <f t="shared" si="9"/>
        <v>0</v>
      </c>
    </row>
    <row r="469" spans="1:11" ht="28.5">
      <c r="A469" s="265" t="s">
        <v>454</v>
      </c>
      <c r="B469" s="485"/>
      <c r="C469" s="216" t="s">
        <v>104</v>
      </c>
      <c r="D469" s="217" t="s">
        <v>259</v>
      </c>
      <c r="E469" s="217" t="s">
        <v>492</v>
      </c>
      <c r="F469" s="219" t="s">
        <v>445</v>
      </c>
      <c r="G469" s="232">
        <v>2</v>
      </c>
      <c r="H469" s="367"/>
      <c r="I469" s="361"/>
      <c r="J469">
        <f>SUM('ведомствен.2015'!G330)</f>
        <v>2</v>
      </c>
      <c r="K469" s="283">
        <f t="shared" si="9"/>
        <v>0</v>
      </c>
    </row>
    <row r="470" spans="1:13" ht="15">
      <c r="A470" s="263" t="s">
        <v>281</v>
      </c>
      <c r="B470" s="243"/>
      <c r="C470" s="100" t="s">
        <v>111</v>
      </c>
      <c r="D470" s="91"/>
      <c r="E470" s="91"/>
      <c r="F470" s="98"/>
      <c r="G470" s="131">
        <f>SUM(G471+G531)</f>
        <v>107606.5</v>
      </c>
      <c r="H470" s="371">
        <f>SUM(H471+H531)</f>
        <v>75945</v>
      </c>
      <c r="I470" s="362">
        <f t="shared" si="8"/>
        <v>70.57659156277735</v>
      </c>
      <c r="J470"/>
      <c r="K470">
        <f>SUM(J471:J550)</f>
        <v>107606.5</v>
      </c>
      <c r="L470">
        <f>SUM('ведомствен.2015'!G855)</f>
        <v>107606.5</v>
      </c>
      <c r="M470">
        <f>SUM(K470-L470)</f>
        <v>0</v>
      </c>
    </row>
    <row r="471" spans="1:16" ht="14.25">
      <c r="A471" s="260" t="s">
        <v>313</v>
      </c>
      <c r="B471" s="240"/>
      <c r="C471" s="54" t="s">
        <v>111</v>
      </c>
      <c r="D471" s="89" t="s">
        <v>398</v>
      </c>
      <c r="E471" s="89"/>
      <c r="F471" s="95"/>
      <c r="G471" s="129">
        <f>SUM(G472+G505+G516+G521)</f>
        <v>94946</v>
      </c>
      <c r="H471" s="118">
        <f>SUM(H472+H505+H516+H521)</f>
        <v>68691.3</v>
      </c>
      <c r="I471" s="361">
        <f t="shared" si="8"/>
        <v>72.34775556632191</v>
      </c>
      <c r="J471"/>
      <c r="M471" s="204">
        <f>SUM(K470-G470)</f>
        <v>0</v>
      </c>
      <c r="O471">
        <f>23347+136+61+3+13540.2+4067.6+200+27285.2+51.3</f>
        <v>68691.3</v>
      </c>
      <c r="P471" s="43">
        <f>SUM(H471-O471)</f>
        <v>0</v>
      </c>
    </row>
    <row r="472" spans="1:10" ht="27.75" customHeight="1">
      <c r="A472" s="116" t="s">
        <v>518</v>
      </c>
      <c r="B472" s="240"/>
      <c r="C472" s="54" t="s">
        <v>111</v>
      </c>
      <c r="D472" s="89" t="s">
        <v>398</v>
      </c>
      <c r="E472" s="89" t="s">
        <v>123</v>
      </c>
      <c r="F472" s="95"/>
      <c r="G472" s="129">
        <f>SUM(G478+G486)+G473+G475</f>
        <v>53605.899999999994</v>
      </c>
      <c r="H472" s="118">
        <f>SUM(H478+H486)+H476</f>
        <v>37087.2</v>
      </c>
      <c r="I472" s="361">
        <f t="shared" si="8"/>
        <v>69.18492180897998</v>
      </c>
      <c r="J472"/>
    </row>
    <row r="473" spans="1:10" ht="27.75" customHeight="1">
      <c r="A473" s="116" t="s">
        <v>1193</v>
      </c>
      <c r="B473" s="128"/>
      <c r="C473" s="54" t="s">
        <v>111</v>
      </c>
      <c r="D473" s="89" t="s">
        <v>398</v>
      </c>
      <c r="E473" s="89" t="s">
        <v>1194</v>
      </c>
      <c r="F473" s="95"/>
      <c r="G473" s="129">
        <f>G474</f>
        <v>56</v>
      </c>
      <c r="H473" s="118"/>
      <c r="I473" s="361"/>
      <c r="J473"/>
    </row>
    <row r="474" spans="1:10" ht="27.75" customHeight="1">
      <c r="A474" s="116" t="s">
        <v>675</v>
      </c>
      <c r="B474" s="128"/>
      <c r="C474" s="54" t="s">
        <v>111</v>
      </c>
      <c r="D474" s="89" t="s">
        <v>398</v>
      </c>
      <c r="E474" s="89" t="s">
        <v>1194</v>
      </c>
      <c r="F474" s="95" t="s">
        <v>107</v>
      </c>
      <c r="G474" s="129">
        <v>56</v>
      </c>
      <c r="H474" s="118"/>
      <c r="I474" s="361"/>
      <c r="J474">
        <f>SUM('ведомствен.2015'!G859)</f>
        <v>56</v>
      </c>
    </row>
    <row r="475" spans="1:10" ht="27.75" customHeight="1">
      <c r="A475" s="459" t="s">
        <v>1195</v>
      </c>
      <c r="B475" s="128"/>
      <c r="C475" s="54" t="s">
        <v>111</v>
      </c>
      <c r="D475" s="89" t="s">
        <v>398</v>
      </c>
      <c r="E475" s="89" t="s">
        <v>1196</v>
      </c>
      <c r="F475" s="95"/>
      <c r="G475" s="129">
        <f>G476</f>
        <v>50</v>
      </c>
      <c r="H475" s="118"/>
      <c r="I475" s="361"/>
      <c r="J475"/>
    </row>
    <row r="476" spans="1:10" ht="28.5">
      <c r="A476" s="116" t="s">
        <v>428</v>
      </c>
      <c r="B476" s="128"/>
      <c r="C476" s="54" t="s">
        <v>111</v>
      </c>
      <c r="D476" s="89" t="s">
        <v>398</v>
      </c>
      <c r="E476" s="89" t="s">
        <v>1196</v>
      </c>
      <c r="F476" s="95" t="s">
        <v>429</v>
      </c>
      <c r="G476" s="129">
        <v>50</v>
      </c>
      <c r="H476" s="118">
        <f>SUM(H477)</f>
        <v>0</v>
      </c>
      <c r="I476" s="361">
        <f t="shared" si="8"/>
        <v>0</v>
      </c>
      <c r="J476">
        <f>SUM('ведомствен.2015'!G861)</f>
        <v>50</v>
      </c>
    </row>
    <row r="477" spans="1:10" ht="14.25" hidden="1">
      <c r="A477" s="260" t="s">
        <v>433</v>
      </c>
      <c r="B477" s="240"/>
      <c r="C477" s="54" t="s">
        <v>111</v>
      </c>
      <c r="D477" s="89" t="s">
        <v>398</v>
      </c>
      <c r="E477" s="89" t="s">
        <v>567</v>
      </c>
      <c r="F477" s="95" t="s">
        <v>107</v>
      </c>
      <c r="G477" s="129"/>
      <c r="H477" s="118"/>
      <c r="I477" s="361" t="e">
        <f t="shared" si="8"/>
        <v>#DIV/0!</v>
      </c>
      <c r="J477"/>
    </row>
    <row r="478" spans="1:10" ht="28.5">
      <c r="A478" s="260" t="s">
        <v>13</v>
      </c>
      <c r="B478" s="243"/>
      <c r="C478" s="54" t="s">
        <v>111</v>
      </c>
      <c r="D478" s="89" t="s">
        <v>398</v>
      </c>
      <c r="E478" s="89" t="s">
        <v>174</v>
      </c>
      <c r="F478" s="95"/>
      <c r="G478" s="129">
        <f>SUM(G479)+G481</f>
        <v>35220.6</v>
      </c>
      <c r="H478" s="118">
        <f>SUM(H479)+H481</f>
        <v>23547</v>
      </c>
      <c r="I478" s="361">
        <f t="shared" si="8"/>
        <v>66.85576054922404</v>
      </c>
      <c r="J478"/>
    </row>
    <row r="479" spans="1:10" ht="28.5">
      <c r="A479" s="260" t="s">
        <v>84</v>
      </c>
      <c r="B479" s="243"/>
      <c r="C479" s="54" t="s">
        <v>111</v>
      </c>
      <c r="D479" s="89" t="s">
        <v>398</v>
      </c>
      <c r="E479" s="89" t="s">
        <v>176</v>
      </c>
      <c r="F479" s="95"/>
      <c r="G479" s="129">
        <f>SUM(G480)</f>
        <v>35220.6</v>
      </c>
      <c r="H479" s="118">
        <f>SUM(H480)</f>
        <v>23347</v>
      </c>
      <c r="I479" s="361">
        <f t="shared" si="8"/>
        <v>66.28791105205477</v>
      </c>
      <c r="J479"/>
    </row>
    <row r="480" spans="1:10" ht="28.5">
      <c r="A480" s="265" t="s">
        <v>447</v>
      </c>
      <c r="B480" s="248"/>
      <c r="C480" s="54" t="s">
        <v>111</v>
      </c>
      <c r="D480" s="89" t="s">
        <v>398</v>
      </c>
      <c r="E480" s="89" t="s">
        <v>176</v>
      </c>
      <c r="F480" s="96" t="s">
        <v>445</v>
      </c>
      <c r="G480" s="129">
        <v>35220.6</v>
      </c>
      <c r="H480" s="118">
        <v>23347</v>
      </c>
      <c r="I480" s="361">
        <f t="shared" si="8"/>
        <v>66.28791105205477</v>
      </c>
      <c r="J480">
        <f>SUM('ведомствен.2015'!G864)</f>
        <v>35220.6</v>
      </c>
    </row>
    <row r="481" spans="1:10" ht="15" hidden="1">
      <c r="A481" s="265" t="s">
        <v>140</v>
      </c>
      <c r="B481" s="248"/>
      <c r="C481" s="54" t="s">
        <v>111</v>
      </c>
      <c r="D481" s="89" t="s">
        <v>398</v>
      </c>
      <c r="E481" s="89" t="s">
        <v>356</v>
      </c>
      <c r="F481" s="96"/>
      <c r="G481" s="129">
        <f>SUM(G482+G484)</f>
        <v>0</v>
      </c>
      <c r="H481" s="118">
        <f>SUM(H482+H484)</f>
        <v>200</v>
      </c>
      <c r="I481" s="361"/>
      <c r="J481"/>
    </row>
    <row r="482" spans="1:10" ht="28.5" hidden="1">
      <c r="A482" s="265" t="s">
        <v>128</v>
      </c>
      <c r="B482" s="248"/>
      <c r="C482" s="54" t="s">
        <v>111</v>
      </c>
      <c r="D482" s="89" t="s">
        <v>398</v>
      </c>
      <c r="E482" s="89" t="s">
        <v>357</v>
      </c>
      <c r="F482" s="96"/>
      <c r="G482" s="129">
        <f>SUM(G483)</f>
        <v>0</v>
      </c>
      <c r="H482" s="118">
        <f>SUM(H483)</f>
        <v>136</v>
      </c>
      <c r="I482" s="361"/>
      <c r="J482"/>
    </row>
    <row r="483" spans="1:10" ht="28.5" hidden="1">
      <c r="A483" s="265" t="s">
        <v>447</v>
      </c>
      <c r="B483" s="248"/>
      <c r="C483" s="54" t="s">
        <v>111</v>
      </c>
      <c r="D483" s="89" t="s">
        <v>398</v>
      </c>
      <c r="E483" s="89" t="s">
        <v>357</v>
      </c>
      <c r="F483" s="96" t="s">
        <v>445</v>
      </c>
      <c r="G483" s="129"/>
      <c r="H483" s="118">
        <v>136</v>
      </c>
      <c r="I483" s="361"/>
      <c r="J483">
        <f>SUM('ведомствен.2015'!G867)</f>
        <v>0</v>
      </c>
    </row>
    <row r="484" spans="1:10" ht="28.5" hidden="1">
      <c r="A484" s="116" t="s">
        <v>355</v>
      </c>
      <c r="B484" s="248"/>
      <c r="C484" s="54" t="s">
        <v>111</v>
      </c>
      <c r="D484" s="89" t="s">
        <v>398</v>
      </c>
      <c r="E484" s="89" t="s">
        <v>354</v>
      </c>
      <c r="F484" s="96"/>
      <c r="G484" s="129">
        <f>SUM(G485)</f>
        <v>0</v>
      </c>
      <c r="H484" s="118">
        <f>SUM(H485)</f>
        <v>64</v>
      </c>
      <c r="I484" s="361"/>
      <c r="J484"/>
    </row>
    <row r="485" spans="1:10" ht="28.5" hidden="1">
      <c r="A485" s="116" t="s">
        <v>454</v>
      </c>
      <c r="B485" s="248"/>
      <c r="C485" s="54" t="s">
        <v>111</v>
      </c>
      <c r="D485" s="89" t="s">
        <v>398</v>
      </c>
      <c r="E485" s="89" t="s">
        <v>354</v>
      </c>
      <c r="F485" s="96" t="s">
        <v>445</v>
      </c>
      <c r="G485" s="129"/>
      <c r="H485" s="118">
        <v>64</v>
      </c>
      <c r="I485" s="361"/>
      <c r="J485">
        <f>SUM('ведомствен.2015'!G869)</f>
        <v>0</v>
      </c>
    </row>
    <row r="486" spans="1:10" ht="28.5">
      <c r="A486" s="260" t="s">
        <v>50</v>
      </c>
      <c r="B486" s="248"/>
      <c r="C486" s="54" t="s">
        <v>111</v>
      </c>
      <c r="D486" s="89" t="s">
        <v>398</v>
      </c>
      <c r="E486" s="89" t="s">
        <v>124</v>
      </c>
      <c r="F486" s="96"/>
      <c r="G486" s="129">
        <f>SUM(G487:G489)</f>
        <v>18279.3</v>
      </c>
      <c r="H486" s="118">
        <f>SUM(H487:H489)</f>
        <v>13540.2</v>
      </c>
      <c r="I486" s="361">
        <f t="shared" si="8"/>
        <v>74.07395250365167</v>
      </c>
      <c r="J486"/>
    </row>
    <row r="487" spans="1:10" ht="28.5">
      <c r="A487" s="260" t="s">
        <v>428</v>
      </c>
      <c r="B487" s="240"/>
      <c r="C487" s="54" t="s">
        <v>111</v>
      </c>
      <c r="D487" s="89" t="s">
        <v>398</v>
      </c>
      <c r="E487" s="89" t="s">
        <v>124</v>
      </c>
      <c r="F487" s="94" t="s">
        <v>429</v>
      </c>
      <c r="G487" s="129">
        <v>15439.1</v>
      </c>
      <c r="H487" s="118">
        <v>10923.4</v>
      </c>
      <c r="I487" s="361">
        <f t="shared" si="8"/>
        <v>70.75153344430699</v>
      </c>
      <c r="J487">
        <f>SUM('ведомствен.2015'!G871)</f>
        <v>15439.1</v>
      </c>
    </row>
    <row r="488" spans="1:10" ht="28.5">
      <c r="A488" s="260" t="s">
        <v>675</v>
      </c>
      <c r="B488" s="240"/>
      <c r="C488" s="54" t="s">
        <v>111</v>
      </c>
      <c r="D488" s="89" t="s">
        <v>398</v>
      </c>
      <c r="E488" s="89" t="s">
        <v>124</v>
      </c>
      <c r="F488" s="94" t="s">
        <v>107</v>
      </c>
      <c r="G488" s="130">
        <v>2396.6</v>
      </c>
      <c r="H488" s="366">
        <v>2275.8</v>
      </c>
      <c r="I488" s="361">
        <f t="shared" si="8"/>
        <v>94.95952599515982</v>
      </c>
      <c r="J488">
        <f>SUM('ведомствен.2015'!G872)</f>
        <v>2396.6</v>
      </c>
    </row>
    <row r="489" spans="1:10" ht="14.25">
      <c r="A489" s="260" t="s">
        <v>434</v>
      </c>
      <c r="B489" s="240"/>
      <c r="C489" s="54" t="s">
        <v>111</v>
      </c>
      <c r="D489" s="89" t="s">
        <v>398</v>
      </c>
      <c r="E489" s="89" t="s">
        <v>124</v>
      </c>
      <c r="F489" s="95" t="s">
        <v>152</v>
      </c>
      <c r="G489" s="129">
        <v>443.6</v>
      </c>
      <c r="H489" s="118">
        <v>341</v>
      </c>
      <c r="I489" s="361">
        <f t="shared" si="8"/>
        <v>76.87105500450856</v>
      </c>
      <c r="J489">
        <f>SUM('ведомствен.2015'!G873)</f>
        <v>443.6</v>
      </c>
    </row>
    <row r="490" spans="1:9" ht="28.5" hidden="1">
      <c r="A490" s="260" t="s">
        <v>85</v>
      </c>
      <c r="B490" s="243"/>
      <c r="C490" s="54" t="s">
        <v>111</v>
      </c>
      <c r="D490" s="89" t="s">
        <v>398</v>
      </c>
      <c r="E490" s="89" t="s">
        <v>174</v>
      </c>
      <c r="F490" s="95"/>
      <c r="G490" s="129">
        <f>SUM(G491+G493)</f>
        <v>0</v>
      </c>
      <c r="H490" s="118">
        <f>SUM(H491+H493)</f>
        <v>0</v>
      </c>
      <c r="I490" s="361" t="e">
        <f t="shared" si="8"/>
        <v>#DIV/0!</v>
      </c>
    </row>
    <row r="491" spans="1:10" ht="28.5" hidden="1">
      <c r="A491" s="260" t="s">
        <v>175</v>
      </c>
      <c r="B491" s="243"/>
      <c r="C491" s="54" t="s">
        <v>111</v>
      </c>
      <c r="D491" s="89" t="s">
        <v>398</v>
      </c>
      <c r="E491" s="89" t="s">
        <v>176</v>
      </c>
      <c r="F491" s="95"/>
      <c r="G491" s="129">
        <f>SUM(G492)</f>
        <v>0</v>
      </c>
      <c r="H491" s="118">
        <f>SUM(H492)</f>
        <v>0</v>
      </c>
      <c r="I491" s="361" t="e">
        <f t="shared" si="8"/>
        <v>#DIV/0!</v>
      </c>
      <c r="J491"/>
    </row>
    <row r="492" spans="1:10" ht="42.75" hidden="1">
      <c r="A492" s="265" t="s">
        <v>139</v>
      </c>
      <c r="B492" s="248"/>
      <c r="C492" s="54" t="s">
        <v>111</v>
      </c>
      <c r="D492" s="89" t="s">
        <v>398</v>
      </c>
      <c r="E492" s="89" t="s">
        <v>176</v>
      </c>
      <c r="F492" s="96" t="s">
        <v>52</v>
      </c>
      <c r="G492" s="129"/>
      <c r="H492" s="118"/>
      <c r="I492" s="361" t="e">
        <f t="shared" si="8"/>
        <v>#DIV/0!</v>
      </c>
      <c r="J492"/>
    </row>
    <row r="493" spans="1:9" ht="14.25" hidden="1">
      <c r="A493" s="260" t="s">
        <v>140</v>
      </c>
      <c r="B493" s="240"/>
      <c r="C493" s="54" t="s">
        <v>111</v>
      </c>
      <c r="D493" s="89" t="s">
        <v>398</v>
      </c>
      <c r="E493" s="55" t="s">
        <v>356</v>
      </c>
      <c r="F493" s="96"/>
      <c r="G493" s="129">
        <f>SUM(G496+G498)+G494</f>
        <v>0</v>
      </c>
      <c r="H493" s="118">
        <f>SUM(H496+H498)+H494</f>
        <v>0</v>
      </c>
      <c r="I493" s="361" t="e">
        <f t="shared" si="8"/>
        <v>#DIV/0!</v>
      </c>
    </row>
    <row r="494" spans="1:9" ht="28.5" hidden="1">
      <c r="A494" s="260" t="s">
        <v>401</v>
      </c>
      <c r="B494" s="240"/>
      <c r="C494" s="54" t="s">
        <v>111</v>
      </c>
      <c r="D494" s="89" t="s">
        <v>398</v>
      </c>
      <c r="E494" s="55" t="s">
        <v>357</v>
      </c>
      <c r="F494" s="96"/>
      <c r="G494" s="129">
        <f>SUM(G495)</f>
        <v>0</v>
      </c>
      <c r="H494" s="118">
        <f>SUM(H495)</f>
        <v>0</v>
      </c>
      <c r="I494" s="361" t="e">
        <f t="shared" si="8"/>
        <v>#DIV/0!</v>
      </c>
    </row>
    <row r="495" spans="1:10" ht="14.25" hidden="1">
      <c r="A495" s="260" t="s">
        <v>140</v>
      </c>
      <c r="B495" s="240"/>
      <c r="C495" s="54" t="s">
        <v>111</v>
      </c>
      <c r="D495" s="89" t="s">
        <v>398</v>
      </c>
      <c r="E495" s="55" t="s">
        <v>357</v>
      </c>
      <c r="F495" s="96" t="s">
        <v>77</v>
      </c>
      <c r="G495" s="129"/>
      <c r="H495" s="118"/>
      <c r="I495" s="361" t="e">
        <f aca="true" t="shared" si="10" ref="I495:I561">SUM(H495/G495*100)</f>
        <v>#DIV/0!</v>
      </c>
      <c r="J495"/>
    </row>
    <row r="496" spans="1:10" ht="28.5" hidden="1">
      <c r="A496" s="265" t="s">
        <v>355</v>
      </c>
      <c r="B496" s="248"/>
      <c r="C496" s="54" t="s">
        <v>111</v>
      </c>
      <c r="D496" s="89" t="s">
        <v>398</v>
      </c>
      <c r="E496" s="89" t="s">
        <v>354</v>
      </c>
      <c r="F496" s="96"/>
      <c r="G496" s="129">
        <f>SUM(G497)</f>
        <v>0</v>
      </c>
      <c r="H496" s="118">
        <f>SUM(H497)</f>
        <v>0</v>
      </c>
      <c r="I496" s="361" t="e">
        <f t="shared" si="10"/>
        <v>#DIV/0!</v>
      </c>
      <c r="J496"/>
    </row>
    <row r="497" spans="1:10" ht="15" hidden="1">
      <c r="A497" s="265" t="s">
        <v>127</v>
      </c>
      <c r="B497" s="248"/>
      <c r="C497" s="54" t="s">
        <v>111</v>
      </c>
      <c r="D497" s="89" t="s">
        <v>398</v>
      </c>
      <c r="E497" s="89" t="s">
        <v>354</v>
      </c>
      <c r="F497" s="96" t="s">
        <v>77</v>
      </c>
      <c r="G497" s="129"/>
      <c r="H497" s="118"/>
      <c r="I497" s="361" t="e">
        <f t="shared" si="10"/>
        <v>#DIV/0!</v>
      </c>
      <c r="J497"/>
    </row>
    <row r="498" spans="1:9" ht="28.5" hidden="1">
      <c r="A498" s="265" t="s">
        <v>137</v>
      </c>
      <c r="B498" s="248"/>
      <c r="C498" s="54" t="s">
        <v>111</v>
      </c>
      <c r="D498" s="89" t="s">
        <v>398</v>
      </c>
      <c r="E498" s="89" t="s">
        <v>184</v>
      </c>
      <c r="F498" s="96"/>
      <c r="G498" s="129">
        <f>SUM(G499)</f>
        <v>0</v>
      </c>
      <c r="H498" s="118">
        <f>SUM(H499)</f>
        <v>0</v>
      </c>
      <c r="I498" s="361" t="e">
        <f t="shared" si="10"/>
        <v>#DIV/0!</v>
      </c>
    </row>
    <row r="499" spans="1:9" ht="15" hidden="1">
      <c r="A499" s="265" t="s">
        <v>127</v>
      </c>
      <c r="B499" s="248"/>
      <c r="C499" s="54" t="s">
        <v>111</v>
      </c>
      <c r="D499" s="89" t="s">
        <v>398</v>
      </c>
      <c r="E499" s="89" t="s">
        <v>184</v>
      </c>
      <c r="F499" s="96" t="s">
        <v>77</v>
      </c>
      <c r="G499" s="129"/>
      <c r="H499" s="118"/>
      <c r="I499" s="361" t="e">
        <f t="shared" si="10"/>
        <v>#DIV/0!</v>
      </c>
    </row>
    <row r="500" spans="1:9" ht="28.5" hidden="1">
      <c r="A500" s="260" t="s">
        <v>50</v>
      </c>
      <c r="B500" s="128"/>
      <c r="C500" s="54" t="s">
        <v>111</v>
      </c>
      <c r="D500" s="89" t="s">
        <v>398</v>
      </c>
      <c r="E500" s="89" t="s">
        <v>124</v>
      </c>
      <c r="F500" s="95"/>
      <c r="G500" s="129">
        <f>SUM(G501:G503)</f>
        <v>0</v>
      </c>
      <c r="H500" s="118">
        <f>SUM(H501:H503)</f>
        <v>0</v>
      </c>
      <c r="I500" s="361" t="e">
        <f t="shared" si="10"/>
        <v>#DIV/0!</v>
      </c>
    </row>
    <row r="501" spans="1:9" ht="14.25" hidden="1">
      <c r="A501" s="265" t="s">
        <v>51</v>
      </c>
      <c r="B501" s="128"/>
      <c r="C501" s="54" t="s">
        <v>111</v>
      </c>
      <c r="D501" s="89" t="s">
        <v>398</v>
      </c>
      <c r="E501" s="89" t="s">
        <v>124</v>
      </c>
      <c r="F501" s="95" t="s">
        <v>212</v>
      </c>
      <c r="G501" s="129"/>
      <c r="H501" s="118"/>
      <c r="I501" s="361" t="e">
        <f t="shared" si="10"/>
        <v>#DIV/0!</v>
      </c>
    </row>
    <row r="502" spans="1:9" ht="42.75" hidden="1">
      <c r="A502" s="265" t="s">
        <v>314</v>
      </c>
      <c r="B502" s="248"/>
      <c r="C502" s="54" t="s">
        <v>111</v>
      </c>
      <c r="D502" s="89" t="s">
        <v>398</v>
      </c>
      <c r="E502" s="89" t="s">
        <v>124</v>
      </c>
      <c r="F502" s="96" t="s">
        <v>315</v>
      </c>
      <c r="G502" s="129"/>
      <c r="H502" s="118"/>
      <c r="I502" s="361" t="e">
        <f t="shared" si="10"/>
        <v>#DIV/0!</v>
      </c>
    </row>
    <row r="503" spans="1:9" ht="42.75" hidden="1">
      <c r="A503" s="260" t="s">
        <v>222</v>
      </c>
      <c r="B503" s="240"/>
      <c r="C503" s="54" t="s">
        <v>111</v>
      </c>
      <c r="D503" s="89" t="s">
        <v>398</v>
      </c>
      <c r="E503" s="89" t="s">
        <v>316</v>
      </c>
      <c r="F503" s="96"/>
      <c r="G503" s="129">
        <f>SUM(G504)</f>
        <v>0</v>
      </c>
      <c r="H503" s="118">
        <f>SUM(H504)</f>
        <v>0</v>
      </c>
      <c r="I503" s="361" t="e">
        <f t="shared" si="10"/>
        <v>#DIV/0!</v>
      </c>
    </row>
    <row r="504" spans="1:9" ht="15" hidden="1">
      <c r="A504" s="265" t="s">
        <v>211</v>
      </c>
      <c r="B504" s="248"/>
      <c r="C504" s="54" t="s">
        <v>111</v>
      </c>
      <c r="D504" s="89" t="s">
        <v>398</v>
      </c>
      <c r="E504" s="89" t="s">
        <v>316</v>
      </c>
      <c r="F504" s="96" t="s">
        <v>212</v>
      </c>
      <c r="G504" s="129"/>
      <c r="H504" s="118"/>
      <c r="I504" s="361" t="e">
        <f t="shared" si="10"/>
        <v>#DIV/0!</v>
      </c>
    </row>
    <row r="505" spans="1:9" ht="14.25">
      <c r="A505" s="260" t="s">
        <v>317</v>
      </c>
      <c r="B505" s="240"/>
      <c r="C505" s="54" t="s">
        <v>111</v>
      </c>
      <c r="D505" s="89" t="s">
        <v>398</v>
      </c>
      <c r="E505" s="89" t="s">
        <v>318</v>
      </c>
      <c r="F505" s="95"/>
      <c r="G505" s="129">
        <f>SUM(G506)</f>
        <v>5852.5</v>
      </c>
      <c r="H505" s="118">
        <f>SUM(H506)</f>
        <v>4267.6</v>
      </c>
      <c r="I505" s="361">
        <f t="shared" si="10"/>
        <v>72.9192652712516</v>
      </c>
    </row>
    <row r="506" spans="1:10" ht="28.5">
      <c r="A506" s="260" t="s">
        <v>85</v>
      </c>
      <c r="B506" s="243"/>
      <c r="C506" s="54" t="s">
        <v>111</v>
      </c>
      <c r="D506" s="89" t="s">
        <v>398</v>
      </c>
      <c r="E506" s="89" t="s">
        <v>75</v>
      </c>
      <c r="F506" s="95"/>
      <c r="G506" s="129">
        <f>SUM(G507)+G509</f>
        <v>5852.5</v>
      </c>
      <c r="H506" s="118">
        <f>SUM(H507)+H509</f>
        <v>4267.6</v>
      </c>
      <c r="I506" s="361">
        <f t="shared" si="10"/>
        <v>72.9192652712516</v>
      </c>
      <c r="J506"/>
    </row>
    <row r="507" spans="1:10" ht="28.5">
      <c r="A507" s="260" t="s">
        <v>175</v>
      </c>
      <c r="B507" s="243"/>
      <c r="C507" s="54" t="s">
        <v>111</v>
      </c>
      <c r="D507" s="89" t="s">
        <v>398</v>
      </c>
      <c r="E507" s="89" t="s">
        <v>76</v>
      </c>
      <c r="F507" s="95"/>
      <c r="G507" s="129">
        <f>SUM(G508)</f>
        <v>5852.5</v>
      </c>
      <c r="H507" s="118">
        <f>SUM(H508)</f>
        <v>4067.6</v>
      </c>
      <c r="I507" s="361">
        <f t="shared" si="10"/>
        <v>69.50192225544639</v>
      </c>
      <c r="J507"/>
    </row>
    <row r="508" spans="1:10" ht="31.5" customHeight="1">
      <c r="A508" s="265" t="s">
        <v>447</v>
      </c>
      <c r="B508" s="248"/>
      <c r="C508" s="54" t="s">
        <v>111</v>
      </c>
      <c r="D508" s="89" t="s">
        <v>398</v>
      </c>
      <c r="E508" s="89" t="s">
        <v>76</v>
      </c>
      <c r="F508" s="96" t="s">
        <v>445</v>
      </c>
      <c r="G508" s="129">
        <v>5852.5</v>
      </c>
      <c r="H508" s="118">
        <v>4067.6</v>
      </c>
      <c r="I508" s="361">
        <f t="shared" si="10"/>
        <v>69.50192225544639</v>
      </c>
      <c r="J508">
        <f>SUM('ведомствен.2015'!G892)</f>
        <v>5852.5</v>
      </c>
    </row>
    <row r="509" spans="1:9" ht="15" hidden="1">
      <c r="A509" s="265" t="s">
        <v>140</v>
      </c>
      <c r="B509" s="248"/>
      <c r="C509" s="54" t="s">
        <v>111</v>
      </c>
      <c r="D509" s="89" t="s">
        <v>398</v>
      </c>
      <c r="E509" s="89" t="s">
        <v>185</v>
      </c>
      <c r="F509" s="96"/>
      <c r="G509" s="129">
        <f>SUM(G510)</f>
        <v>0</v>
      </c>
      <c r="H509" s="118">
        <f>SUM(H510)</f>
        <v>200</v>
      </c>
      <c r="I509" s="361"/>
    </row>
    <row r="510" spans="1:10" ht="28.5" hidden="1">
      <c r="A510" s="265" t="s">
        <v>128</v>
      </c>
      <c r="B510" s="248"/>
      <c r="C510" s="54" t="s">
        <v>111</v>
      </c>
      <c r="D510" s="89" t="s">
        <v>398</v>
      </c>
      <c r="E510" s="89" t="s">
        <v>403</v>
      </c>
      <c r="F510" s="96"/>
      <c r="G510" s="129">
        <f>SUM(G511)</f>
        <v>0</v>
      </c>
      <c r="H510" s="118">
        <f>SUM(H511)</f>
        <v>200</v>
      </c>
      <c r="I510" s="361"/>
      <c r="J510"/>
    </row>
    <row r="511" spans="1:10" ht="28.5" hidden="1">
      <c r="A511" s="265" t="s">
        <v>447</v>
      </c>
      <c r="B511" s="248"/>
      <c r="C511" s="54" t="s">
        <v>111</v>
      </c>
      <c r="D511" s="89" t="s">
        <v>398</v>
      </c>
      <c r="E511" s="89" t="s">
        <v>403</v>
      </c>
      <c r="F511" s="96" t="s">
        <v>445</v>
      </c>
      <c r="G511" s="129"/>
      <c r="H511" s="118">
        <v>200</v>
      </c>
      <c r="I511" s="361"/>
      <c r="J511">
        <f>SUM('ведомствен.2015'!G895)</f>
        <v>0</v>
      </c>
    </row>
    <row r="512" spans="1:10" ht="28.5" hidden="1">
      <c r="A512" s="265" t="s">
        <v>355</v>
      </c>
      <c r="B512" s="248"/>
      <c r="C512" s="54" t="s">
        <v>111</v>
      </c>
      <c r="D512" s="89" t="s">
        <v>398</v>
      </c>
      <c r="E512" s="89" t="s">
        <v>136</v>
      </c>
      <c r="F512" s="96"/>
      <c r="G512" s="129">
        <f>SUM(G513)</f>
        <v>0</v>
      </c>
      <c r="H512" s="118">
        <f>SUM(H513)</f>
        <v>0</v>
      </c>
      <c r="I512" s="361" t="e">
        <f t="shared" si="10"/>
        <v>#DIV/0!</v>
      </c>
      <c r="J512"/>
    </row>
    <row r="513" spans="1:10" ht="15" hidden="1">
      <c r="A513" s="265" t="s">
        <v>127</v>
      </c>
      <c r="B513" s="248"/>
      <c r="C513" s="54" t="s">
        <v>111</v>
      </c>
      <c r="D513" s="89" t="s">
        <v>398</v>
      </c>
      <c r="E513" s="89" t="s">
        <v>136</v>
      </c>
      <c r="F513" s="96" t="s">
        <v>77</v>
      </c>
      <c r="G513" s="129"/>
      <c r="H513" s="118"/>
      <c r="I513" s="361" t="e">
        <f t="shared" si="10"/>
        <v>#DIV/0!</v>
      </c>
      <c r="J513"/>
    </row>
    <row r="514" spans="1:10" ht="28.5" hidden="1">
      <c r="A514" s="270" t="s">
        <v>137</v>
      </c>
      <c r="B514" s="248"/>
      <c r="C514" s="54" t="s">
        <v>111</v>
      </c>
      <c r="D514" s="89" t="s">
        <v>398</v>
      </c>
      <c r="E514" s="89" t="s">
        <v>545</v>
      </c>
      <c r="F514" s="96"/>
      <c r="G514" s="129">
        <f>SUM(G515)</f>
        <v>0</v>
      </c>
      <c r="H514" s="118">
        <f>SUM(H515)</f>
        <v>0</v>
      </c>
      <c r="I514" s="361" t="e">
        <f t="shared" si="10"/>
        <v>#DIV/0!</v>
      </c>
      <c r="J514"/>
    </row>
    <row r="515" spans="1:10" ht="28.5" hidden="1">
      <c r="A515" s="265" t="s">
        <v>447</v>
      </c>
      <c r="B515" s="248"/>
      <c r="C515" s="54" t="s">
        <v>111</v>
      </c>
      <c r="D515" s="89" t="s">
        <v>398</v>
      </c>
      <c r="E515" s="89" t="s">
        <v>545</v>
      </c>
      <c r="F515" s="96" t="s">
        <v>445</v>
      </c>
      <c r="G515" s="129"/>
      <c r="H515" s="118"/>
      <c r="I515" s="361" t="e">
        <f t="shared" si="10"/>
        <v>#DIV/0!</v>
      </c>
      <c r="J515">
        <f>SUM('ведомствен.2015'!G899)</f>
        <v>0</v>
      </c>
    </row>
    <row r="516" spans="1:10" ht="14.25">
      <c r="A516" s="260" t="s">
        <v>319</v>
      </c>
      <c r="B516" s="240"/>
      <c r="C516" s="54" t="s">
        <v>111</v>
      </c>
      <c r="D516" s="89" t="s">
        <v>398</v>
      </c>
      <c r="E516" s="89" t="s">
        <v>320</v>
      </c>
      <c r="F516" s="95"/>
      <c r="G516" s="129">
        <f>SUM(G517)</f>
        <v>35436.3</v>
      </c>
      <c r="H516" s="118">
        <f>SUM(H517)</f>
        <v>27285.2</v>
      </c>
      <c r="I516" s="361">
        <f t="shared" si="10"/>
        <v>76.99788070424958</v>
      </c>
      <c r="J516"/>
    </row>
    <row r="517" spans="1:10" ht="31.5" customHeight="1">
      <c r="A517" s="260" t="s">
        <v>50</v>
      </c>
      <c r="B517" s="243"/>
      <c r="C517" s="54" t="s">
        <v>111</v>
      </c>
      <c r="D517" s="89" t="s">
        <v>398</v>
      </c>
      <c r="E517" s="89" t="s">
        <v>321</v>
      </c>
      <c r="F517" s="95"/>
      <c r="G517" s="129">
        <f>SUM(G518:G520)</f>
        <v>35436.3</v>
      </c>
      <c r="H517" s="118">
        <f>SUM(H518:H520)</f>
        <v>27285.2</v>
      </c>
      <c r="I517" s="361">
        <f t="shared" si="10"/>
        <v>76.99788070424958</v>
      </c>
      <c r="J517"/>
    </row>
    <row r="518" spans="1:10" ht="28.5">
      <c r="A518" s="260" t="s">
        <v>428</v>
      </c>
      <c r="B518" s="240"/>
      <c r="C518" s="54" t="s">
        <v>111</v>
      </c>
      <c r="D518" s="89" t="s">
        <v>398</v>
      </c>
      <c r="E518" s="89" t="s">
        <v>321</v>
      </c>
      <c r="F518" s="94" t="s">
        <v>429</v>
      </c>
      <c r="G518" s="129">
        <v>30430.8</v>
      </c>
      <c r="H518" s="118">
        <v>23179.1</v>
      </c>
      <c r="I518" s="361">
        <f t="shared" si="10"/>
        <v>76.169867371216</v>
      </c>
      <c r="J518">
        <f>SUM('ведомствен.2015'!G902)</f>
        <v>30430.8</v>
      </c>
    </row>
    <row r="519" spans="1:10" ht="28.5">
      <c r="A519" s="260" t="s">
        <v>675</v>
      </c>
      <c r="B519" s="240"/>
      <c r="C519" s="54" t="s">
        <v>111</v>
      </c>
      <c r="D519" s="89" t="s">
        <v>398</v>
      </c>
      <c r="E519" s="89" t="s">
        <v>321</v>
      </c>
      <c r="F519" s="94" t="s">
        <v>107</v>
      </c>
      <c r="G519" s="130">
        <v>4471.2</v>
      </c>
      <c r="H519" s="366">
        <v>3706.2</v>
      </c>
      <c r="I519" s="361">
        <f t="shared" si="10"/>
        <v>82.89049919484702</v>
      </c>
      <c r="J519">
        <f>SUM('ведомствен.2015'!G903)</f>
        <v>4471.2</v>
      </c>
    </row>
    <row r="520" spans="1:10" ht="14.25">
      <c r="A520" s="260" t="s">
        <v>434</v>
      </c>
      <c r="B520" s="240"/>
      <c r="C520" s="54" t="s">
        <v>111</v>
      </c>
      <c r="D520" s="89" t="s">
        <v>398</v>
      </c>
      <c r="E520" s="89" t="s">
        <v>321</v>
      </c>
      <c r="F520" s="95" t="s">
        <v>152</v>
      </c>
      <c r="G520" s="129">
        <v>534.3</v>
      </c>
      <c r="H520" s="118">
        <v>399.9</v>
      </c>
      <c r="I520" s="361">
        <f t="shared" si="10"/>
        <v>74.84559236384054</v>
      </c>
      <c r="J520">
        <f>SUM('ведомствен.2015'!G904)</f>
        <v>534.3</v>
      </c>
    </row>
    <row r="521" spans="1:10" ht="42.75">
      <c r="A521" s="116" t="s">
        <v>668</v>
      </c>
      <c r="B521" s="502"/>
      <c r="C521" s="54" t="s">
        <v>111</v>
      </c>
      <c r="D521" s="89" t="s">
        <v>398</v>
      </c>
      <c r="E521" s="89" t="s">
        <v>669</v>
      </c>
      <c r="F521" s="96"/>
      <c r="G521" s="129">
        <f>SUM(G522)</f>
        <v>51.3</v>
      </c>
      <c r="H521" s="118">
        <f>SUM(H522)</f>
        <v>51.3</v>
      </c>
      <c r="I521" s="361">
        <f t="shared" si="10"/>
        <v>100</v>
      </c>
      <c r="J521"/>
    </row>
    <row r="522" spans="1:10" ht="28.5">
      <c r="A522" s="260" t="s">
        <v>675</v>
      </c>
      <c r="B522" s="502"/>
      <c r="C522" s="54" t="s">
        <v>111</v>
      </c>
      <c r="D522" s="89" t="s">
        <v>398</v>
      </c>
      <c r="E522" s="89" t="s">
        <v>669</v>
      </c>
      <c r="F522" s="96" t="s">
        <v>107</v>
      </c>
      <c r="G522" s="129">
        <v>51.3</v>
      </c>
      <c r="H522" s="118">
        <v>51.3</v>
      </c>
      <c r="I522" s="361">
        <f t="shared" si="10"/>
        <v>100</v>
      </c>
      <c r="J522">
        <f>SUM('ведомствен.2015'!G907)</f>
        <v>51.3</v>
      </c>
    </row>
    <row r="523" spans="1:10" ht="28.5" hidden="1">
      <c r="A523" s="265" t="s">
        <v>322</v>
      </c>
      <c r="B523" s="248"/>
      <c r="C523" s="54" t="s">
        <v>111</v>
      </c>
      <c r="D523" s="89" t="s">
        <v>398</v>
      </c>
      <c r="E523" s="89" t="s">
        <v>323</v>
      </c>
      <c r="F523" s="96"/>
      <c r="G523" s="129">
        <f>SUM(G526+G524)</f>
        <v>0</v>
      </c>
      <c r="H523" s="118">
        <f>SUM(H526+H524)</f>
        <v>0</v>
      </c>
      <c r="I523" s="361" t="e">
        <f t="shared" si="10"/>
        <v>#DIV/0!</v>
      </c>
      <c r="J523"/>
    </row>
    <row r="524" spans="1:10" ht="15" hidden="1">
      <c r="A524" s="265" t="s">
        <v>211</v>
      </c>
      <c r="B524" s="248"/>
      <c r="C524" s="54" t="s">
        <v>111</v>
      </c>
      <c r="D524" s="89" t="s">
        <v>398</v>
      </c>
      <c r="E524" s="89" t="s">
        <v>323</v>
      </c>
      <c r="F524" s="96" t="s">
        <v>212</v>
      </c>
      <c r="G524" s="129"/>
      <c r="H524" s="118"/>
      <c r="I524" s="361" t="e">
        <f t="shared" si="10"/>
        <v>#DIV/0!</v>
      </c>
      <c r="J524"/>
    </row>
    <row r="525" spans="1:10" ht="42.75" hidden="1">
      <c r="A525" s="265" t="s">
        <v>324</v>
      </c>
      <c r="B525" s="248"/>
      <c r="C525" s="54" t="s">
        <v>111</v>
      </c>
      <c r="D525" s="89" t="s">
        <v>398</v>
      </c>
      <c r="E525" s="89" t="s">
        <v>325</v>
      </c>
      <c r="F525" s="96"/>
      <c r="G525" s="129">
        <f>SUM(G526)</f>
        <v>0</v>
      </c>
      <c r="H525" s="118">
        <f>SUM(H526)</f>
        <v>0</v>
      </c>
      <c r="I525" s="361" t="e">
        <f t="shared" si="10"/>
        <v>#DIV/0!</v>
      </c>
      <c r="J525"/>
    </row>
    <row r="526" spans="1:10" ht="15" hidden="1">
      <c r="A526" s="265" t="s">
        <v>211</v>
      </c>
      <c r="B526" s="248"/>
      <c r="C526" s="54" t="s">
        <v>111</v>
      </c>
      <c r="D526" s="89" t="s">
        <v>398</v>
      </c>
      <c r="E526" s="89" t="s">
        <v>325</v>
      </c>
      <c r="F526" s="96" t="s">
        <v>212</v>
      </c>
      <c r="G526" s="129"/>
      <c r="H526" s="118"/>
      <c r="I526" s="361" t="e">
        <f t="shared" si="10"/>
        <v>#DIV/0!</v>
      </c>
      <c r="J526"/>
    </row>
    <row r="527" spans="1:10" ht="15" hidden="1">
      <c r="A527" s="265" t="s">
        <v>115</v>
      </c>
      <c r="B527" s="243"/>
      <c r="C527" s="54" t="s">
        <v>111</v>
      </c>
      <c r="D527" s="89" t="s">
        <v>398</v>
      </c>
      <c r="E527" s="89" t="s">
        <v>116</v>
      </c>
      <c r="F527" s="95"/>
      <c r="G527" s="129">
        <f>SUM(G528)</f>
        <v>0</v>
      </c>
      <c r="H527" s="118">
        <f>SUM(H528)</f>
        <v>0</v>
      </c>
      <c r="I527" s="361" t="e">
        <f t="shared" si="10"/>
        <v>#DIV/0!</v>
      </c>
      <c r="J527"/>
    </row>
    <row r="528" spans="1:10" ht="42.75" hidden="1">
      <c r="A528" s="260" t="s">
        <v>177</v>
      </c>
      <c r="B528" s="243"/>
      <c r="C528" s="54" t="s">
        <v>111</v>
      </c>
      <c r="D528" s="89" t="s">
        <v>398</v>
      </c>
      <c r="E528" s="89" t="s">
        <v>257</v>
      </c>
      <c r="F528" s="95"/>
      <c r="G528" s="129">
        <f>SUM(G529:G530)</f>
        <v>0</v>
      </c>
      <c r="H528" s="118">
        <f>SUM(H529:H530)</f>
        <v>0</v>
      </c>
      <c r="I528" s="361" t="e">
        <f t="shared" si="10"/>
        <v>#DIV/0!</v>
      </c>
      <c r="J528"/>
    </row>
    <row r="529" spans="1:10" ht="15" hidden="1">
      <c r="A529" s="265" t="s">
        <v>51</v>
      </c>
      <c r="B529" s="243"/>
      <c r="C529" s="54" t="s">
        <v>111</v>
      </c>
      <c r="D529" s="89" t="s">
        <v>398</v>
      </c>
      <c r="E529" s="89" t="s">
        <v>257</v>
      </c>
      <c r="F529" s="95" t="s">
        <v>212</v>
      </c>
      <c r="G529" s="129"/>
      <c r="H529" s="118"/>
      <c r="I529" s="361" t="e">
        <f t="shared" si="10"/>
        <v>#DIV/0!</v>
      </c>
      <c r="J529"/>
    </row>
    <row r="530" spans="1:10" ht="15" hidden="1">
      <c r="A530" s="265" t="s">
        <v>127</v>
      </c>
      <c r="B530" s="243"/>
      <c r="C530" s="54" t="s">
        <v>111</v>
      </c>
      <c r="D530" s="89" t="s">
        <v>398</v>
      </c>
      <c r="E530" s="89" t="s">
        <v>257</v>
      </c>
      <c r="F530" s="95" t="s">
        <v>77</v>
      </c>
      <c r="G530" s="129"/>
      <c r="H530" s="118"/>
      <c r="I530" s="361" t="e">
        <f t="shared" si="10"/>
        <v>#DIV/0!</v>
      </c>
      <c r="J530"/>
    </row>
    <row r="531" spans="1:9" ht="15">
      <c r="A531" s="261" t="s">
        <v>202</v>
      </c>
      <c r="B531" s="243"/>
      <c r="C531" s="54" t="s">
        <v>111</v>
      </c>
      <c r="D531" s="89" t="s">
        <v>109</v>
      </c>
      <c r="E531" s="89"/>
      <c r="F531" s="95"/>
      <c r="G531" s="129">
        <f>SUM(G535+G540+G533)</f>
        <v>12660.5</v>
      </c>
      <c r="H531" s="118">
        <f>SUM(H535+H540+H533)</f>
        <v>7253.699999999999</v>
      </c>
      <c r="I531" s="361">
        <f t="shared" si="10"/>
        <v>57.29394573674025</v>
      </c>
    </row>
    <row r="532" spans="1:10" ht="15" hidden="1">
      <c r="A532" s="260" t="s">
        <v>348</v>
      </c>
      <c r="B532" s="243"/>
      <c r="C532" s="54" t="s">
        <v>111</v>
      </c>
      <c r="D532" s="89" t="s">
        <v>109</v>
      </c>
      <c r="E532" s="89" t="s">
        <v>350</v>
      </c>
      <c r="F532" s="95"/>
      <c r="G532" s="129">
        <f>SUM(G533)</f>
        <v>0</v>
      </c>
      <c r="H532" s="118">
        <f>SUM(H533)</f>
        <v>0</v>
      </c>
      <c r="I532" s="361" t="e">
        <f t="shared" si="10"/>
        <v>#DIV/0!</v>
      </c>
      <c r="J532"/>
    </row>
    <row r="533" spans="1:10" ht="15" hidden="1">
      <c r="A533" s="260" t="s">
        <v>330</v>
      </c>
      <c r="B533" s="243"/>
      <c r="C533" s="54" t="s">
        <v>111</v>
      </c>
      <c r="D533" s="89" t="s">
        <v>109</v>
      </c>
      <c r="E533" s="89" t="s">
        <v>331</v>
      </c>
      <c r="F533" s="95"/>
      <c r="G533" s="129">
        <f>SUM(G534)</f>
        <v>0</v>
      </c>
      <c r="H533" s="118">
        <f>SUM(H534)</f>
        <v>0</v>
      </c>
      <c r="I533" s="361" t="e">
        <f t="shared" si="10"/>
        <v>#DIV/0!</v>
      </c>
      <c r="J533"/>
    </row>
    <row r="534" spans="1:10" ht="28.5" hidden="1">
      <c r="A534" s="260" t="s">
        <v>264</v>
      </c>
      <c r="B534" s="243"/>
      <c r="C534" s="54" t="s">
        <v>111</v>
      </c>
      <c r="D534" s="89" t="s">
        <v>109</v>
      </c>
      <c r="E534" s="89" t="s">
        <v>331</v>
      </c>
      <c r="F534" s="95" t="s">
        <v>265</v>
      </c>
      <c r="G534" s="129"/>
      <c r="H534" s="118"/>
      <c r="I534" s="361" t="e">
        <f t="shared" si="10"/>
        <v>#DIV/0!</v>
      </c>
      <c r="J534"/>
    </row>
    <row r="535" spans="1:10" ht="57">
      <c r="A535" s="261" t="s">
        <v>251</v>
      </c>
      <c r="B535" s="243"/>
      <c r="C535" s="54" t="s">
        <v>111</v>
      </c>
      <c r="D535" s="89" t="s">
        <v>109</v>
      </c>
      <c r="E535" s="89" t="s">
        <v>252</v>
      </c>
      <c r="F535" s="95"/>
      <c r="G535" s="129">
        <f>SUM(G536)</f>
        <v>6047.1</v>
      </c>
      <c r="H535" s="118">
        <f>SUM(H536)</f>
        <v>4653.599999999999</v>
      </c>
      <c r="I535" s="361">
        <f t="shared" si="10"/>
        <v>76.95589621471449</v>
      </c>
      <c r="J535"/>
    </row>
    <row r="536" spans="1:10" ht="28.5">
      <c r="A536" s="260" t="s">
        <v>50</v>
      </c>
      <c r="B536" s="243"/>
      <c r="C536" s="54" t="s">
        <v>111</v>
      </c>
      <c r="D536" s="89" t="s">
        <v>109</v>
      </c>
      <c r="E536" s="89" t="s">
        <v>253</v>
      </c>
      <c r="F536" s="95"/>
      <c r="G536" s="129">
        <f>SUM(G537:G539)</f>
        <v>6047.1</v>
      </c>
      <c r="H536" s="118">
        <f>SUM(H537:H539)</f>
        <v>4653.599999999999</v>
      </c>
      <c r="I536" s="361">
        <f t="shared" si="10"/>
        <v>76.95589621471449</v>
      </c>
      <c r="J536"/>
    </row>
    <row r="537" spans="1:10" ht="28.5">
      <c r="A537" s="260" t="s">
        <v>428</v>
      </c>
      <c r="B537" s="248"/>
      <c r="C537" s="54" t="s">
        <v>111</v>
      </c>
      <c r="D537" s="89" t="s">
        <v>109</v>
      </c>
      <c r="E537" s="89" t="s">
        <v>253</v>
      </c>
      <c r="F537" s="96" t="s">
        <v>429</v>
      </c>
      <c r="G537" s="129">
        <v>5455.7</v>
      </c>
      <c r="H537" s="118">
        <v>4189.7</v>
      </c>
      <c r="I537" s="361">
        <f t="shared" si="10"/>
        <v>76.79491174368091</v>
      </c>
      <c r="J537">
        <f>SUM('ведомствен.2015'!G922)</f>
        <v>5455.7</v>
      </c>
    </row>
    <row r="538" spans="1:10" ht="28.5">
      <c r="A538" s="260" t="s">
        <v>675</v>
      </c>
      <c r="B538" s="248"/>
      <c r="C538" s="54" t="s">
        <v>111</v>
      </c>
      <c r="D538" s="89" t="s">
        <v>109</v>
      </c>
      <c r="E538" s="89" t="s">
        <v>253</v>
      </c>
      <c r="F538" s="96" t="s">
        <v>107</v>
      </c>
      <c r="G538" s="129">
        <v>577.6</v>
      </c>
      <c r="H538" s="118">
        <v>459.4</v>
      </c>
      <c r="I538" s="361">
        <f t="shared" si="10"/>
        <v>79.5360110803324</v>
      </c>
      <c r="J538">
        <f>SUM('ведомствен.2015'!G923)</f>
        <v>577.6</v>
      </c>
    </row>
    <row r="539" spans="1:10" ht="15">
      <c r="A539" s="260" t="s">
        <v>434</v>
      </c>
      <c r="B539" s="248"/>
      <c r="C539" s="54" t="s">
        <v>111</v>
      </c>
      <c r="D539" s="89" t="s">
        <v>109</v>
      </c>
      <c r="E539" s="89" t="s">
        <v>253</v>
      </c>
      <c r="F539" s="96" t="s">
        <v>152</v>
      </c>
      <c r="G539" s="129">
        <v>13.8</v>
      </c>
      <c r="H539" s="118">
        <v>4.5</v>
      </c>
      <c r="I539" s="361">
        <f t="shared" si="10"/>
        <v>32.608695652173914</v>
      </c>
      <c r="J539">
        <f>SUM('ведомствен.2015'!G924)</f>
        <v>13.8</v>
      </c>
    </row>
    <row r="540" spans="1:10" ht="15">
      <c r="A540" s="262" t="s">
        <v>481</v>
      </c>
      <c r="B540" s="243"/>
      <c r="C540" s="54" t="s">
        <v>111</v>
      </c>
      <c r="D540" s="89" t="s">
        <v>109</v>
      </c>
      <c r="E540" s="89" t="s">
        <v>116</v>
      </c>
      <c r="F540" s="95"/>
      <c r="G540" s="129">
        <f>SUM(G541+G544+G548)</f>
        <v>6613.4</v>
      </c>
      <c r="H540" s="118">
        <f>SUM(H541+H544+H548)</f>
        <v>2600.1</v>
      </c>
      <c r="I540" s="361">
        <f t="shared" si="10"/>
        <v>39.31563189887199</v>
      </c>
      <c r="J540"/>
    </row>
    <row r="541" spans="1:9" ht="28.5">
      <c r="A541" s="260" t="s">
        <v>568</v>
      </c>
      <c r="B541" s="243"/>
      <c r="C541" s="54" t="s">
        <v>111</v>
      </c>
      <c r="D541" s="89" t="s">
        <v>109</v>
      </c>
      <c r="E541" s="89" t="s">
        <v>266</v>
      </c>
      <c r="F541" s="95"/>
      <c r="G541" s="129">
        <f>SUM(G542:G543)</f>
        <v>1141.6</v>
      </c>
      <c r="H541" s="118">
        <f>SUM(H542:H543)</f>
        <v>1053.7</v>
      </c>
      <c r="I541" s="361">
        <f t="shared" si="10"/>
        <v>92.30028030833918</v>
      </c>
    </row>
    <row r="542" spans="1:10" ht="28.5">
      <c r="A542" s="260" t="s">
        <v>675</v>
      </c>
      <c r="B542" s="243"/>
      <c r="C542" s="54" t="s">
        <v>111</v>
      </c>
      <c r="D542" s="89" t="s">
        <v>109</v>
      </c>
      <c r="E542" s="89" t="s">
        <v>266</v>
      </c>
      <c r="F542" s="95" t="s">
        <v>107</v>
      </c>
      <c r="G542" s="129">
        <v>253.7</v>
      </c>
      <c r="H542" s="118">
        <v>202.7</v>
      </c>
      <c r="I542" s="361">
        <f t="shared" si="10"/>
        <v>79.89751675206938</v>
      </c>
      <c r="J542" s="21">
        <f>SUM('ведомствен.2015'!G929)</f>
        <v>253.7</v>
      </c>
    </row>
    <row r="543" spans="1:10" s="19" customFormat="1" ht="28.5">
      <c r="A543" s="265" t="s">
        <v>447</v>
      </c>
      <c r="B543" s="243"/>
      <c r="C543" s="54" t="s">
        <v>111</v>
      </c>
      <c r="D543" s="89" t="s">
        <v>109</v>
      </c>
      <c r="E543" s="89" t="s">
        <v>266</v>
      </c>
      <c r="F543" s="95" t="s">
        <v>445</v>
      </c>
      <c r="G543" s="129">
        <v>887.9</v>
      </c>
      <c r="H543" s="118">
        <v>851</v>
      </c>
      <c r="I543" s="361">
        <f t="shared" si="10"/>
        <v>95.8441265908323</v>
      </c>
      <c r="J543" s="21">
        <f>SUM('ведомствен.2015'!G930)</f>
        <v>887.9</v>
      </c>
    </row>
    <row r="544" spans="1:10" ht="15">
      <c r="A544" s="260" t="s">
        <v>446</v>
      </c>
      <c r="B544" s="243"/>
      <c r="C544" s="54" t="s">
        <v>111</v>
      </c>
      <c r="D544" s="89" t="s">
        <v>109</v>
      </c>
      <c r="E544" s="89" t="s">
        <v>267</v>
      </c>
      <c r="F544" s="95"/>
      <c r="G544" s="129">
        <f>SUM(G545:G547)</f>
        <v>1749</v>
      </c>
      <c r="H544" s="118">
        <f>SUM(H545:H547)</f>
        <v>1489.3999999999999</v>
      </c>
      <c r="I544" s="361">
        <f t="shared" si="10"/>
        <v>85.1572327044025</v>
      </c>
      <c r="J544"/>
    </row>
    <row r="545" spans="1:10" ht="39.75" customHeight="1">
      <c r="A545" s="260" t="s">
        <v>428</v>
      </c>
      <c r="B545" s="243"/>
      <c r="C545" s="54" t="s">
        <v>111</v>
      </c>
      <c r="D545" s="89" t="s">
        <v>109</v>
      </c>
      <c r="E545" s="89" t="s">
        <v>267</v>
      </c>
      <c r="F545" s="95" t="s">
        <v>429</v>
      </c>
      <c r="G545" s="129">
        <v>56.3</v>
      </c>
      <c r="H545" s="118">
        <v>56.3</v>
      </c>
      <c r="I545" s="361">
        <f t="shared" si="10"/>
        <v>100</v>
      </c>
      <c r="J545" s="21">
        <f>SUM('ведомствен.2015'!G932)</f>
        <v>56.3</v>
      </c>
    </row>
    <row r="546" spans="1:10" ht="28.5">
      <c r="A546" s="260" t="s">
        <v>675</v>
      </c>
      <c r="B546" s="243"/>
      <c r="C546" s="54" t="s">
        <v>111</v>
      </c>
      <c r="D546" s="89" t="s">
        <v>109</v>
      </c>
      <c r="E546" s="89" t="s">
        <v>267</v>
      </c>
      <c r="F546" s="95" t="s">
        <v>107</v>
      </c>
      <c r="G546" s="129">
        <v>1692.7</v>
      </c>
      <c r="H546" s="118">
        <v>1433.1</v>
      </c>
      <c r="I546" s="361">
        <f t="shared" si="10"/>
        <v>84.66355526673361</v>
      </c>
      <c r="J546" s="21">
        <f>SUM('ведомствен.2015'!G933)</f>
        <v>1692.7</v>
      </c>
    </row>
    <row r="547" spans="1:10" s="12" customFormat="1" ht="15" hidden="1">
      <c r="A547" s="260" t="s">
        <v>434</v>
      </c>
      <c r="B547" s="243"/>
      <c r="C547" s="54" t="s">
        <v>111</v>
      </c>
      <c r="D547" s="89" t="s">
        <v>109</v>
      </c>
      <c r="E547" s="89" t="s">
        <v>267</v>
      </c>
      <c r="F547" s="95" t="s">
        <v>152</v>
      </c>
      <c r="G547" s="129"/>
      <c r="H547" s="118"/>
      <c r="I547" s="361" t="e">
        <f t="shared" si="10"/>
        <v>#DIV/0!</v>
      </c>
      <c r="J547"/>
    </row>
    <row r="548" spans="1:10" ht="42.75">
      <c r="A548" s="260" t="s">
        <v>569</v>
      </c>
      <c r="B548" s="243"/>
      <c r="C548" s="54" t="s">
        <v>111</v>
      </c>
      <c r="D548" s="89" t="s">
        <v>109</v>
      </c>
      <c r="E548" s="89" t="s">
        <v>570</v>
      </c>
      <c r="F548" s="95"/>
      <c r="G548" s="129">
        <f>SUM(G549:G550)</f>
        <v>3722.8</v>
      </c>
      <c r="H548" s="118">
        <f>SUM(H549:H550)</f>
        <v>57</v>
      </c>
      <c r="I548" s="361">
        <f t="shared" si="10"/>
        <v>1.5311056194262382</v>
      </c>
      <c r="J548"/>
    </row>
    <row r="549" spans="1:10" ht="28.5">
      <c r="A549" s="260" t="s">
        <v>675</v>
      </c>
      <c r="B549" s="243"/>
      <c r="C549" s="54" t="s">
        <v>111</v>
      </c>
      <c r="D549" s="89" t="s">
        <v>109</v>
      </c>
      <c r="E549" s="89" t="s">
        <v>570</v>
      </c>
      <c r="F549" s="95" t="s">
        <v>107</v>
      </c>
      <c r="G549" s="129">
        <v>3322.8</v>
      </c>
      <c r="H549" s="118">
        <v>57</v>
      </c>
      <c r="I549" s="361">
        <f t="shared" si="10"/>
        <v>1.7154207295052366</v>
      </c>
      <c r="J549" s="21">
        <f>SUM('ведомствен.2015'!G936)</f>
        <v>3322.8</v>
      </c>
    </row>
    <row r="550" spans="1:10" ht="28.5">
      <c r="A550" s="265" t="s">
        <v>447</v>
      </c>
      <c r="B550" s="243"/>
      <c r="C550" s="54" t="s">
        <v>111</v>
      </c>
      <c r="D550" s="89" t="s">
        <v>109</v>
      </c>
      <c r="E550" s="89" t="s">
        <v>570</v>
      </c>
      <c r="F550" s="95" t="s">
        <v>445</v>
      </c>
      <c r="G550" s="129">
        <v>400</v>
      </c>
      <c r="H550" s="118"/>
      <c r="I550" s="361">
        <f t="shared" si="10"/>
        <v>0</v>
      </c>
      <c r="J550" s="21">
        <f>SUM('ведомствен.2015'!G937)</f>
        <v>400</v>
      </c>
    </row>
    <row r="551" spans="1:12" ht="15">
      <c r="A551" s="263" t="s">
        <v>280</v>
      </c>
      <c r="B551" s="243"/>
      <c r="C551" s="100" t="s">
        <v>259</v>
      </c>
      <c r="D551" s="91"/>
      <c r="E551" s="91"/>
      <c r="F551" s="98"/>
      <c r="G551" s="233">
        <f>SUM(G552+G566+G583+G598)</f>
        <v>166571.39999999997</v>
      </c>
      <c r="H551" s="368" t="e">
        <f>SUM(H552+H566+H592+H604)</f>
        <v>#REF!</v>
      </c>
      <c r="I551" s="362" t="e">
        <f t="shared" si="10"/>
        <v>#REF!</v>
      </c>
      <c r="J551"/>
      <c r="K551" s="21">
        <f>SUM(J553:J608)</f>
        <v>166571.4</v>
      </c>
      <c r="L551">
        <f>SUM('ведомствен.2015'!G959)</f>
        <v>166571.39999999997</v>
      </c>
    </row>
    <row r="552" spans="1:10" ht="14.25">
      <c r="A552" s="260" t="s">
        <v>154</v>
      </c>
      <c r="B552" s="240"/>
      <c r="C552" s="54" t="s">
        <v>259</v>
      </c>
      <c r="D552" s="89" t="s">
        <v>398</v>
      </c>
      <c r="E552" s="89"/>
      <c r="F552" s="95"/>
      <c r="G552" s="129">
        <f>SUM(G555)+G553</f>
        <v>117284.79999999999</v>
      </c>
      <c r="H552" s="118">
        <f>SUM(H555)</f>
        <v>6830.6</v>
      </c>
      <c r="I552" s="361">
        <f t="shared" si="10"/>
        <v>5.823943085549024</v>
      </c>
      <c r="J552"/>
    </row>
    <row r="553" spans="1:10" ht="99.75">
      <c r="A553" s="422" t="s">
        <v>1320</v>
      </c>
      <c r="B553" s="137"/>
      <c r="C553" s="141" t="s">
        <v>259</v>
      </c>
      <c r="D553" s="141" t="s">
        <v>398</v>
      </c>
      <c r="E553" s="141" t="s">
        <v>1321</v>
      </c>
      <c r="F553" s="184"/>
      <c r="G553" s="118">
        <f>SUM(G554)</f>
        <v>334.9</v>
      </c>
      <c r="H553" s="118"/>
      <c r="I553" s="361"/>
      <c r="J553"/>
    </row>
    <row r="554" spans="1:10" ht="28.5">
      <c r="A554" s="549" t="s">
        <v>447</v>
      </c>
      <c r="B554" s="137"/>
      <c r="C554" s="141" t="s">
        <v>259</v>
      </c>
      <c r="D554" s="141" t="s">
        <v>398</v>
      </c>
      <c r="E554" s="141" t="s">
        <v>1321</v>
      </c>
      <c r="F554" s="184" t="s">
        <v>445</v>
      </c>
      <c r="G554" s="118">
        <v>334.9</v>
      </c>
      <c r="H554" s="118"/>
      <c r="I554" s="361"/>
      <c r="J554" s="21">
        <f>SUM('ведомствен.2015'!G962)</f>
        <v>334.9</v>
      </c>
    </row>
    <row r="555" spans="1:10" ht="28.5">
      <c r="A555" s="260" t="s">
        <v>562</v>
      </c>
      <c r="B555" s="240"/>
      <c r="C555" s="54" t="s">
        <v>259</v>
      </c>
      <c r="D555" s="89" t="s">
        <v>398</v>
      </c>
      <c r="E555" s="89" t="s">
        <v>563</v>
      </c>
      <c r="F555" s="95"/>
      <c r="G555" s="130">
        <f>SUM(G556)</f>
        <v>116949.9</v>
      </c>
      <c r="H555" s="366">
        <f>SUM(H556)</f>
        <v>6830.6</v>
      </c>
      <c r="I555" s="361">
        <f t="shared" si="10"/>
        <v>5.840620641830392</v>
      </c>
      <c r="J555"/>
    </row>
    <row r="556" spans="1:10" ht="19.5" customHeight="1">
      <c r="A556" s="260" t="s">
        <v>85</v>
      </c>
      <c r="B556" s="243"/>
      <c r="C556" s="54" t="s">
        <v>259</v>
      </c>
      <c r="D556" s="89" t="s">
        <v>398</v>
      </c>
      <c r="E556" s="89" t="s">
        <v>564</v>
      </c>
      <c r="F556" s="95"/>
      <c r="G556" s="129">
        <f>SUM(G565)+G557</f>
        <v>116949.9</v>
      </c>
      <c r="H556" s="118">
        <f>SUM(H565)+H557</f>
        <v>6830.6</v>
      </c>
      <c r="I556" s="361">
        <f t="shared" si="10"/>
        <v>5.840620641830392</v>
      </c>
      <c r="J556"/>
    </row>
    <row r="557" spans="1:9" ht="14.25" customHeight="1">
      <c r="A557" s="265" t="s">
        <v>140</v>
      </c>
      <c r="B557" s="505"/>
      <c r="C557" s="54" t="s">
        <v>259</v>
      </c>
      <c r="D557" s="89" t="s">
        <v>398</v>
      </c>
      <c r="E557" s="89" t="s">
        <v>1067</v>
      </c>
      <c r="F557" s="95"/>
      <c r="G557" s="129">
        <f>SUM(G560+G562+G558)</f>
        <v>105284.5</v>
      </c>
      <c r="H557" s="118">
        <f>SUM(H560+H562)</f>
        <v>0</v>
      </c>
      <c r="I557" s="361">
        <f t="shared" si="10"/>
        <v>0</v>
      </c>
    </row>
    <row r="558" spans="1:9" ht="14.25" customHeight="1">
      <c r="A558" s="265" t="s">
        <v>1192</v>
      </c>
      <c r="B558" s="505"/>
      <c r="C558" s="54" t="s">
        <v>259</v>
      </c>
      <c r="D558" s="89" t="s">
        <v>398</v>
      </c>
      <c r="E558" s="89" t="s">
        <v>1322</v>
      </c>
      <c r="F558" s="95"/>
      <c r="G558" s="129">
        <f>SUM(G559)</f>
        <v>4364.7</v>
      </c>
      <c r="H558" s="118"/>
      <c r="I558" s="361"/>
    </row>
    <row r="559" spans="1:10" ht="28.5">
      <c r="A559" s="265" t="s">
        <v>447</v>
      </c>
      <c r="B559" s="505"/>
      <c r="C559" s="54" t="s">
        <v>259</v>
      </c>
      <c r="D559" s="89" t="s">
        <v>398</v>
      </c>
      <c r="E559" s="89" t="s">
        <v>1322</v>
      </c>
      <c r="F559" s="95" t="s">
        <v>445</v>
      </c>
      <c r="G559" s="129">
        <v>4364.7</v>
      </c>
      <c r="H559" s="118"/>
      <c r="I559" s="361">
        <f t="shared" si="10"/>
        <v>0</v>
      </c>
      <c r="J559" s="21">
        <f>SUM('ведомствен.2015'!G967)</f>
        <v>4364.7</v>
      </c>
    </row>
    <row r="560" spans="1:9" ht="28.5">
      <c r="A560" s="265" t="s">
        <v>355</v>
      </c>
      <c r="B560" s="505"/>
      <c r="C560" s="54" t="s">
        <v>259</v>
      </c>
      <c r="D560" s="89" t="s">
        <v>398</v>
      </c>
      <c r="E560" s="89" t="s">
        <v>1323</v>
      </c>
      <c r="F560" s="95"/>
      <c r="G560" s="129">
        <f>SUM(G561)</f>
        <v>92295.6</v>
      </c>
      <c r="H560" s="118">
        <f>SUM(H561)</f>
        <v>0</v>
      </c>
      <c r="I560" s="361">
        <f t="shared" si="10"/>
        <v>0</v>
      </c>
    </row>
    <row r="561" spans="1:10" ht="28.5">
      <c r="A561" s="265" t="s">
        <v>447</v>
      </c>
      <c r="B561" s="505"/>
      <c r="C561" s="54" t="s">
        <v>259</v>
      </c>
      <c r="D561" s="89" t="s">
        <v>398</v>
      </c>
      <c r="E561" s="89" t="s">
        <v>1323</v>
      </c>
      <c r="F561" s="95" t="s">
        <v>445</v>
      </c>
      <c r="G561" s="129">
        <v>92295.6</v>
      </c>
      <c r="H561" s="118"/>
      <c r="I561" s="361">
        <f t="shared" si="10"/>
        <v>0</v>
      </c>
      <c r="J561" s="21">
        <f>SUM('ведомствен.2015'!G969)</f>
        <v>92295.6</v>
      </c>
    </row>
    <row r="562" spans="1:10" ht="28.5">
      <c r="A562" s="260" t="s">
        <v>183</v>
      </c>
      <c r="B562" s="505"/>
      <c r="C562" s="54" t="s">
        <v>259</v>
      </c>
      <c r="D562" s="89" t="s">
        <v>398</v>
      </c>
      <c r="E562" s="89" t="s">
        <v>1068</v>
      </c>
      <c r="F562" s="95"/>
      <c r="G562" s="129">
        <f>SUM(G563)</f>
        <v>8624.2</v>
      </c>
      <c r="H562" s="118">
        <f>SUM(H563)</f>
        <v>0</v>
      </c>
      <c r="I562" s="361">
        <f aca="true" t="shared" si="11" ref="I562:I625">SUM(H562/G562*100)</f>
        <v>0</v>
      </c>
      <c r="J562"/>
    </row>
    <row r="563" spans="1:10" ht="28.5">
      <c r="A563" s="265" t="s">
        <v>447</v>
      </c>
      <c r="B563" s="505"/>
      <c r="C563" s="54" t="s">
        <v>259</v>
      </c>
      <c r="D563" s="89" t="s">
        <v>398</v>
      </c>
      <c r="E563" s="89" t="s">
        <v>1068</v>
      </c>
      <c r="F563" s="95" t="s">
        <v>445</v>
      </c>
      <c r="G563" s="129">
        <v>8624.2</v>
      </c>
      <c r="H563" s="118"/>
      <c r="I563" s="361">
        <f t="shared" si="11"/>
        <v>0</v>
      </c>
      <c r="J563" s="21">
        <f>SUM('ведомствен.2015'!G971)</f>
        <v>8624.2</v>
      </c>
    </row>
    <row r="564" spans="1:9" ht="28.5">
      <c r="A564" s="260" t="s">
        <v>260</v>
      </c>
      <c r="B564" s="243"/>
      <c r="C564" s="54" t="s">
        <v>259</v>
      </c>
      <c r="D564" s="89" t="s">
        <v>398</v>
      </c>
      <c r="E564" s="89" t="s">
        <v>565</v>
      </c>
      <c r="F564" s="95"/>
      <c r="G564" s="129">
        <f>SUM(G565)</f>
        <v>11665.4</v>
      </c>
      <c r="H564" s="118">
        <f>SUM(H565)</f>
        <v>6830.6</v>
      </c>
      <c r="I564" s="361">
        <f t="shared" si="11"/>
        <v>58.55435733022443</v>
      </c>
    </row>
    <row r="565" spans="1:10" ht="28.5">
      <c r="A565" s="265" t="s">
        <v>447</v>
      </c>
      <c r="B565" s="248"/>
      <c r="C565" s="54" t="s">
        <v>259</v>
      </c>
      <c r="D565" s="89" t="s">
        <v>398</v>
      </c>
      <c r="E565" s="89" t="s">
        <v>565</v>
      </c>
      <c r="F565" s="96" t="s">
        <v>445</v>
      </c>
      <c r="G565" s="129">
        <v>11665.4</v>
      </c>
      <c r="H565" s="118">
        <v>6830.6</v>
      </c>
      <c r="I565" s="361">
        <f t="shared" si="11"/>
        <v>58.55435733022443</v>
      </c>
      <c r="J565" s="21">
        <f>SUM('ведомствен.2015'!G973)</f>
        <v>11665.4</v>
      </c>
    </row>
    <row r="566" spans="1:10" ht="14.25">
      <c r="A566" s="260" t="s">
        <v>208</v>
      </c>
      <c r="B566" s="498"/>
      <c r="C566" s="54" t="s">
        <v>259</v>
      </c>
      <c r="D566" s="89" t="s">
        <v>400</v>
      </c>
      <c r="E566" s="89"/>
      <c r="F566" s="95"/>
      <c r="G566" s="129">
        <f>SUM(G567)</f>
        <v>23393</v>
      </c>
      <c r="H566" s="118">
        <f>SUM(H567)</f>
        <v>16398.5</v>
      </c>
      <c r="I566" s="361">
        <f t="shared" si="11"/>
        <v>70.10002992348139</v>
      </c>
      <c r="J566"/>
    </row>
    <row r="567" spans="1:10" ht="28.5">
      <c r="A567" s="260" t="s">
        <v>562</v>
      </c>
      <c r="B567" s="498"/>
      <c r="C567" s="54" t="s">
        <v>259</v>
      </c>
      <c r="D567" s="89" t="s">
        <v>400</v>
      </c>
      <c r="E567" s="89" t="s">
        <v>563</v>
      </c>
      <c r="F567" s="95"/>
      <c r="G567" s="129">
        <f>SUM(G572)+G575+G568</f>
        <v>23393</v>
      </c>
      <c r="H567" s="118">
        <f>SUM(H574)+H584</f>
        <v>16398.5</v>
      </c>
      <c r="I567" s="361">
        <f t="shared" si="11"/>
        <v>70.10002992348139</v>
      </c>
      <c r="J567"/>
    </row>
    <row r="568" spans="1:10" ht="28.5">
      <c r="A568" s="116" t="s">
        <v>85</v>
      </c>
      <c r="B568" s="246"/>
      <c r="C568" s="54" t="s">
        <v>259</v>
      </c>
      <c r="D568" s="89" t="s">
        <v>400</v>
      </c>
      <c r="E568" s="89" t="s">
        <v>564</v>
      </c>
      <c r="F568" s="95"/>
      <c r="G568" s="129">
        <f>SUM(G569)</f>
        <v>1393.1</v>
      </c>
      <c r="H568" s="118"/>
      <c r="I568" s="361"/>
      <c r="J568"/>
    </row>
    <row r="569" spans="1:10" ht="14.25">
      <c r="A569" s="265" t="s">
        <v>140</v>
      </c>
      <c r="B569" s="498"/>
      <c r="C569" s="54" t="s">
        <v>259</v>
      </c>
      <c r="D569" s="89" t="s">
        <v>400</v>
      </c>
      <c r="E569" s="89" t="s">
        <v>1067</v>
      </c>
      <c r="F569" s="95"/>
      <c r="G569" s="129">
        <f>SUM(G570)</f>
        <v>1393.1</v>
      </c>
      <c r="H569" s="118"/>
      <c r="I569" s="361"/>
      <c r="J569"/>
    </row>
    <row r="570" spans="1:10" ht="28.5">
      <c r="A570" s="115" t="s">
        <v>137</v>
      </c>
      <c r="B570" s="128"/>
      <c r="C570" s="54" t="s">
        <v>259</v>
      </c>
      <c r="D570" s="89" t="s">
        <v>400</v>
      </c>
      <c r="E570" s="89" t="s">
        <v>1068</v>
      </c>
      <c r="F570" s="95"/>
      <c r="G570" s="129">
        <f>G571</f>
        <v>1393.1</v>
      </c>
      <c r="H570" s="118"/>
      <c r="I570" s="361"/>
      <c r="J570"/>
    </row>
    <row r="571" spans="1:10" ht="28.5">
      <c r="A571" s="116" t="s">
        <v>447</v>
      </c>
      <c r="B571" s="128"/>
      <c r="C571" s="54" t="s">
        <v>259</v>
      </c>
      <c r="D571" s="89" t="s">
        <v>400</v>
      </c>
      <c r="E571" s="89" t="s">
        <v>1068</v>
      </c>
      <c r="F571" s="95" t="s">
        <v>445</v>
      </c>
      <c r="G571" s="129">
        <v>1393.1</v>
      </c>
      <c r="H571" s="118"/>
      <c r="I571" s="361"/>
      <c r="J571" s="21">
        <f>SUM('ведомствен.2015'!G979)</f>
        <v>1393.1</v>
      </c>
    </row>
    <row r="572" spans="1:10" ht="42.75">
      <c r="A572" s="260" t="s">
        <v>571</v>
      </c>
      <c r="B572" s="505"/>
      <c r="C572" s="54" t="s">
        <v>259</v>
      </c>
      <c r="D572" s="89" t="s">
        <v>400</v>
      </c>
      <c r="E572" s="89" t="s">
        <v>650</v>
      </c>
      <c r="F572" s="95"/>
      <c r="G572" s="129">
        <f>SUM(+G573)</f>
        <v>9870.4</v>
      </c>
      <c r="H572" s="118"/>
      <c r="I572" s="361"/>
      <c r="J572"/>
    </row>
    <row r="573" spans="1:10" ht="28.5">
      <c r="A573" s="260" t="s">
        <v>260</v>
      </c>
      <c r="B573" s="505"/>
      <c r="C573" s="54" t="s">
        <v>259</v>
      </c>
      <c r="D573" s="89" t="s">
        <v>400</v>
      </c>
      <c r="E573" s="89" t="s">
        <v>651</v>
      </c>
      <c r="F573" s="95"/>
      <c r="G573" s="129">
        <f>SUM(G574)</f>
        <v>9870.4</v>
      </c>
      <c r="H573" s="118"/>
      <c r="I573" s="361"/>
      <c r="J573"/>
    </row>
    <row r="574" spans="1:10" ht="28.5">
      <c r="A574" s="265" t="s">
        <v>447</v>
      </c>
      <c r="B574" s="502"/>
      <c r="C574" s="54" t="s">
        <v>259</v>
      </c>
      <c r="D574" s="89" t="s">
        <v>400</v>
      </c>
      <c r="E574" s="89" t="s">
        <v>651</v>
      </c>
      <c r="F574" s="96" t="s">
        <v>445</v>
      </c>
      <c r="G574" s="129">
        <v>9870.4</v>
      </c>
      <c r="H574" s="118">
        <f>SUM(H577+H582)</f>
        <v>7380.9</v>
      </c>
      <c r="I574" s="361">
        <f t="shared" si="11"/>
        <v>74.77812449343492</v>
      </c>
      <c r="J574" s="21">
        <f>SUM('ведомствен.2015'!G982)</f>
        <v>9870.4</v>
      </c>
    </row>
    <row r="575" spans="1:10" ht="42" customHeight="1">
      <c r="A575" s="260" t="s">
        <v>572</v>
      </c>
      <c r="B575" s="498"/>
      <c r="C575" s="54" t="s">
        <v>259</v>
      </c>
      <c r="D575" s="89" t="s">
        <v>400</v>
      </c>
      <c r="E575" s="89" t="s">
        <v>652</v>
      </c>
      <c r="F575" s="95"/>
      <c r="G575" s="129">
        <f>SUM(G581:G581)+G576</f>
        <v>12129.5</v>
      </c>
      <c r="H575" s="118"/>
      <c r="I575" s="361">
        <f t="shared" si="11"/>
        <v>0</v>
      </c>
      <c r="J575"/>
    </row>
    <row r="576" spans="1:10" ht="14.25" hidden="1">
      <c r="A576" s="265" t="s">
        <v>140</v>
      </c>
      <c r="B576" s="498"/>
      <c r="C576" s="54" t="s">
        <v>259</v>
      </c>
      <c r="D576" s="89" t="s">
        <v>400</v>
      </c>
      <c r="E576" s="89" t="s">
        <v>186</v>
      </c>
      <c r="F576" s="95"/>
      <c r="G576" s="129">
        <f>SUM(G577)+G579</f>
        <v>0</v>
      </c>
      <c r="H576" s="118"/>
      <c r="I576" s="361" t="e">
        <f t="shared" si="11"/>
        <v>#DIV/0!</v>
      </c>
      <c r="J576"/>
    </row>
    <row r="577" spans="1:10" ht="28.5" hidden="1">
      <c r="A577" s="265" t="s">
        <v>128</v>
      </c>
      <c r="B577" s="505"/>
      <c r="C577" s="54" t="s">
        <v>259</v>
      </c>
      <c r="D577" s="89" t="s">
        <v>400</v>
      </c>
      <c r="E577" s="89" t="s">
        <v>129</v>
      </c>
      <c r="F577" s="95"/>
      <c r="G577" s="129">
        <f>SUM(G578)</f>
        <v>0</v>
      </c>
      <c r="H577" s="118">
        <f>SUM(H580)+H578</f>
        <v>0</v>
      </c>
      <c r="I577" s="361" t="e">
        <f t="shared" si="11"/>
        <v>#DIV/0!</v>
      </c>
      <c r="J577"/>
    </row>
    <row r="578" spans="1:9" ht="28.5" hidden="1">
      <c r="A578" s="265" t="s">
        <v>447</v>
      </c>
      <c r="B578" s="502"/>
      <c r="C578" s="54" t="s">
        <v>259</v>
      </c>
      <c r="D578" s="89" t="s">
        <v>400</v>
      </c>
      <c r="E578" s="89" t="s">
        <v>129</v>
      </c>
      <c r="F578" s="96" t="s">
        <v>445</v>
      </c>
      <c r="G578" s="129"/>
      <c r="H578" s="118">
        <f>SUM(H579)</f>
        <v>0</v>
      </c>
      <c r="I578" s="361" t="e">
        <f t="shared" si="11"/>
        <v>#DIV/0!</v>
      </c>
    </row>
    <row r="579" spans="1:9" ht="28.5" hidden="1">
      <c r="A579" s="265" t="s">
        <v>355</v>
      </c>
      <c r="B579" s="505"/>
      <c r="C579" s="54" t="s">
        <v>259</v>
      </c>
      <c r="D579" s="89" t="s">
        <v>400</v>
      </c>
      <c r="E579" s="89" t="s">
        <v>420</v>
      </c>
      <c r="F579" s="95"/>
      <c r="G579" s="129">
        <f>SUM(G580)</f>
        <v>0</v>
      </c>
      <c r="H579" s="118"/>
      <c r="I579" s="361" t="e">
        <f t="shared" si="11"/>
        <v>#DIV/0!</v>
      </c>
    </row>
    <row r="580" spans="1:9" ht="15" hidden="1">
      <c r="A580" s="265" t="s">
        <v>127</v>
      </c>
      <c r="B580" s="505"/>
      <c r="C580" s="54" t="s">
        <v>259</v>
      </c>
      <c r="D580" s="89" t="s">
        <v>400</v>
      </c>
      <c r="E580" s="89" t="s">
        <v>420</v>
      </c>
      <c r="F580" s="95" t="s">
        <v>77</v>
      </c>
      <c r="G580" s="129"/>
      <c r="H580" s="118">
        <f>SUM(H581)</f>
        <v>0</v>
      </c>
      <c r="I580" s="361" t="e">
        <f t="shared" si="11"/>
        <v>#DIV/0!</v>
      </c>
    </row>
    <row r="581" spans="1:9" ht="28.5">
      <c r="A581" s="265" t="s">
        <v>260</v>
      </c>
      <c r="B581" s="498"/>
      <c r="C581" s="54" t="s">
        <v>259</v>
      </c>
      <c r="D581" s="89" t="s">
        <v>400</v>
      </c>
      <c r="E581" s="89" t="s">
        <v>653</v>
      </c>
      <c r="F581" s="95"/>
      <c r="G581" s="129">
        <f>SUM(G582)</f>
        <v>12129.5</v>
      </c>
      <c r="H581" s="118"/>
      <c r="I581" s="361">
        <f t="shared" si="11"/>
        <v>0</v>
      </c>
    </row>
    <row r="582" spans="1:10" ht="28.5">
      <c r="A582" s="265" t="s">
        <v>447</v>
      </c>
      <c r="B582" s="502"/>
      <c r="C582" s="54" t="s">
        <v>259</v>
      </c>
      <c r="D582" s="89" t="s">
        <v>400</v>
      </c>
      <c r="E582" s="89" t="s">
        <v>653</v>
      </c>
      <c r="F582" s="96" t="s">
        <v>445</v>
      </c>
      <c r="G582" s="129">
        <v>12129.5</v>
      </c>
      <c r="H582" s="118">
        <f>SUM(H583)</f>
        <v>7380.9</v>
      </c>
      <c r="I582" s="361">
        <f t="shared" si="11"/>
        <v>60.85081825301949</v>
      </c>
      <c r="J582" s="21">
        <f>SUM('ведомствен.2015'!G990)</f>
        <v>12129.5</v>
      </c>
    </row>
    <row r="583" spans="1:9" ht="14.25">
      <c r="A583" s="265" t="s">
        <v>209</v>
      </c>
      <c r="B583" s="498"/>
      <c r="C583" s="54" t="s">
        <v>259</v>
      </c>
      <c r="D583" s="89" t="s">
        <v>109</v>
      </c>
      <c r="E583" s="89"/>
      <c r="F583" s="95"/>
      <c r="G583" s="129">
        <f>SUM(G586)+G584</f>
        <v>11445.3</v>
      </c>
      <c r="H583" s="118">
        <v>7380.9</v>
      </c>
      <c r="I583" s="361">
        <f t="shared" si="11"/>
        <v>64.48847998741842</v>
      </c>
    </row>
    <row r="584" spans="1:10" ht="109.5" customHeight="1">
      <c r="A584" s="422" t="s">
        <v>1320</v>
      </c>
      <c r="B584" s="137"/>
      <c r="C584" s="141" t="s">
        <v>259</v>
      </c>
      <c r="D584" s="141" t="s">
        <v>109</v>
      </c>
      <c r="E584" s="141" t="s">
        <v>1321</v>
      </c>
      <c r="F584" s="184"/>
      <c r="G584" s="118">
        <f>SUM(G585)</f>
        <v>79.4</v>
      </c>
      <c r="H584" s="118">
        <f>SUM(H590:H590)+H585</f>
        <v>9017.6</v>
      </c>
      <c r="I584" s="361">
        <f t="shared" si="11"/>
        <v>11357.178841309824</v>
      </c>
      <c r="J584"/>
    </row>
    <row r="585" spans="1:10" ht="39" customHeight="1">
      <c r="A585" s="549" t="s">
        <v>447</v>
      </c>
      <c r="B585" s="137"/>
      <c r="C585" s="141" t="s">
        <v>259</v>
      </c>
      <c r="D585" s="141" t="s">
        <v>109</v>
      </c>
      <c r="E585" s="141" t="s">
        <v>1321</v>
      </c>
      <c r="F585" s="184" t="s">
        <v>445</v>
      </c>
      <c r="G585" s="118">
        <v>79.4</v>
      </c>
      <c r="H585" s="118">
        <f>SUM(H586)+H588</f>
        <v>0</v>
      </c>
      <c r="I585" s="361">
        <f t="shared" si="11"/>
        <v>0</v>
      </c>
      <c r="J585" s="21">
        <f>SUM('ведомствен.2015'!G993)</f>
        <v>79.4</v>
      </c>
    </row>
    <row r="586" spans="1:10" ht="27.75" customHeight="1">
      <c r="A586" s="260" t="s">
        <v>562</v>
      </c>
      <c r="B586" s="498"/>
      <c r="C586" s="54" t="s">
        <v>259</v>
      </c>
      <c r="D586" s="89" t="s">
        <v>109</v>
      </c>
      <c r="E586" s="89" t="s">
        <v>563</v>
      </c>
      <c r="F586" s="95"/>
      <c r="G586" s="129">
        <f>SUM(G590)</f>
        <v>11365.9</v>
      </c>
      <c r="H586" s="118">
        <f>SUM(H587)</f>
        <v>0</v>
      </c>
      <c r="I586" s="361">
        <f t="shared" si="11"/>
        <v>0</v>
      </c>
      <c r="J586"/>
    </row>
    <row r="587" spans="1:10" ht="14.25" hidden="1">
      <c r="A587" s="260"/>
      <c r="B587" s="498"/>
      <c r="C587" s="54"/>
      <c r="D587" s="89"/>
      <c r="E587" s="89"/>
      <c r="F587" s="95"/>
      <c r="G587" s="129"/>
      <c r="H587" s="118"/>
      <c r="I587" s="361" t="e">
        <f t="shared" si="11"/>
        <v>#DIV/0!</v>
      </c>
      <c r="J587" s="21">
        <f>SUM('ведомствен.2015'!G986)</f>
        <v>0</v>
      </c>
    </row>
    <row r="588" spans="1:10" ht="14.25" hidden="1">
      <c r="A588" s="260"/>
      <c r="B588" s="498"/>
      <c r="C588" s="54"/>
      <c r="D588" s="89"/>
      <c r="E588" s="89"/>
      <c r="F588" s="95"/>
      <c r="G588" s="129"/>
      <c r="H588" s="118">
        <f>SUM(H589)</f>
        <v>0</v>
      </c>
      <c r="I588" s="361" t="e">
        <f t="shared" si="11"/>
        <v>#DIV/0!</v>
      </c>
      <c r="J588"/>
    </row>
    <row r="589" spans="1:10" ht="14.25" hidden="1">
      <c r="A589" s="260"/>
      <c r="B589" s="498"/>
      <c r="C589" s="54"/>
      <c r="D589" s="89"/>
      <c r="E589" s="89"/>
      <c r="F589" s="95"/>
      <c r="G589" s="129"/>
      <c r="H589" s="118"/>
      <c r="I589" s="361" t="e">
        <f t="shared" si="11"/>
        <v>#DIV/0!</v>
      </c>
      <c r="J589"/>
    </row>
    <row r="590" spans="1:9" ht="22.5" customHeight="1">
      <c r="A590" s="260" t="s">
        <v>85</v>
      </c>
      <c r="B590" s="498"/>
      <c r="C590" s="54" t="s">
        <v>259</v>
      </c>
      <c r="D590" s="89" t="s">
        <v>109</v>
      </c>
      <c r="E590" s="89" t="s">
        <v>564</v>
      </c>
      <c r="F590" s="95"/>
      <c r="G590" s="129">
        <f>SUM(G594)+G591</f>
        <v>11365.9</v>
      </c>
      <c r="H590" s="118">
        <f>SUM(H591)</f>
        <v>9017.6</v>
      </c>
      <c r="I590" s="361">
        <f t="shared" si="11"/>
        <v>79.33907565612931</v>
      </c>
    </row>
    <row r="591" spans="1:9" ht="15">
      <c r="A591" s="265" t="s">
        <v>140</v>
      </c>
      <c r="B591" s="505"/>
      <c r="C591" s="54" t="s">
        <v>259</v>
      </c>
      <c r="D591" s="89" t="s">
        <v>109</v>
      </c>
      <c r="E591" s="89" t="s">
        <v>1067</v>
      </c>
      <c r="F591" s="95"/>
      <c r="G591" s="129">
        <f>SUM(G592)</f>
        <v>7742.8</v>
      </c>
      <c r="H591" s="118">
        <v>9017.6</v>
      </c>
      <c r="I591" s="361">
        <f t="shared" si="11"/>
        <v>116.46432815002325</v>
      </c>
    </row>
    <row r="592" spans="1:9" ht="16.5" customHeight="1">
      <c r="A592" s="260" t="s">
        <v>183</v>
      </c>
      <c r="B592" s="505"/>
      <c r="C592" s="54" t="s">
        <v>259</v>
      </c>
      <c r="D592" s="89" t="s">
        <v>109</v>
      </c>
      <c r="E592" s="89" t="s">
        <v>1068</v>
      </c>
      <c r="F592" s="95"/>
      <c r="G592" s="129">
        <f>SUM(G593)</f>
        <v>7742.8</v>
      </c>
      <c r="H592" s="118">
        <f>SUM(H595+H602)</f>
        <v>7201.3</v>
      </c>
      <c r="I592" s="361">
        <f t="shared" si="11"/>
        <v>93.00640595133544</v>
      </c>
    </row>
    <row r="593" spans="1:10" ht="30" customHeight="1">
      <c r="A593" s="265" t="s">
        <v>447</v>
      </c>
      <c r="B593" s="505"/>
      <c r="C593" s="54" t="s">
        <v>259</v>
      </c>
      <c r="D593" s="89" t="s">
        <v>109</v>
      </c>
      <c r="E593" s="89" t="s">
        <v>1068</v>
      </c>
      <c r="F593" s="95" t="s">
        <v>445</v>
      </c>
      <c r="G593" s="129">
        <v>7742.8</v>
      </c>
      <c r="H593" s="118">
        <f>SUM(H594)</f>
        <v>0</v>
      </c>
      <c r="I593" s="361">
        <f t="shared" si="11"/>
        <v>0</v>
      </c>
      <c r="J593" s="21">
        <f>SUM('ведомствен.2015'!G1001)</f>
        <v>7742.8</v>
      </c>
    </row>
    <row r="594" spans="1:10" ht="31.5" customHeight="1">
      <c r="A594" s="265" t="s">
        <v>260</v>
      </c>
      <c r="B594" s="498"/>
      <c r="C594" s="54" t="s">
        <v>259</v>
      </c>
      <c r="D594" s="89" t="s">
        <v>109</v>
      </c>
      <c r="E594" s="89" t="s">
        <v>565</v>
      </c>
      <c r="F594" s="95"/>
      <c r="G594" s="129">
        <f>SUM(G595)</f>
        <v>3623.1</v>
      </c>
      <c r="H594" s="118"/>
      <c r="I594" s="361">
        <f t="shared" si="11"/>
        <v>0</v>
      </c>
      <c r="J594"/>
    </row>
    <row r="595" spans="1:10" ht="30.75" customHeight="1">
      <c r="A595" s="265" t="s">
        <v>447</v>
      </c>
      <c r="B595" s="502"/>
      <c r="C595" s="54" t="s">
        <v>259</v>
      </c>
      <c r="D595" s="89" t="s">
        <v>109</v>
      </c>
      <c r="E595" s="89" t="s">
        <v>565</v>
      </c>
      <c r="F595" s="96" t="s">
        <v>445</v>
      </c>
      <c r="G595" s="129">
        <v>3623.1</v>
      </c>
      <c r="H595" s="118">
        <f>SUM(H596)</f>
        <v>7201.3</v>
      </c>
      <c r="I595" s="361">
        <f t="shared" si="11"/>
        <v>198.76072976180618</v>
      </c>
      <c r="J595" s="21">
        <f>SUM('ведомствен.2015'!G1003)</f>
        <v>3623.1</v>
      </c>
    </row>
    <row r="596" spans="1:9" ht="14.25" hidden="1">
      <c r="A596" s="261" t="s">
        <v>3</v>
      </c>
      <c r="B596" s="498"/>
      <c r="C596" s="54" t="s">
        <v>259</v>
      </c>
      <c r="D596" s="89" t="s">
        <v>109</v>
      </c>
      <c r="E596" s="89" t="s">
        <v>231</v>
      </c>
      <c r="F596" s="94"/>
      <c r="G596" s="129">
        <f>SUM(G597)</f>
        <v>0</v>
      </c>
      <c r="H596" s="118">
        <f>SUM(H600)+H597</f>
        <v>7201.3</v>
      </c>
      <c r="I596" s="361" t="e">
        <f t="shared" si="11"/>
        <v>#DIV/0!</v>
      </c>
    </row>
    <row r="597" spans="1:9" ht="28.5" hidden="1">
      <c r="A597" s="260" t="s">
        <v>293</v>
      </c>
      <c r="B597" s="498"/>
      <c r="C597" s="54" t="s">
        <v>259</v>
      </c>
      <c r="D597" s="89" t="s">
        <v>109</v>
      </c>
      <c r="E597" s="89" t="s">
        <v>231</v>
      </c>
      <c r="F597" s="94" t="s">
        <v>232</v>
      </c>
      <c r="G597" s="129"/>
      <c r="H597" s="118">
        <f>SUM(H598)</f>
        <v>4833.6</v>
      </c>
      <c r="I597" s="361" t="e">
        <f t="shared" si="11"/>
        <v>#DIV/0!</v>
      </c>
    </row>
    <row r="598" spans="1:9" ht="13.5" customHeight="1">
      <c r="A598" s="261" t="s">
        <v>207</v>
      </c>
      <c r="B598" s="499"/>
      <c r="C598" s="54" t="s">
        <v>259</v>
      </c>
      <c r="D598" s="89" t="s">
        <v>259</v>
      </c>
      <c r="E598" s="89"/>
      <c r="F598" s="95"/>
      <c r="G598" s="129">
        <f>SUM(G601)+G606</f>
        <v>14448.300000000001</v>
      </c>
      <c r="H598" s="118">
        <f>SUM(H599)</f>
        <v>4833.6</v>
      </c>
      <c r="I598" s="361">
        <f t="shared" si="11"/>
        <v>33.454454849359436</v>
      </c>
    </row>
    <row r="599" spans="1:9" ht="42.75" hidden="1">
      <c r="A599" s="261" t="s">
        <v>188</v>
      </c>
      <c r="B599" s="499"/>
      <c r="C599" s="54" t="s">
        <v>259</v>
      </c>
      <c r="D599" s="89" t="s">
        <v>259</v>
      </c>
      <c r="E599" s="89" t="s">
        <v>189</v>
      </c>
      <c r="F599" s="95"/>
      <c r="G599" s="129">
        <f>SUM(G600)</f>
        <v>0</v>
      </c>
      <c r="H599" s="118">
        <v>4833.6</v>
      </c>
      <c r="I599" s="361" t="e">
        <f t="shared" si="11"/>
        <v>#DIV/0!</v>
      </c>
    </row>
    <row r="600" spans="1:9" ht="14.25" hidden="1">
      <c r="A600" s="265" t="s">
        <v>140</v>
      </c>
      <c r="B600" s="499"/>
      <c r="C600" s="54" t="s">
        <v>259</v>
      </c>
      <c r="D600" s="89" t="s">
        <v>259</v>
      </c>
      <c r="E600" s="89" t="s">
        <v>189</v>
      </c>
      <c r="F600" s="95" t="s">
        <v>77</v>
      </c>
      <c r="G600" s="129"/>
      <c r="H600" s="118">
        <f>SUM(H601)</f>
        <v>2367.7</v>
      </c>
      <c r="I600" s="361" t="e">
        <f t="shared" si="11"/>
        <v>#DIV/0!</v>
      </c>
    </row>
    <row r="601" spans="1:9" ht="28.5">
      <c r="A601" s="260" t="s">
        <v>562</v>
      </c>
      <c r="B601" s="498"/>
      <c r="C601" s="54" t="s">
        <v>259</v>
      </c>
      <c r="D601" s="89" t="s">
        <v>259</v>
      </c>
      <c r="E601" s="89" t="s">
        <v>563</v>
      </c>
      <c r="F601" s="95"/>
      <c r="G601" s="129">
        <f>SUM(G602)</f>
        <v>13156.6</v>
      </c>
      <c r="H601" s="118">
        <v>2367.7</v>
      </c>
      <c r="I601" s="361">
        <f t="shared" si="11"/>
        <v>17.996290835018165</v>
      </c>
    </row>
    <row r="602" spans="1:10" ht="28.5">
      <c r="A602" s="260" t="s">
        <v>50</v>
      </c>
      <c r="B602" s="498"/>
      <c r="C602" s="54" t="s">
        <v>259</v>
      </c>
      <c r="D602" s="89" t="s">
        <v>259</v>
      </c>
      <c r="E602" s="89" t="s">
        <v>566</v>
      </c>
      <c r="F602" s="95"/>
      <c r="G602" s="129">
        <f>SUM(G603:G605)</f>
        <v>13156.6</v>
      </c>
      <c r="H602" s="118">
        <f>SUM(H603)</f>
        <v>0</v>
      </c>
      <c r="I602" s="361">
        <f t="shared" si="11"/>
        <v>0</v>
      </c>
      <c r="J602"/>
    </row>
    <row r="603" spans="1:10" ht="28.5">
      <c r="A603" s="260" t="s">
        <v>428</v>
      </c>
      <c r="B603" s="498"/>
      <c r="C603" s="54" t="s">
        <v>259</v>
      </c>
      <c r="D603" s="89" t="s">
        <v>259</v>
      </c>
      <c r="E603" s="89" t="s">
        <v>566</v>
      </c>
      <c r="F603" s="94" t="s">
        <v>429</v>
      </c>
      <c r="G603" s="129">
        <v>11611.4</v>
      </c>
      <c r="H603" s="118"/>
      <c r="I603" s="361">
        <f t="shared" si="11"/>
        <v>0</v>
      </c>
      <c r="J603" s="21">
        <f>SUM('ведомствен.2015'!G1011)</f>
        <v>11611.4</v>
      </c>
    </row>
    <row r="604" spans="1:10" ht="28.5">
      <c r="A604" s="260" t="s">
        <v>675</v>
      </c>
      <c r="B604" s="498"/>
      <c r="C604" s="54" t="s">
        <v>259</v>
      </c>
      <c r="D604" s="89" t="s">
        <v>259</v>
      </c>
      <c r="E604" s="89" t="s">
        <v>566</v>
      </c>
      <c r="F604" s="94" t="s">
        <v>107</v>
      </c>
      <c r="G604" s="130">
        <v>1499.6</v>
      </c>
      <c r="H604" s="118" t="e">
        <f>SUM(H607)+#REF!</f>
        <v>#REF!</v>
      </c>
      <c r="I604" s="361" t="e">
        <f t="shared" si="11"/>
        <v>#REF!</v>
      </c>
      <c r="J604" s="21">
        <f>SUM('ведомствен.2015'!G1012)</f>
        <v>1499.6</v>
      </c>
    </row>
    <row r="605" spans="1:10" ht="18.75" customHeight="1">
      <c r="A605" s="512" t="s">
        <v>434</v>
      </c>
      <c r="B605" s="522"/>
      <c r="C605" s="533" t="s">
        <v>259</v>
      </c>
      <c r="D605" s="519" t="s">
        <v>259</v>
      </c>
      <c r="E605" s="519" t="s">
        <v>566</v>
      </c>
      <c r="F605" s="520" t="s">
        <v>152</v>
      </c>
      <c r="G605" s="352">
        <v>45.6</v>
      </c>
      <c r="H605" s="118">
        <f>SUM(H606)</f>
        <v>0</v>
      </c>
      <c r="I605" s="361">
        <f t="shared" si="11"/>
        <v>0</v>
      </c>
      <c r="J605" s="21">
        <f>SUM('ведомствен.2015'!G1013)</f>
        <v>45.6</v>
      </c>
    </row>
    <row r="606" spans="1:10" ht="14.25">
      <c r="A606" s="265" t="s">
        <v>512</v>
      </c>
      <c r="B606" s="498"/>
      <c r="C606" s="533" t="s">
        <v>259</v>
      </c>
      <c r="D606" s="519" t="s">
        <v>259</v>
      </c>
      <c r="E606" s="89" t="s">
        <v>116</v>
      </c>
      <c r="F606" s="95"/>
      <c r="G606" s="129">
        <f>SUM(G607)</f>
        <v>1291.7</v>
      </c>
      <c r="H606" s="118"/>
      <c r="I606" s="361">
        <f t="shared" si="11"/>
        <v>0</v>
      </c>
      <c r="J606"/>
    </row>
    <row r="607" spans="1:10" ht="34.5" customHeight="1">
      <c r="A607" s="513" t="s">
        <v>654</v>
      </c>
      <c r="B607" s="523"/>
      <c r="C607" s="533" t="s">
        <v>259</v>
      </c>
      <c r="D607" s="519" t="s">
        <v>259</v>
      </c>
      <c r="E607" s="89" t="s">
        <v>655</v>
      </c>
      <c r="F607" s="521"/>
      <c r="G607" s="353">
        <f>SUM(G608)</f>
        <v>1291.7</v>
      </c>
      <c r="H607" s="118" t="e">
        <f>SUM(H608)</f>
        <v>#REF!</v>
      </c>
      <c r="I607" s="361" t="e">
        <f t="shared" si="11"/>
        <v>#REF!</v>
      </c>
      <c r="J607"/>
    </row>
    <row r="608" spans="1:10" ht="28.5">
      <c r="A608" s="265" t="s">
        <v>447</v>
      </c>
      <c r="B608" s="498"/>
      <c r="C608" s="54" t="s">
        <v>259</v>
      </c>
      <c r="D608" s="89" t="s">
        <v>259</v>
      </c>
      <c r="E608" s="89" t="s">
        <v>655</v>
      </c>
      <c r="F608" s="95" t="s">
        <v>445</v>
      </c>
      <c r="G608" s="129">
        <v>1291.7</v>
      </c>
      <c r="H608" s="118" t="e">
        <f>SUM(#REF!)</f>
        <v>#REF!</v>
      </c>
      <c r="I608" s="361" t="e">
        <f t="shared" si="11"/>
        <v>#REF!</v>
      </c>
      <c r="J608" s="21">
        <f>SUM('ведомствен.2015'!G1016)</f>
        <v>1291.7</v>
      </c>
    </row>
    <row r="609" spans="1:12" s="14" customFormat="1" ht="15">
      <c r="A609" s="263" t="s">
        <v>159</v>
      </c>
      <c r="B609" s="243"/>
      <c r="C609" s="97" t="s">
        <v>5</v>
      </c>
      <c r="D609" s="90"/>
      <c r="E609" s="90"/>
      <c r="F609" s="99"/>
      <c r="G609" s="233">
        <f>SUM(G610+G614+G628+G723+G748)</f>
        <v>934443.2000000001</v>
      </c>
      <c r="H609" s="368">
        <f>SUM(H610+H614+H628+H723+H748)</f>
        <v>661628.2999999999</v>
      </c>
      <c r="I609" s="362">
        <f t="shared" si="11"/>
        <v>70.80454970403764</v>
      </c>
      <c r="K609" s="14">
        <f>SUM(J611:J783)</f>
        <v>934443.1999999998</v>
      </c>
      <c r="L609" s="14">
        <f>SUM('ведомствен.2015'!G1017+'ведомствен.2015'!G938+'ведомствен.2015'!G811+'ведомствен.2015'!G450+'ведомствен.2015'!G331)</f>
        <v>934443.2000000001</v>
      </c>
    </row>
    <row r="610" spans="1:13" s="14" customFormat="1" ht="14.25">
      <c r="A610" s="260" t="s">
        <v>161</v>
      </c>
      <c r="B610" s="240"/>
      <c r="C610" s="45" t="s">
        <v>5</v>
      </c>
      <c r="D610" s="55" t="s">
        <v>398</v>
      </c>
      <c r="E610" s="55"/>
      <c r="F610" s="94"/>
      <c r="G610" s="129">
        <f aca="true" t="shared" si="12" ref="G610:H612">SUM(G611)</f>
        <v>4735.1</v>
      </c>
      <c r="H610" s="118">
        <f t="shared" si="12"/>
        <v>2833.8</v>
      </c>
      <c r="I610" s="361">
        <f t="shared" si="11"/>
        <v>59.8466769445207</v>
      </c>
      <c r="L610" s="205">
        <f>SUM(K609-G609)</f>
        <v>-2.3283064365386963E-10</v>
      </c>
      <c r="M610" s="14">
        <f>SUM(L609-K609)</f>
        <v>2.3283064365386963E-10</v>
      </c>
    </row>
    <row r="611" spans="1:9" s="14" customFormat="1" ht="14.25">
      <c r="A611" s="260" t="s">
        <v>162</v>
      </c>
      <c r="B611" s="240"/>
      <c r="C611" s="45" t="s">
        <v>5</v>
      </c>
      <c r="D611" s="55" t="s">
        <v>398</v>
      </c>
      <c r="E611" s="55" t="s">
        <v>163</v>
      </c>
      <c r="F611" s="94"/>
      <c r="G611" s="129">
        <f t="shared" si="12"/>
        <v>4735.1</v>
      </c>
      <c r="H611" s="118">
        <f t="shared" si="12"/>
        <v>2833.8</v>
      </c>
      <c r="I611" s="361">
        <f t="shared" si="11"/>
        <v>59.8466769445207</v>
      </c>
    </row>
    <row r="612" spans="1:9" s="14" customFormat="1" ht="28.5">
      <c r="A612" s="260" t="s">
        <v>164</v>
      </c>
      <c r="B612" s="240"/>
      <c r="C612" s="45" t="s">
        <v>5</v>
      </c>
      <c r="D612" s="55" t="s">
        <v>398</v>
      </c>
      <c r="E612" s="55" t="s">
        <v>165</v>
      </c>
      <c r="F612" s="94"/>
      <c r="G612" s="129">
        <f t="shared" si="12"/>
        <v>4735.1</v>
      </c>
      <c r="H612" s="118">
        <f t="shared" si="12"/>
        <v>2833.8</v>
      </c>
      <c r="I612" s="361">
        <f t="shared" si="11"/>
        <v>59.8466769445207</v>
      </c>
    </row>
    <row r="613" spans="1:11" s="14" customFormat="1" ht="14.25">
      <c r="A613" s="260" t="s">
        <v>438</v>
      </c>
      <c r="B613" s="240"/>
      <c r="C613" s="45" t="s">
        <v>5</v>
      </c>
      <c r="D613" s="55" t="s">
        <v>398</v>
      </c>
      <c r="E613" s="55" t="s">
        <v>165</v>
      </c>
      <c r="F613" s="94" t="s">
        <v>439</v>
      </c>
      <c r="G613" s="129">
        <v>4735.1</v>
      </c>
      <c r="H613" s="118">
        <v>2833.8</v>
      </c>
      <c r="I613" s="361">
        <f t="shared" si="11"/>
        <v>59.8466769445207</v>
      </c>
      <c r="J613" s="14">
        <f>SUM('ведомствен.2015'!G454)</f>
        <v>4735.1</v>
      </c>
      <c r="K613" s="283">
        <f>SUM(G613-J613)</f>
        <v>0</v>
      </c>
    </row>
    <row r="614" spans="1:9" s="14" customFormat="1" ht="14.25">
      <c r="A614" s="260" t="s">
        <v>166</v>
      </c>
      <c r="B614" s="240"/>
      <c r="C614" s="54" t="s">
        <v>5</v>
      </c>
      <c r="D614" s="89" t="s">
        <v>400</v>
      </c>
      <c r="E614" s="55"/>
      <c r="F614" s="94"/>
      <c r="G614" s="129">
        <f>SUM(G615+G620)</f>
        <v>53878.5</v>
      </c>
      <c r="H614" s="118">
        <f>SUM(H615+H620)</f>
        <v>35226.9</v>
      </c>
      <c r="I614" s="361">
        <f t="shared" si="11"/>
        <v>65.3821097469306</v>
      </c>
    </row>
    <row r="615" spans="1:9" s="14" customFormat="1" ht="14.25" hidden="1">
      <c r="A615" s="271" t="s">
        <v>68</v>
      </c>
      <c r="B615" s="240"/>
      <c r="C615" s="54" t="s">
        <v>5</v>
      </c>
      <c r="D615" s="89" t="s">
        <v>400</v>
      </c>
      <c r="E615" s="89" t="s">
        <v>69</v>
      </c>
      <c r="F615" s="95"/>
      <c r="G615" s="129"/>
      <c r="H615" s="118"/>
      <c r="I615" s="361" t="e">
        <f t="shared" si="11"/>
        <v>#DIV/0!</v>
      </c>
    </row>
    <row r="616" spans="1:9" s="14" customFormat="1" ht="28.5" hidden="1">
      <c r="A616" s="271" t="s">
        <v>15</v>
      </c>
      <c r="B616" s="240"/>
      <c r="C616" s="54" t="s">
        <v>5</v>
      </c>
      <c r="D616" s="89" t="s">
        <v>400</v>
      </c>
      <c r="E616" s="89" t="s">
        <v>16</v>
      </c>
      <c r="F616" s="95"/>
      <c r="G616" s="129">
        <f>SUM(G617+G618)</f>
        <v>0</v>
      </c>
      <c r="H616" s="118">
        <f>SUM(H617+H618)</f>
        <v>0</v>
      </c>
      <c r="I616" s="361" t="e">
        <f t="shared" si="11"/>
        <v>#DIV/0!</v>
      </c>
    </row>
    <row r="617" spans="1:9" s="14" customFormat="1" ht="14.25" hidden="1">
      <c r="A617" s="116" t="s">
        <v>211</v>
      </c>
      <c r="B617" s="240"/>
      <c r="C617" s="54" t="s">
        <v>5</v>
      </c>
      <c r="D617" s="89" t="s">
        <v>400</v>
      </c>
      <c r="E617" s="89" t="s">
        <v>16</v>
      </c>
      <c r="F617" s="95" t="s">
        <v>212</v>
      </c>
      <c r="G617" s="129"/>
      <c r="H617" s="118"/>
      <c r="I617" s="361" t="e">
        <f t="shared" si="11"/>
        <v>#DIV/0!</v>
      </c>
    </row>
    <row r="618" spans="1:10" s="14" customFormat="1" ht="28.5" hidden="1">
      <c r="A618" s="271" t="s">
        <v>17</v>
      </c>
      <c r="B618" s="240"/>
      <c r="C618" s="54" t="s">
        <v>5</v>
      </c>
      <c r="D618" s="89" t="s">
        <v>400</v>
      </c>
      <c r="E618" s="89" t="s">
        <v>18</v>
      </c>
      <c r="F618" s="95"/>
      <c r="G618" s="129">
        <f>SUM(G619)</f>
        <v>0</v>
      </c>
      <c r="H618" s="118">
        <f>SUM(H619)</f>
        <v>0</v>
      </c>
      <c r="I618" s="361" t="e">
        <f t="shared" si="11"/>
        <v>#DIV/0!</v>
      </c>
      <c r="J618" s="23"/>
    </row>
    <row r="619" spans="1:9" s="14" customFormat="1" ht="14.25" hidden="1">
      <c r="A619" s="116" t="s">
        <v>211</v>
      </c>
      <c r="B619" s="240"/>
      <c r="C619" s="54" t="s">
        <v>5</v>
      </c>
      <c r="D619" s="89" t="s">
        <v>400</v>
      </c>
      <c r="E619" s="89" t="s">
        <v>18</v>
      </c>
      <c r="F619" s="95" t="s">
        <v>212</v>
      </c>
      <c r="G619" s="129"/>
      <c r="H619" s="118"/>
      <c r="I619" s="361" t="e">
        <f t="shared" si="11"/>
        <v>#DIV/0!</v>
      </c>
    </row>
    <row r="620" spans="1:9" s="14" customFormat="1" ht="14.25">
      <c r="A620" s="271" t="s">
        <v>68</v>
      </c>
      <c r="B620" s="240"/>
      <c r="C620" s="54" t="s">
        <v>5</v>
      </c>
      <c r="D620" s="89" t="s">
        <v>400</v>
      </c>
      <c r="E620" s="89" t="s">
        <v>19</v>
      </c>
      <c r="F620" s="95"/>
      <c r="G620" s="129">
        <f>SUM(G621+G624)</f>
        <v>53878.5</v>
      </c>
      <c r="H620" s="118">
        <f>SUM(H621+H624)</f>
        <v>35226.9</v>
      </c>
      <c r="I620" s="361">
        <f t="shared" si="11"/>
        <v>65.3821097469306</v>
      </c>
    </row>
    <row r="621" spans="1:9" s="14" customFormat="1" ht="28.5">
      <c r="A621" s="116" t="s">
        <v>50</v>
      </c>
      <c r="B621" s="240"/>
      <c r="C621" s="54" t="s">
        <v>5</v>
      </c>
      <c r="D621" s="89" t="s">
        <v>400</v>
      </c>
      <c r="E621" s="89" t="s">
        <v>20</v>
      </c>
      <c r="F621" s="95"/>
      <c r="G621" s="129">
        <f>SUM(G622:G623)</f>
        <v>2225.1000000000004</v>
      </c>
      <c r="H621" s="118">
        <f>SUM(H622:H623)</f>
        <v>1155.4</v>
      </c>
      <c r="I621" s="361">
        <f t="shared" si="11"/>
        <v>51.92575614579119</v>
      </c>
    </row>
    <row r="622" spans="1:11" s="14" customFormat="1" ht="28.5">
      <c r="A622" s="260" t="s">
        <v>428</v>
      </c>
      <c r="B622" s="240"/>
      <c r="C622" s="54" t="s">
        <v>5</v>
      </c>
      <c r="D622" s="89" t="s">
        <v>400</v>
      </c>
      <c r="E622" s="89" t="s">
        <v>20</v>
      </c>
      <c r="F622" s="94" t="s">
        <v>429</v>
      </c>
      <c r="G622" s="129">
        <v>1074.2</v>
      </c>
      <c r="H622" s="118">
        <v>491.1</v>
      </c>
      <c r="I622" s="361">
        <f t="shared" si="11"/>
        <v>45.717743436976356</v>
      </c>
      <c r="J622" s="14">
        <f>SUM('ведомствен.2015'!G463)</f>
        <v>1074.2</v>
      </c>
      <c r="K622" s="283">
        <f aca="true" t="shared" si="13" ref="K622:K627">SUM(G622-J622)</f>
        <v>0</v>
      </c>
    </row>
    <row r="623" spans="1:11" s="14" customFormat="1" ht="28.5">
      <c r="A623" s="260" t="s">
        <v>675</v>
      </c>
      <c r="B623" s="240"/>
      <c r="C623" s="54" t="s">
        <v>5</v>
      </c>
      <c r="D623" s="89" t="s">
        <v>400</v>
      </c>
      <c r="E623" s="89" t="s">
        <v>20</v>
      </c>
      <c r="F623" s="94" t="s">
        <v>107</v>
      </c>
      <c r="G623" s="129">
        <v>1150.9</v>
      </c>
      <c r="H623" s="118">
        <v>664.3</v>
      </c>
      <c r="I623" s="361">
        <f t="shared" si="11"/>
        <v>57.72004518203144</v>
      </c>
      <c r="J623" s="14">
        <f>SUM('ведомствен.2015'!G464)</f>
        <v>1150.9</v>
      </c>
      <c r="K623" s="283">
        <f t="shared" si="13"/>
        <v>0</v>
      </c>
    </row>
    <row r="624" spans="1:10" ht="28.5">
      <c r="A624" s="116" t="s">
        <v>21</v>
      </c>
      <c r="B624" s="240"/>
      <c r="C624" s="54" t="s">
        <v>5</v>
      </c>
      <c r="D624" s="89" t="s">
        <v>400</v>
      </c>
      <c r="E624" s="89" t="s">
        <v>22</v>
      </c>
      <c r="F624" s="95"/>
      <c r="G624" s="129">
        <f>SUM(G625:G627)</f>
        <v>51653.4</v>
      </c>
      <c r="H624" s="118">
        <f>SUM(H625:H627)</f>
        <v>34071.5</v>
      </c>
      <c r="I624" s="361">
        <f t="shared" si="11"/>
        <v>65.96177599151267</v>
      </c>
      <c r="J624"/>
    </row>
    <row r="625" spans="1:11" ht="28.5">
      <c r="A625" s="260" t="s">
        <v>428</v>
      </c>
      <c r="B625" s="240"/>
      <c r="C625" s="54" t="s">
        <v>5</v>
      </c>
      <c r="D625" s="89" t="s">
        <v>400</v>
      </c>
      <c r="E625" s="89" t="s">
        <v>22</v>
      </c>
      <c r="F625" s="94" t="s">
        <v>429</v>
      </c>
      <c r="G625" s="129">
        <v>42556.3</v>
      </c>
      <c r="H625" s="118">
        <v>28949.7</v>
      </c>
      <c r="I625" s="361">
        <f t="shared" si="11"/>
        <v>68.02682564038697</v>
      </c>
      <c r="J625" s="14">
        <f>SUM('ведомствен.2015'!G466)</f>
        <v>42556.3</v>
      </c>
      <c r="K625" s="283">
        <f t="shared" si="13"/>
        <v>0</v>
      </c>
    </row>
    <row r="626" spans="1:11" ht="27" customHeight="1">
      <c r="A626" s="260" t="s">
        <v>675</v>
      </c>
      <c r="B626" s="240"/>
      <c r="C626" s="54" t="s">
        <v>5</v>
      </c>
      <c r="D626" s="89" t="s">
        <v>400</v>
      </c>
      <c r="E626" s="89" t="s">
        <v>22</v>
      </c>
      <c r="F626" s="94" t="s">
        <v>107</v>
      </c>
      <c r="G626" s="129">
        <v>8791.1</v>
      </c>
      <c r="H626" s="118">
        <v>4948.6</v>
      </c>
      <c r="I626" s="361">
        <f aca="true" t="shared" si="14" ref="I626:I689">SUM(H626/G626*100)</f>
        <v>56.29102160139232</v>
      </c>
      <c r="J626" s="14">
        <f>SUM('ведомствен.2015'!G467)</f>
        <v>8791.1</v>
      </c>
      <c r="K626" s="283">
        <f t="shared" si="13"/>
        <v>0</v>
      </c>
    </row>
    <row r="627" spans="1:11" ht="16.5" customHeight="1">
      <c r="A627" s="260" t="s">
        <v>434</v>
      </c>
      <c r="B627" s="240"/>
      <c r="C627" s="54" t="s">
        <v>5</v>
      </c>
      <c r="D627" s="89" t="s">
        <v>400</v>
      </c>
      <c r="E627" s="89" t="s">
        <v>22</v>
      </c>
      <c r="F627" s="94" t="s">
        <v>152</v>
      </c>
      <c r="G627" s="129">
        <v>306</v>
      </c>
      <c r="H627" s="118">
        <v>173.2</v>
      </c>
      <c r="I627" s="361">
        <f t="shared" si="14"/>
        <v>56.60130718954248</v>
      </c>
      <c r="J627" s="14">
        <f>SUM('ведомствен.2015'!G468)</f>
        <v>306</v>
      </c>
      <c r="K627" s="283">
        <f t="shared" si="13"/>
        <v>0</v>
      </c>
    </row>
    <row r="628" spans="1:11" ht="14.25">
      <c r="A628" s="260" t="s">
        <v>23</v>
      </c>
      <c r="B628" s="240"/>
      <c r="C628" s="45" t="s">
        <v>5</v>
      </c>
      <c r="D628" s="55" t="s">
        <v>95</v>
      </c>
      <c r="E628" s="55"/>
      <c r="F628" s="94"/>
      <c r="G628" s="129">
        <f>SUM(G632+G666+G715)+G670+G693+G710</f>
        <v>726860.3</v>
      </c>
      <c r="H628" s="118">
        <f>SUM(H632+H666+H715)+H670+H693</f>
        <v>530314.7</v>
      </c>
      <c r="I628" s="361">
        <f t="shared" si="14"/>
        <v>72.959645753111</v>
      </c>
      <c r="J628"/>
      <c r="K628">
        <f>SUM(J633:J722)</f>
        <v>726860.3</v>
      </c>
    </row>
    <row r="629" spans="1:10" ht="14.25" hidden="1">
      <c r="A629" s="260" t="s">
        <v>348</v>
      </c>
      <c r="B629" s="240"/>
      <c r="C629" s="45" t="s">
        <v>5</v>
      </c>
      <c r="D629" s="55" t="s">
        <v>95</v>
      </c>
      <c r="E629" s="55" t="s">
        <v>350</v>
      </c>
      <c r="F629" s="94"/>
      <c r="G629" s="129">
        <f>SUM(G631)</f>
        <v>0</v>
      </c>
      <c r="H629" s="118">
        <f>SUM(H631)</f>
        <v>0</v>
      </c>
      <c r="I629" s="361" t="e">
        <f t="shared" si="14"/>
        <v>#DIV/0!</v>
      </c>
      <c r="J629"/>
    </row>
    <row r="630" spans="1:10" ht="14.25" hidden="1">
      <c r="A630" s="260" t="s">
        <v>330</v>
      </c>
      <c r="B630" s="240"/>
      <c r="C630" s="45" t="s">
        <v>5</v>
      </c>
      <c r="D630" s="55" t="s">
        <v>95</v>
      </c>
      <c r="E630" s="55" t="s">
        <v>331</v>
      </c>
      <c r="F630" s="94"/>
      <c r="G630" s="129">
        <f>SUM(G631)</f>
        <v>0</v>
      </c>
      <c r="H630" s="118">
        <f>SUM(H631)</f>
        <v>0</v>
      </c>
      <c r="I630" s="361" t="e">
        <f t="shared" si="14"/>
        <v>#DIV/0!</v>
      </c>
      <c r="J630"/>
    </row>
    <row r="631" spans="1:10" ht="14.25" hidden="1">
      <c r="A631" s="260" t="s">
        <v>255</v>
      </c>
      <c r="B631" s="128"/>
      <c r="C631" s="45" t="s">
        <v>5</v>
      </c>
      <c r="D631" s="55" t="s">
        <v>95</v>
      </c>
      <c r="E631" s="55" t="s">
        <v>331</v>
      </c>
      <c r="F631" s="95" t="s">
        <v>256</v>
      </c>
      <c r="G631" s="129"/>
      <c r="H631" s="118"/>
      <c r="I631" s="361" t="e">
        <f t="shared" si="14"/>
        <v>#DIV/0!</v>
      </c>
      <c r="J631"/>
    </row>
    <row r="632" spans="1:9" s="14" customFormat="1" ht="14.25">
      <c r="A632" s="260" t="s">
        <v>24</v>
      </c>
      <c r="B632" s="240"/>
      <c r="C632" s="45" t="s">
        <v>5</v>
      </c>
      <c r="D632" s="55" t="s">
        <v>95</v>
      </c>
      <c r="E632" s="55" t="s">
        <v>25</v>
      </c>
      <c r="F632" s="94"/>
      <c r="G632" s="129">
        <f>SUM(G633+G642+G645+G648+G651+G636+G639)</f>
        <v>249787.19999999998</v>
      </c>
      <c r="H632" s="118">
        <f>SUM(H633+H642+H645+H648+H651+H636+H639)</f>
        <v>167954.5</v>
      </c>
      <c r="I632" s="361">
        <f t="shared" si="14"/>
        <v>67.23903386562642</v>
      </c>
    </row>
    <row r="633" spans="1:9" s="14" customFormat="1" ht="42.75">
      <c r="A633" s="260" t="s">
        <v>247</v>
      </c>
      <c r="B633" s="240"/>
      <c r="C633" s="54" t="s">
        <v>5</v>
      </c>
      <c r="D633" s="89" t="s">
        <v>95</v>
      </c>
      <c r="E633" s="89" t="s">
        <v>248</v>
      </c>
      <c r="F633" s="95"/>
      <c r="G633" s="129">
        <f>SUM(G634:G635)</f>
        <v>137842.7</v>
      </c>
      <c r="H633" s="118">
        <f>SUM(H634:H635)</f>
        <v>81646.3</v>
      </c>
      <c r="I633" s="361">
        <f t="shared" si="14"/>
        <v>59.23150083392156</v>
      </c>
    </row>
    <row r="634" spans="1:11" s="14" customFormat="1" ht="28.5">
      <c r="A634" s="260" t="s">
        <v>675</v>
      </c>
      <c r="B634" s="240"/>
      <c r="C634" s="54" t="s">
        <v>5</v>
      </c>
      <c r="D634" s="89" t="s">
        <v>95</v>
      </c>
      <c r="E634" s="89" t="s">
        <v>248</v>
      </c>
      <c r="F634" s="95" t="s">
        <v>107</v>
      </c>
      <c r="G634" s="129">
        <v>2498.2</v>
      </c>
      <c r="H634" s="118">
        <v>1285.8</v>
      </c>
      <c r="I634" s="361">
        <f t="shared" si="14"/>
        <v>51.46905772155953</v>
      </c>
      <c r="J634" s="14">
        <f>SUM('ведомствен.2015'!G475)</f>
        <v>2498.2</v>
      </c>
      <c r="K634" s="283">
        <f aca="true" t="shared" si="15" ref="K634:K650">SUM(G634-J634)</f>
        <v>0</v>
      </c>
    </row>
    <row r="635" spans="1:11" s="14" customFormat="1" ht="14.25">
      <c r="A635" s="260" t="s">
        <v>438</v>
      </c>
      <c r="B635" s="240"/>
      <c r="C635" s="54" t="s">
        <v>5</v>
      </c>
      <c r="D635" s="89" t="s">
        <v>95</v>
      </c>
      <c r="E635" s="89" t="s">
        <v>248</v>
      </c>
      <c r="F635" s="95" t="s">
        <v>439</v>
      </c>
      <c r="G635" s="129">
        <v>135344.5</v>
      </c>
      <c r="H635" s="118">
        <v>80360.5</v>
      </c>
      <c r="I635" s="361">
        <f t="shared" si="14"/>
        <v>59.37478065233533</v>
      </c>
      <c r="J635" s="14">
        <f>SUM('ведомствен.2015'!G476)</f>
        <v>135344.5</v>
      </c>
      <c r="K635" s="283">
        <f t="shared" si="15"/>
        <v>0</v>
      </c>
    </row>
    <row r="636" spans="1:9" s="14" customFormat="1" ht="42.75">
      <c r="A636" s="272" t="s">
        <v>578</v>
      </c>
      <c r="B636" s="254"/>
      <c r="C636" s="225" t="s">
        <v>5</v>
      </c>
      <c r="D636" s="226" t="s">
        <v>95</v>
      </c>
      <c r="E636" s="226" t="s">
        <v>579</v>
      </c>
      <c r="F636" s="227"/>
      <c r="G636" s="236">
        <f>G637+G638</f>
        <v>2057.4</v>
      </c>
      <c r="H636" s="372">
        <f>H637+H638</f>
        <v>1457</v>
      </c>
      <c r="I636" s="361">
        <f t="shared" si="14"/>
        <v>70.81753669680178</v>
      </c>
    </row>
    <row r="637" spans="1:11" s="14" customFormat="1" ht="28.5">
      <c r="A637" s="260" t="s">
        <v>675</v>
      </c>
      <c r="B637" s="254"/>
      <c r="C637" s="225" t="s">
        <v>5</v>
      </c>
      <c r="D637" s="226" t="s">
        <v>95</v>
      </c>
      <c r="E637" s="226" t="s">
        <v>579</v>
      </c>
      <c r="F637" s="227" t="s">
        <v>107</v>
      </c>
      <c r="G637" s="236">
        <v>30.3</v>
      </c>
      <c r="H637" s="372"/>
      <c r="I637" s="361">
        <f t="shared" si="14"/>
        <v>0</v>
      </c>
      <c r="J637" s="14">
        <f>SUM('ведомствен.2015'!G478)</f>
        <v>30.3</v>
      </c>
      <c r="K637" s="283">
        <f t="shared" si="15"/>
        <v>0</v>
      </c>
    </row>
    <row r="638" spans="1:11" s="14" customFormat="1" ht="14.25">
      <c r="A638" s="272" t="s">
        <v>438</v>
      </c>
      <c r="B638" s="254"/>
      <c r="C638" s="225" t="s">
        <v>5</v>
      </c>
      <c r="D638" s="226" t="s">
        <v>95</v>
      </c>
      <c r="E638" s="226" t="s">
        <v>579</v>
      </c>
      <c r="F638" s="227" t="s">
        <v>439</v>
      </c>
      <c r="G638" s="236">
        <v>2027.1</v>
      </c>
      <c r="H638" s="372">
        <v>1457</v>
      </c>
      <c r="I638" s="361">
        <f t="shared" si="14"/>
        <v>71.87607912781807</v>
      </c>
      <c r="J638" s="14">
        <f>SUM('ведомствен.2015'!G479)</f>
        <v>2027.1</v>
      </c>
      <c r="K638" s="283">
        <f t="shared" si="15"/>
        <v>0</v>
      </c>
    </row>
    <row r="639" spans="1:9" s="14" customFormat="1" ht="42.75">
      <c r="A639" s="272" t="s">
        <v>580</v>
      </c>
      <c r="B639" s="254"/>
      <c r="C639" s="225" t="s">
        <v>5</v>
      </c>
      <c r="D639" s="226" t="s">
        <v>95</v>
      </c>
      <c r="E639" s="226" t="s">
        <v>581</v>
      </c>
      <c r="F639" s="227"/>
      <c r="G639" s="236">
        <f>G640+G641</f>
        <v>12384.5</v>
      </c>
      <c r="H639" s="372">
        <f>H640+H641</f>
        <v>12195.800000000001</v>
      </c>
      <c r="I639" s="361">
        <f t="shared" si="14"/>
        <v>98.47632120796158</v>
      </c>
    </row>
    <row r="640" spans="1:11" s="14" customFormat="1" ht="28.5">
      <c r="A640" s="260" t="s">
        <v>675</v>
      </c>
      <c r="B640" s="254"/>
      <c r="C640" s="225" t="s">
        <v>5</v>
      </c>
      <c r="D640" s="226" t="s">
        <v>95</v>
      </c>
      <c r="E640" s="226" t="s">
        <v>581</v>
      </c>
      <c r="F640" s="227" t="s">
        <v>107</v>
      </c>
      <c r="G640" s="236">
        <v>183.2</v>
      </c>
      <c r="H640" s="372">
        <v>180.2</v>
      </c>
      <c r="I640" s="361">
        <f t="shared" si="14"/>
        <v>98.36244541484717</v>
      </c>
      <c r="J640" s="14">
        <f>SUM('ведомствен.2015'!G481)</f>
        <v>183.2</v>
      </c>
      <c r="K640" s="283">
        <f t="shared" si="15"/>
        <v>0</v>
      </c>
    </row>
    <row r="641" spans="1:11" s="14" customFormat="1" ht="14.25">
      <c r="A641" s="272" t="s">
        <v>438</v>
      </c>
      <c r="B641" s="254"/>
      <c r="C641" s="225" t="s">
        <v>5</v>
      </c>
      <c r="D641" s="226" t="s">
        <v>95</v>
      </c>
      <c r="E641" s="226" t="s">
        <v>581</v>
      </c>
      <c r="F641" s="227" t="s">
        <v>439</v>
      </c>
      <c r="G641" s="236">
        <v>12201.3</v>
      </c>
      <c r="H641" s="372">
        <v>12015.6</v>
      </c>
      <c r="I641" s="361">
        <f t="shared" si="14"/>
        <v>98.47803102948048</v>
      </c>
      <c r="J641" s="14">
        <f>SUM('ведомствен.2015'!G482)</f>
        <v>12201.3</v>
      </c>
      <c r="K641" s="283">
        <f t="shared" si="15"/>
        <v>0</v>
      </c>
    </row>
    <row r="642" spans="1:9" s="14" customFormat="1" ht="28.5">
      <c r="A642" s="260" t="s">
        <v>246</v>
      </c>
      <c r="B642" s="240"/>
      <c r="C642" s="54" t="s">
        <v>5</v>
      </c>
      <c r="D642" s="89" t="s">
        <v>95</v>
      </c>
      <c r="E642" s="89" t="s">
        <v>499</v>
      </c>
      <c r="F642" s="95"/>
      <c r="G642" s="129">
        <f>SUM(G643:G644)</f>
        <v>82366.8</v>
      </c>
      <c r="H642" s="118">
        <f>SUM(H643:H644)</f>
        <v>61914.4</v>
      </c>
      <c r="I642" s="361">
        <f t="shared" si="14"/>
        <v>75.16912153926097</v>
      </c>
    </row>
    <row r="643" spans="1:11" s="14" customFormat="1" ht="28.5">
      <c r="A643" s="260" t="s">
        <v>675</v>
      </c>
      <c r="B643" s="240"/>
      <c r="C643" s="54" t="s">
        <v>5</v>
      </c>
      <c r="D643" s="89" t="s">
        <v>95</v>
      </c>
      <c r="E643" s="89" t="s">
        <v>499</v>
      </c>
      <c r="F643" s="95" t="s">
        <v>107</v>
      </c>
      <c r="G643" s="129">
        <v>976.6</v>
      </c>
      <c r="H643" s="118">
        <v>756.3</v>
      </c>
      <c r="I643" s="361">
        <f t="shared" si="14"/>
        <v>77.44214622158509</v>
      </c>
      <c r="J643" s="14">
        <f>SUM('ведомствен.2015'!G484)</f>
        <v>976.6</v>
      </c>
      <c r="K643" s="283">
        <f t="shared" si="15"/>
        <v>0</v>
      </c>
    </row>
    <row r="644" spans="1:11" s="14" customFormat="1" ht="14.25">
      <c r="A644" s="260" t="s">
        <v>438</v>
      </c>
      <c r="B644" s="128"/>
      <c r="C644" s="54" t="s">
        <v>5</v>
      </c>
      <c r="D644" s="89" t="s">
        <v>95</v>
      </c>
      <c r="E644" s="89" t="s">
        <v>499</v>
      </c>
      <c r="F644" s="95" t="s">
        <v>439</v>
      </c>
      <c r="G644" s="129">
        <v>81390.2</v>
      </c>
      <c r="H644" s="118">
        <v>61158.1</v>
      </c>
      <c r="I644" s="361">
        <f t="shared" si="14"/>
        <v>75.14184754429894</v>
      </c>
      <c r="J644" s="14">
        <f>SUM('ведомствен.2015'!G485)</f>
        <v>81390.2</v>
      </c>
      <c r="K644" s="283">
        <f t="shared" si="15"/>
        <v>0</v>
      </c>
    </row>
    <row r="645" spans="1:9" s="14" customFormat="1" ht="42.75">
      <c r="A645" s="261" t="s">
        <v>245</v>
      </c>
      <c r="B645" s="240"/>
      <c r="C645" s="54" t="s">
        <v>5</v>
      </c>
      <c r="D645" s="89" t="s">
        <v>95</v>
      </c>
      <c r="E645" s="89" t="s">
        <v>500</v>
      </c>
      <c r="F645" s="95"/>
      <c r="G645" s="129">
        <f>SUM(G646:G647)</f>
        <v>50</v>
      </c>
      <c r="H645" s="118">
        <f>SUM(H646:H647)</f>
        <v>2.7</v>
      </c>
      <c r="I645" s="361">
        <f t="shared" si="14"/>
        <v>5.4</v>
      </c>
    </row>
    <row r="646" spans="1:11" s="14" customFormat="1" ht="28.5">
      <c r="A646" s="260" t="s">
        <v>675</v>
      </c>
      <c r="B646" s="240"/>
      <c r="C646" s="54" t="s">
        <v>5</v>
      </c>
      <c r="D646" s="89" t="s">
        <v>95</v>
      </c>
      <c r="E646" s="89" t="s">
        <v>500</v>
      </c>
      <c r="F646" s="95" t="s">
        <v>107</v>
      </c>
      <c r="G646" s="129">
        <v>0.8</v>
      </c>
      <c r="H646" s="118"/>
      <c r="I646" s="361">
        <f t="shared" si="14"/>
        <v>0</v>
      </c>
      <c r="J646" s="14">
        <f>SUM('ведомствен.2015'!G487)</f>
        <v>0.8</v>
      </c>
      <c r="K646" s="283">
        <f t="shared" si="15"/>
        <v>0</v>
      </c>
    </row>
    <row r="647" spans="1:11" s="14" customFormat="1" ht="14.25">
      <c r="A647" s="260" t="s">
        <v>438</v>
      </c>
      <c r="B647" s="240"/>
      <c r="C647" s="54" t="s">
        <v>5</v>
      </c>
      <c r="D647" s="89" t="s">
        <v>95</v>
      </c>
      <c r="E647" s="89" t="s">
        <v>500</v>
      </c>
      <c r="F647" s="95" t="s">
        <v>439</v>
      </c>
      <c r="G647" s="129">
        <v>49.2</v>
      </c>
      <c r="H647" s="118">
        <v>2.7</v>
      </c>
      <c r="I647" s="361">
        <f t="shared" si="14"/>
        <v>5.487804878048781</v>
      </c>
      <c r="J647" s="14">
        <f>SUM('ведомствен.2015'!G488)</f>
        <v>49.2</v>
      </c>
      <c r="K647" s="283">
        <f t="shared" si="15"/>
        <v>0</v>
      </c>
    </row>
    <row r="648" spans="1:10" s="14" customFormat="1" ht="14.25">
      <c r="A648" s="265" t="s">
        <v>190</v>
      </c>
      <c r="B648" s="244"/>
      <c r="C648" s="209" t="s">
        <v>5</v>
      </c>
      <c r="D648" s="210" t="s">
        <v>95</v>
      </c>
      <c r="E648" s="210" t="s">
        <v>503</v>
      </c>
      <c r="F648" s="211"/>
      <c r="G648" s="134">
        <f>G649+G650</f>
        <v>5362.3</v>
      </c>
      <c r="H648" s="127">
        <f>H649+H650</f>
        <v>3554.3</v>
      </c>
      <c r="I648" s="361">
        <f t="shared" si="14"/>
        <v>66.28312477854652</v>
      </c>
      <c r="J648" s="23"/>
    </row>
    <row r="649" spans="1:11" s="14" customFormat="1" ht="28.5">
      <c r="A649" s="260" t="s">
        <v>675</v>
      </c>
      <c r="B649" s="244"/>
      <c r="C649" s="209" t="s">
        <v>5</v>
      </c>
      <c r="D649" s="210" t="s">
        <v>95</v>
      </c>
      <c r="E649" s="210" t="s">
        <v>503</v>
      </c>
      <c r="F649" s="211" t="s">
        <v>107</v>
      </c>
      <c r="G649" s="134">
        <v>3300.9</v>
      </c>
      <c r="H649" s="127">
        <v>1868.7</v>
      </c>
      <c r="I649" s="361">
        <f t="shared" si="14"/>
        <v>56.611833136417346</v>
      </c>
      <c r="J649" s="14">
        <f>SUM('ведомствен.2015'!G493)</f>
        <v>3300.9</v>
      </c>
      <c r="K649" s="283">
        <f t="shared" si="15"/>
        <v>0</v>
      </c>
    </row>
    <row r="650" spans="1:11" s="14" customFormat="1" ht="14.25">
      <c r="A650" s="265" t="s">
        <v>438</v>
      </c>
      <c r="B650" s="244"/>
      <c r="C650" s="209" t="s">
        <v>5</v>
      </c>
      <c r="D650" s="210" t="s">
        <v>95</v>
      </c>
      <c r="E650" s="210" t="s">
        <v>503</v>
      </c>
      <c r="F650" s="211" t="s">
        <v>439</v>
      </c>
      <c r="G650" s="134">
        <v>2061.4</v>
      </c>
      <c r="H650" s="127">
        <v>1685.6</v>
      </c>
      <c r="I650" s="361">
        <f t="shared" si="14"/>
        <v>81.7696710973125</v>
      </c>
      <c r="J650" s="14">
        <f>SUM('ведомствен.2015'!G494)</f>
        <v>2061.4</v>
      </c>
      <c r="K650" s="283">
        <f t="shared" si="15"/>
        <v>0</v>
      </c>
    </row>
    <row r="651" spans="1:9" s="14" customFormat="1" ht="28.5">
      <c r="A651" s="265" t="s">
        <v>250</v>
      </c>
      <c r="B651" s="244"/>
      <c r="C651" s="209" t="s">
        <v>5</v>
      </c>
      <c r="D651" s="210" t="s">
        <v>95</v>
      </c>
      <c r="E651" s="210" t="s">
        <v>504</v>
      </c>
      <c r="F651" s="211"/>
      <c r="G651" s="134">
        <f>G652+G656+G659+G663</f>
        <v>9723.5</v>
      </c>
      <c r="H651" s="127">
        <f>H652+H656+H659+H663</f>
        <v>7184</v>
      </c>
      <c r="I651" s="361">
        <f t="shared" si="14"/>
        <v>73.88286110968274</v>
      </c>
    </row>
    <row r="652" spans="1:10" s="14" customFormat="1" ht="57">
      <c r="A652" s="265" t="s">
        <v>413</v>
      </c>
      <c r="B652" s="244"/>
      <c r="C652" s="209" t="s">
        <v>5</v>
      </c>
      <c r="D652" s="210" t="s">
        <v>95</v>
      </c>
      <c r="E652" s="210" t="s">
        <v>507</v>
      </c>
      <c r="F652" s="211"/>
      <c r="G652" s="134">
        <f>SUM(G653:G655)</f>
        <v>7618.500000000001</v>
      </c>
      <c r="H652" s="127">
        <f>SUM(H653:H655)</f>
        <v>5569.1</v>
      </c>
      <c r="I652" s="361">
        <f t="shared" si="14"/>
        <v>73.09969154032946</v>
      </c>
      <c r="J652" s="23"/>
    </row>
    <row r="653" spans="1:11" s="14" customFormat="1" ht="28.5">
      <c r="A653" s="260" t="s">
        <v>675</v>
      </c>
      <c r="B653" s="244"/>
      <c r="C653" s="209" t="s">
        <v>5</v>
      </c>
      <c r="D653" s="210" t="s">
        <v>95</v>
      </c>
      <c r="E653" s="210" t="s">
        <v>507</v>
      </c>
      <c r="F653" s="211" t="s">
        <v>107</v>
      </c>
      <c r="G653" s="134">
        <v>136.8</v>
      </c>
      <c r="H653" s="127">
        <v>78.9</v>
      </c>
      <c r="I653" s="361">
        <f t="shared" si="14"/>
        <v>57.675438596491226</v>
      </c>
      <c r="J653" s="23">
        <f>SUM('ведомствен.2015'!G497)</f>
        <v>136.8</v>
      </c>
      <c r="K653" s="283">
        <f>SUM(G653-J653)</f>
        <v>0</v>
      </c>
    </row>
    <row r="654" spans="1:11" s="14" customFormat="1" ht="14.25" customHeight="1">
      <c r="A654" s="265" t="s">
        <v>438</v>
      </c>
      <c r="B654" s="244"/>
      <c r="C654" s="209" t="s">
        <v>5</v>
      </c>
      <c r="D654" s="210" t="s">
        <v>95</v>
      </c>
      <c r="E654" s="210" t="s">
        <v>507</v>
      </c>
      <c r="F654" s="211" t="s">
        <v>439</v>
      </c>
      <c r="G654" s="134">
        <v>7113.6</v>
      </c>
      <c r="H654" s="127">
        <v>5278.1</v>
      </c>
      <c r="I654" s="361">
        <f t="shared" si="14"/>
        <v>74.19731219073324</v>
      </c>
      <c r="J654" s="14">
        <f>SUM('ведомствен.2015'!G943+'ведомствен.2015'!G816+'ведомствен.2015'!G498)</f>
        <v>7113.6</v>
      </c>
      <c r="K654" s="283">
        <f>SUM(G654-J654)</f>
        <v>0</v>
      </c>
    </row>
    <row r="655" spans="1:11" s="14" customFormat="1" ht="19.5" customHeight="1">
      <c r="A655" s="116" t="s">
        <v>454</v>
      </c>
      <c r="B655" s="496"/>
      <c r="C655" s="209" t="s">
        <v>5</v>
      </c>
      <c r="D655" s="210" t="s">
        <v>95</v>
      </c>
      <c r="E655" s="210" t="s">
        <v>507</v>
      </c>
      <c r="F655" s="211" t="s">
        <v>445</v>
      </c>
      <c r="G655" s="134">
        <v>368.1</v>
      </c>
      <c r="H655" s="126">
        <v>212.1</v>
      </c>
      <c r="I655" s="361">
        <f t="shared" si="14"/>
        <v>57.6202118989405</v>
      </c>
      <c r="J655" s="14">
        <f>SUM('ведомствен.2015'!G817+'ведомствен.2015'!G1022)</f>
        <v>368.1</v>
      </c>
      <c r="K655" s="283">
        <f>SUM(G655-J655)</f>
        <v>0</v>
      </c>
    </row>
    <row r="656" spans="1:9" s="14" customFormat="1" ht="28.5" hidden="1">
      <c r="A656" s="265" t="s">
        <v>414</v>
      </c>
      <c r="B656" s="244"/>
      <c r="C656" s="209" t="s">
        <v>5</v>
      </c>
      <c r="D656" s="210" t="s">
        <v>95</v>
      </c>
      <c r="E656" s="210" t="s">
        <v>508</v>
      </c>
      <c r="F656" s="211"/>
      <c r="G656" s="134">
        <f>SUM(G657:G658)</f>
        <v>0</v>
      </c>
      <c r="H656" s="127">
        <f>SUM(H657:H658)</f>
        <v>0</v>
      </c>
      <c r="I656" s="361" t="e">
        <f t="shared" si="14"/>
        <v>#DIV/0!</v>
      </c>
    </row>
    <row r="657" spans="1:10" s="14" customFormat="1" ht="14.25" hidden="1">
      <c r="A657" s="260" t="s">
        <v>433</v>
      </c>
      <c r="B657" s="244"/>
      <c r="C657" s="209" t="s">
        <v>5</v>
      </c>
      <c r="D657" s="210" t="s">
        <v>95</v>
      </c>
      <c r="E657" s="210" t="s">
        <v>508</v>
      </c>
      <c r="F657" s="211" t="s">
        <v>107</v>
      </c>
      <c r="G657" s="134"/>
      <c r="H657" s="127"/>
      <c r="I657" s="361" t="e">
        <f t="shared" si="14"/>
        <v>#DIV/0!</v>
      </c>
      <c r="J657" s="14">
        <f>SUM('ведомствен.2015'!G500)</f>
        <v>0</v>
      </c>
    </row>
    <row r="658" spans="1:10" s="14" customFormat="1" ht="14.25" hidden="1">
      <c r="A658" s="265" t="s">
        <v>438</v>
      </c>
      <c r="B658" s="244"/>
      <c r="C658" s="209" t="s">
        <v>5</v>
      </c>
      <c r="D658" s="210" t="s">
        <v>95</v>
      </c>
      <c r="E658" s="210" t="s">
        <v>508</v>
      </c>
      <c r="F658" s="211" t="s">
        <v>439</v>
      </c>
      <c r="G658" s="134"/>
      <c r="H658" s="127"/>
      <c r="I658" s="361" t="e">
        <f t="shared" si="14"/>
        <v>#DIV/0!</v>
      </c>
      <c r="J658" s="14">
        <f>SUM('ведомствен.2015'!G501)</f>
        <v>0</v>
      </c>
    </row>
    <row r="659" spans="1:9" s="18" customFormat="1" ht="42.75">
      <c r="A659" s="269" t="s">
        <v>415</v>
      </c>
      <c r="B659" s="244"/>
      <c r="C659" s="209" t="s">
        <v>5</v>
      </c>
      <c r="D659" s="210" t="s">
        <v>95</v>
      </c>
      <c r="E659" s="210" t="s">
        <v>509</v>
      </c>
      <c r="F659" s="211"/>
      <c r="G659" s="134">
        <f>SUM(G660:G662)</f>
        <v>2105</v>
      </c>
      <c r="H659" s="127">
        <f>SUM(H660:H662)</f>
        <v>1614.9</v>
      </c>
      <c r="I659" s="361">
        <f t="shared" si="14"/>
        <v>76.71733966745845</v>
      </c>
    </row>
    <row r="660" spans="1:11" s="18" customFormat="1" ht="28.5">
      <c r="A660" s="260" t="s">
        <v>675</v>
      </c>
      <c r="B660" s="244"/>
      <c r="C660" s="209" t="s">
        <v>5</v>
      </c>
      <c r="D660" s="210" t="s">
        <v>95</v>
      </c>
      <c r="E660" s="210" t="s">
        <v>509</v>
      </c>
      <c r="F660" s="211" t="s">
        <v>107</v>
      </c>
      <c r="G660" s="134">
        <v>38.4</v>
      </c>
      <c r="H660" s="127">
        <v>26.9</v>
      </c>
      <c r="I660" s="361">
        <f t="shared" si="14"/>
        <v>70.05208333333334</v>
      </c>
      <c r="J660" s="18">
        <f>SUM('ведомствен.2015'!G503)</f>
        <v>38.4</v>
      </c>
      <c r="K660" s="283">
        <f aca="true" t="shared" si="16" ref="K660:K723">SUM(G660-J660)</f>
        <v>0</v>
      </c>
    </row>
    <row r="661" spans="1:11" s="18" customFormat="1" ht="14.25">
      <c r="A661" s="265" t="s">
        <v>438</v>
      </c>
      <c r="B661" s="244"/>
      <c r="C661" s="209" t="s">
        <v>5</v>
      </c>
      <c r="D661" s="210" t="s">
        <v>95</v>
      </c>
      <c r="E661" s="210" t="s">
        <v>509</v>
      </c>
      <c r="F661" s="211" t="s">
        <v>439</v>
      </c>
      <c r="G661" s="134">
        <v>2066.6</v>
      </c>
      <c r="H661" s="127">
        <v>1588</v>
      </c>
      <c r="I661" s="361">
        <f t="shared" si="14"/>
        <v>76.84118842543309</v>
      </c>
      <c r="J661" s="14">
        <f>SUM('ведомствен.2015'!G504)</f>
        <v>2066.6</v>
      </c>
      <c r="K661" s="283">
        <f t="shared" si="16"/>
        <v>0</v>
      </c>
    </row>
    <row r="662" spans="1:11" s="14" customFormat="1" ht="42" customHeight="1" hidden="1">
      <c r="A662" s="265" t="s">
        <v>510</v>
      </c>
      <c r="B662" s="244"/>
      <c r="C662" s="209" t="s">
        <v>5</v>
      </c>
      <c r="D662" s="210" t="s">
        <v>95</v>
      </c>
      <c r="E662" s="210" t="s">
        <v>509</v>
      </c>
      <c r="F662" s="211" t="s">
        <v>445</v>
      </c>
      <c r="G662" s="134"/>
      <c r="H662" s="127"/>
      <c r="I662" s="361" t="e">
        <f t="shared" si="14"/>
        <v>#DIV/0!</v>
      </c>
      <c r="J662" s="14">
        <f>SUM('ведомствен.2015'!G505)</f>
        <v>0</v>
      </c>
      <c r="K662" s="283">
        <f t="shared" si="16"/>
        <v>0</v>
      </c>
    </row>
    <row r="663" spans="1:11" s="14" customFormat="1" ht="42.75" hidden="1">
      <c r="A663" s="265" t="s">
        <v>416</v>
      </c>
      <c r="B663" s="244"/>
      <c r="C663" s="209" t="s">
        <v>5</v>
      </c>
      <c r="D663" s="210" t="s">
        <v>95</v>
      </c>
      <c r="E663" s="210" t="s">
        <v>511</v>
      </c>
      <c r="F663" s="211"/>
      <c r="G663" s="134">
        <f>SUM(G664:G665)</f>
        <v>0</v>
      </c>
      <c r="H663" s="127">
        <f>SUM(H664:H665)</f>
        <v>0</v>
      </c>
      <c r="I663" s="361" t="e">
        <f t="shared" si="14"/>
        <v>#DIV/0!</v>
      </c>
      <c r="J663" s="23"/>
      <c r="K663" s="283">
        <f t="shared" si="16"/>
        <v>0</v>
      </c>
    </row>
    <row r="664" spans="1:11" s="14" customFormat="1" ht="14.25" hidden="1">
      <c r="A664" s="260" t="s">
        <v>433</v>
      </c>
      <c r="B664" s="244"/>
      <c r="C664" s="209" t="s">
        <v>5</v>
      </c>
      <c r="D664" s="210" t="s">
        <v>95</v>
      </c>
      <c r="E664" s="210" t="s">
        <v>511</v>
      </c>
      <c r="F664" s="211" t="s">
        <v>107</v>
      </c>
      <c r="G664" s="134"/>
      <c r="H664" s="127"/>
      <c r="I664" s="361" t="e">
        <f t="shared" si="14"/>
        <v>#DIV/0!</v>
      </c>
      <c r="J664" s="23">
        <f>SUM('ведомствен.2015'!G507)</f>
        <v>0</v>
      </c>
      <c r="K664" s="283">
        <f t="shared" si="16"/>
        <v>0</v>
      </c>
    </row>
    <row r="665" spans="1:11" s="14" customFormat="1" ht="14.25" hidden="1">
      <c r="A665" s="265" t="s">
        <v>438</v>
      </c>
      <c r="B665" s="244"/>
      <c r="C665" s="209" t="s">
        <v>5</v>
      </c>
      <c r="D665" s="210" t="s">
        <v>95</v>
      </c>
      <c r="E665" s="210" t="s">
        <v>511</v>
      </c>
      <c r="F665" s="211" t="s">
        <v>439</v>
      </c>
      <c r="G665" s="134"/>
      <c r="H665" s="127"/>
      <c r="I665" s="361" t="e">
        <f t="shared" si="14"/>
        <v>#DIV/0!</v>
      </c>
      <c r="J665" s="14">
        <f>SUM('ведомствен.2015'!G508)</f>
        <v>0</v>
      </c>
      <c r="K665" s="283">
        <f t="shared" si="16"/>
        <v>0</v>
      </c>
    </row>
    <row r="666" spans="1:11" s="14" customFormat="1" ht="28.5">
      <c r="A666" s="265" t="s">
        <v>155</v>
      </c>
      <c r="B666" s="244"/>
      <c r="C666" s="209" t="s">
        <v>5</v>
      </c>
      <c r="D666" s="210" t="s">
        <v>95</v>
      </c>
      <c r="E666" s="210" t="s">
        <v>156</v>
      </c>
      <c r="F666" s="211"/>
      <c r="G666" s="134">
        <f>SUM(G667)</f>
        <v>911.9</v>
      </c>
      <c r="H666" s="127">
        <f>SUM(H667)</f>
        <v>715.0999999999999</v>
      </c>
      <c r="I666" s="361">
        <f t="shared" si="14"/>
        <v>78.41868625945827</v>
      </c>
      <c r="J666" s="23"/>
      <c r="K666" s="283">
        <f t="shared" si="16"/>
        <v>911.9</v>
      </c>
    </row>
    <row r="667" spans="1:11" s="14" customFormat="1" ht="14.25">
      <c r="A667" s="265" t="s">
        <v>157</v>
      </c>
      <c r="B667" s="244"/>
      <c r="C667" s="209" t="s">
        <v>5</v>
      </c>
      <c r="D667" s="210" t="s">
        <v>95</v>
      </c>
      <c r="E667" s="210" t="s">
        <v>158</v>
      </c>
      <c r="F667" s="211"/>
      <c r="G667" s="134">
        <f>SUM(G668:G669)</f>
        <v>911.9</v>
      </c>
      <c r="H667" s="127">
        <f>SUM(H668:H669)</f>
        <v>715.0999999999999</v>
      </c>
      <c r="I667" s="361">
        <f t="shared" si="14"/>
        <v>78.41868625945827</v>
      </c>
      <c r="K667" s="283">
        <f t="shared" si="16"/>
        <v>911.9</v>
      </c>
    </row>
    <row r="668" spans="1:11" s="14" customFormat="1" ht="28.5">
      <c r="A668" s="260" t="s">
        <v>675</v>
      </c>
      <c r="B668" s="244"/>
      <c r="C668" s="209" t="s">
        <v>5</v>
      </c>
      <c r="D668" s="210" t="s">
        <v>95</v>
      </c>
      <c r="E668" s="210" t="s">
        <v>158</v>
      </c>
      <c r="F668" s="211" t="s">
        <v>107</v>
      </c>
      <c r="G668" s="134">
        <v>585.9</v>
      </c>
      <c r="H668" s="127">
        <v>544.4</v>
      </c>
      <c r="I668" s="361">
        <f t="shared" si="14"/>
        <v>92.91688001365421</v>
      </c>
      <c r="J668" s="14">
        <f>SUM('ведомствен.2015'!G511)</f>
        <v>585.9</v>
      </c>
      <c r="K668" s="283">
        <f t="shared" si="16"/>
        <v>0</v>
      </c>
    </row>
    <row r="669" spans="1:11" s="14" customFormat="1" ht="14.25">
      <c r="A669" s="265" t="s">
        <v>438</v>
      </c>
      <c r="B669" s="244"/>
      <c r="C669" s="209" t="s">
        <v>5</v>
      </c>
      <c r="D669" s="210" t="s">
        <v>95</v>
      </c>
      <c r="E669" s="210" t="s">
        <v>158</v>
      </c>
      <c r="F669" s="211" t="s">
        <v>439</v>
      </c>
      <c r="G669" s="134">
        <v>326</v>
      </c>
      <c r="H669" s="127">
        <v>170.7</v>
      </c>
      <c r="I669" s="361">
        <f t="shared" si="14"/>
        <v>52.36196319018405</v>
      </c>
      <c r="J669" s="14">
        <f>SUM('ведомствен.2015'!G512)</f>
        <v>326</v>
      </c>
      <c r="K669" s="283">
        <f t="shared" si="16"/>
        <v>0</v>
      </c>
    </row>
    <row r="670" spans="1:11" s="14" customFormat="1" ht="42.75">
      <c r="A670" s="272" t="s">
        <v>582</v>
      </c>
      <c r="B670" s="254"/>
      <c r="C670" s="225" t="s">
        <v>5</v>
      </c>
      <c r="D670" s="226" t="s">
        <v>95</v>
      </c>
      <c r="E670" s="226" t="s">
        <v>583</v>
      </c>
      <c r="F670" s="227"/>
      <c r="G670" s="236">
        <f>G671</f>
        <v>333117.9</v>
      </c>
      <c r="H670" s="372">
        <f>H671</f>
        <v>255914</v>
      </c>
      <c r="I670" s="361">
        <f t="shared" si="14"/>
        <v>76.82385125506615</v>
      </c>
      <c r="K670" s="283">
        <f t="shared" si="16"/>
        <v>333117.9</v>
      </c>
    </row>
    <row r="671" spans="1:11" s="14" customFormat="1" ht="114">
      <c r="A671" s="272" t="s">
        <v>584</v>
      </c>
      <c r="B671" s="254"/>
      <c r="C671" s="225" t="s">
        <v>5</v>
      </c>
      <c r="D671" s="226" t="s">
        <v>95</v>
      </c>
      <c r="E671" s="226" t="s">
        <v>585</v>
      </c>
      <c r="F671" s="227"/>
      <c r="G671" s="236">
        <f>G672+G675+G678+G681+G684+G687+G690</f>
        <v>333117.9</v>
      </c>
      <c r="H671" s="372">
        <f>H672+H675+H678+H681+H684+H687+H690</f>
        <v>255914</v>
      </c>
      <c r="I671" s="361">
        <f t="shared" si="14"/>
        <v>76.82385125506615</v>
      </c>
      <c r="K671" s="283">
        <f t="shared" si="16"/>
        <v>333117.9</v>
      </c>
    </row>
    <row r="672" spans="1:11" s="14" customFormat="1" ht="71.25">
      <c r="A672" s="273" t="s">
        <v>408</v>
      </c>
      <c r="B672" s="254"/>
      <c r="C672" s="225" t="s">
        <v>5</v>
      </c>
      <c r="D672" s="226" t="s">
        <v>95</v>
      </c>
      <c r="E672" s="226" t="s">
        <v>586</v>
      </c>
      <c r="F672" s="227"/>
      <c r="G672" s="236">
        <f>G673+G674</f>
        <v>109903.2</v>
      </c>
      <c r="H672" s="372">
        <f>H673+H674</f>
        <v>66885.1</v>
      </c>
      <c r="I672" s="361">
        <f t="shared" si="14"/>
        <v>60.85819157221992</v>
      </c>
      <c r="K672" s="283">
        <f t="shared" si="16"/>
        <v>109903.2</v>
      </c>
    </row>
    <row r="673" spans="1:11" s="14" customFormat="1" ht="28.5">
      <c r="A673" s="260" t="s">
        <v>675</v>
      </c>
      <c r="B673" s="254"/>
      <c r="C673" s="225" t="s">
        <v>5</v>
      </c>
      <c r="D673" s="226" t="s">
        <v>95</v>
      </c>
      <c r="E673" s="226" t="s">
        <v>586</v>
      </c>
      <c r="F673" s="227" t="s">
        <v>107</v>
      </c>
      <c r="G673" s="236">
        <v>1707.2</v>
      </c>
      <c r="H673" s="372">
        <v>923.3</v>
      </c>
      <c r="I673" s="361">
        <f t="shared" si="14"/>
        <v>54.08270852858481</v>
      </c>
      <c r="J673" s="14">
        <f>SUM('ведомствен.2015'!G516)</f>
        <v>1707.2</v>
      </c>
      <c r="K673" s="283">
        <f t="shared" si="16"/>
        <v>0</v>
      </c>
    </row>
    <row r="674" spans="1:11" s="14" customFormat="1" ht="14.25">
      <c r="A674" s="272" t="s">
        <v>438</v>
      </c>
      <c r="B674" s="254"/>
      <c r="C674" s="225" t="s">
        <v>5</v>
      </c>
      <c r="D674" s="226" t="s">
        <v>95</v>
      </c>
      <c r="E674" s="226" t="s">
        <v>586</v>
      </c>
      <c r="F674" s="227" t="s">
        <v>439</v>
      </c>
      <c r="G674" s="236">
        <v>108196</v>
      </c>
      <c r="H674" s="372">
        <v>65961.8</v>
      </c>
      <c r="I674" s="361">
        <f t="shared" si="14"/>
        <v>60.96510037339643</v>
      </c>
      <c r="J674" s="14">
        <f>SUM('ведомствен.2015'!G517)</f>
        <v>108196</v>
      </c>
      <c r="K674" s="283">
        <f t="shared" si="16"/>
        <v>0</v>
      </c>
    </row>
    <row r="675" spans="1:11" s="14" customFormat="1" ht="85.5">
      <c r="A675" s="273" t="s">
        <v>505</v>
      </c>
      <c r="B675" s="254"/>
      <c r="C675" s="225" t="s">
        <v>5</v>
      </c>
      <c r="D675" s="226" t="s">
        <v>95</v>
      </c>
      <c r="E675" s="226" t="s">
        <v>587</v>
      </c>
      <c r="F675" s="227"/>
      <c r="G675" s="236">
        <f>G676+G677</f>
        <v>98885.6</v>
      </c>
      <c r="H675" s="372">
        <f>H676+H677</f>
        <v>96196.5</v>
      </c>
      <c r="I675" s="361">
        <f t="shared" si="14"/>
        <v>97.28059495012418</v>
      </c>
      <c r="K675" s="283">
        <f t="shared" si="16"/>
        <v>98885.6</v>
      </c>
    </row>
    <row r="676" spans="1:11" s="14" customFormat="1" ht="28.5">
      <c r="A676" s="260" t="s">
        <v>675</v>
      </c>
      <c r="B676" s="254"/>
      <c r="C676" s="225" t="s">
        <v>5</v>
      </c>
      <c r="D676" s="226" t="s">
        <v>95</v>
      </c>
      <c r="E676" s="226" t="s">
        <v>587</v>
      </c>
      <c r="F676" s="227" t="s">
        <v>107</v>
      </c>
      <c r="G676" s="236">
        <v>4379.3</v>
      </c>
      <c r="H676" s="372">
        <v>4138</v>
      </c>
      <c r="I676" s="361">
        <f t="shared" si="14"/>
        <v>94.48998698422122</v>
      </c>
      <c r="J676" s="14">
        <f>SUM('ведомствен.2015'!G519)</f>
        <v>4379.3</v>
      </c>
      <c r="K676" s="283">
        <f t="shared" si="16"/>
        <v>0</v>
      </c>
    </row>
    <row r="677" spans="1:11" s="14" customFormat="1" ht="14.25">
      <c r="A677" s="272" t="s">
        <v>438</v>
      </c>
      <c r="B677" s="254"/>
      <c r="C677" s="225" t="s">
        <v>5</v>
      </c>
      <c r="D677" s="226" t="s">
        <v>95</v>
      </c>
      <c r="E677" s="226" t="s">
        <v>587</v>
      </c>
      <c r="F677" s="227" t="s">
        <v>439</v>
      </c>
      <c r="G677" s="236">
        <v>94506.3</v>
      </c>
      <c r="H677" s="372">
        <v>92058.5</v>
      </c>
      <c r="I677" s="361">
        <f t="shared" si="14"/>
        <v>97.40990812252728</v>
      </c>
      <c r="J677" s="14">
        <f>SUM('ведомствен.2015'!G520)</f>
        <v>94506.3</v>
      </c>
      <c r="K677" s="283">
        <f t="shared" si="16"/>
        <v>0</v>
      </c>
    </row>
    <row r="678" spans="1:11" s="14" customFormat="1" ht="85.5">
      <c r="A678" s="269" t="s">
        <v>409</v>
      </c>
      <c r="B678" s="254"/>
      <c r="C678" s="225" t="s">
        <v>5</v>
      </c>
      <c r="D678" s="226" t="s">
        <v>95</v>
      </c>
      <c r="E678" s="226" t="s">
        <v>588</v>
      </c>
      <c r="F678" s="227"/>
      <c r="G678" s="236">
        <f>SUM(G679)+G680</f>
        <v>5169.4</v>
      </c>
      <c r="H678" s="372">
        <f>SUM(H679)+H680</f>
        <v>2900.3999999999996</v>
      </c>
      <c r="I678" s="361">
        <f t="shared" si="14"/>
        <v>56.10709173211591</v>
      </c>
      <c r="K678" s="283">
        <f t="shared" si="16"/>
        <v>5169.4</v>
      </c>
    </row>
    <row r="679" spans="1:11" s="14" customFormat="1" ht="28.5">
      <c r="A679" s="260" t="s">
        <v>675</v>
      </c>
      <c r="B679" s="254"/>
      <c r="C679" s="225" t="s">
        <v>5</v>
      </c>
      <c r="D679" s="226" t="s">
        <v>95</v>
      </c>
      <c r="E679" s="226" t="s">
        <v>588</v>
      </c>
      <c r="F679" s="227" t="s">
        <v>107</v>
      </c>
      <c r="G679" s="236">
        <v>88.2</v>
      </c>
      <c r="H679" s="372">
        <v>42.7</v>
      </c>
      <c r="I679" s="361">
        <f t="shared" si="14"/>
        <v>48.41269841269841</v>
      </c>
      <c r="J679" s="14">
        <f>SUM('ведомствен.2015'!G522)</f>
        <v>88.2</v>
      </c>
      <c r="K679" s="283">
        <f t="shared" si="16"/>
        <v>0</v>
      </c>
    </row>
    <row r="680" spans="1:11" s="14" customFormat="1" ht="14.25">
      <c r="A680" s="272" t="s">
        <v>438</v>
      </c>
      <c r="B680" s="254"/>
      <c r="C680" s="225" t="s">
        <v>5</v>
      </c>
      <c r="D680" s="226" t="s">
        <v>95</v>
      </c>
      <c r="E680" s="226" t="s">
        <v>588</v>
      </c>
      <c r="F680" s="227" t="s">
        <v>439</v>
      </c>
      <c r="G680" s="236">
        <v>5081.2</v>
      </c>
      <c r="H680" s="372">
        <v>2857.7</v>
      </c>
      <c r="I680" s="361">
        <f t="shared" si="14"/>
        <v>56.240651814531994</v>
      </c>
      <c r="J680" s="14">
        <f>SUM('ведомствен.2015'!G523)</f>
        <v>5081.2</v>
      </c>
      <c r="K680" s="283">
        <f t="shared" si="16"/>
        <v>0</v>
      </c>
    </row>
    <row r="681" spans="1:11" s="14" customFormat="1" ht="99.75">
      <c r="A681" s="269" t="s">
        <v>410</v>
      </c>
      <c r="B681" s="254"/>
      <c r="C681" s="225" t="s">
        <v>5</v>
      </c>
      <c r="D681" s="226" t="s">
        <v>95</v>
      </c>
      <c r="E681" s="226" t="s">
        <v>589</v>
      </c>
      <c r="F681" s="227"/>
      <c r="G681" s="236">
        <f>G682+G683</f>
        <v>4801.2</v>
      </c>
      <c r="H681" s="372">
        <f>H682+H683</f>
        <v>4649.099999999999</v>
      </c>
      <c r="I681" s="361">
        <f t="shared" si="14"/>
        <v>96.83204198950261</v>
      </c>
      <c r="K681" s="283">
        <f t="shared" si="16"/>
        <v>4801.2</v>
      </c>
    </row>
    <row r="682" spans="1:11" s="14" customFormat="1" ht="28.5">
      <c r="A682" s="260" t="s">
        <v>675</v>
      </c>
      <c r="B682" s="254"/>
      <c r="C682" s="225" t="s">
        <v>5</v>
      </c>
      <c r="D682" s="226" t="s">
        <v>95</v>
      </c>
      <c r="E682" s="226" t="s">
        <v>589</v>
      </c>
      <c r="F682" s="227" t="s">
        <v>107</v>
      </c>
      <c r="G682" s="236">
        <v>215.7</v>
      </c>
      <c r="H682" s="372">
        <v>189.4</v>
      </c>
      <c r="I682" s="361">
        <f t="shared" si="14"/>
        <v>87.80713954566528</v>
      </c>
      <c r="J682" s="14">
        <f>SUM('ведомствен.2015'!G525)</f>
        <v>215.7</v>
      </c>
      <c r="K682" s="283">
        <f t="shared" si="16"/>
        <v>0</v>
      </c>
    </row>
    <row r="683" spans="1:11" s="14" customFormat="1" ht="14.25">
      <c r="A683" s="272" t="s">
        <v>438</v>
      </c>
      <c r="B683" s="254"/>
      <c r="C683" s="225" t="s">
        <v>5</v>
      </c>
      <c r="D683" s="226" t="s">
        <v>95</v>
      </c>
      <c r="E683" s="226" t="s">
        <v>589</v>
      </c>
      <c r="F683" s="227" t="s">
        <v>439</v>
      </c>
      <c r="G683" s="236">
        <v>4585.5</v>
      </c>
      <c r="H683" s="372">
        <v>4459.7</v>
      </c>
      <c r="I683" s="361">
        <f t="shared" si="14"/>
        <v>97.2565696216334</v>
      </c>
      <c r="J683" s="14">
        <f>SUM('ведомствен.2015'!G526)</f>
        <v>4585.5</v>
      </c>
      <c r="K683" s="283">
        <f t="shared" si="16"/>
        <v>0</v>
      </c>
    </row>
    <row r="684" spans="1:11" s="14" customFormat="1" ht="57">
      <c r="A684" s="272" t="s">
        <v>411</v>
      </c>
      <c r="B684" s="254"/>
      <c r="C684" s="225" t="s">
        <v>5</v>
      </c>
      <c r="D684" s="226" t="s">
        <v>95</v>
      </c>
      <c r="E684" s="226" t="s">
        <v>590</v>
      </c>
      <c r="F684" s="227"/>
      <c r="G684" s="236">
        <f>SUM(G686)+G685</f>
        <v>113453.1</v>
      </c>
      <c r="H684" s="372">
        <f>SUM(H686)+H685</f>
        <v>84745.70000000001</v>
      </c>
      <c r="I684" s="361">
        <f t="shared" si="14"/>
        <v>74.69668083110996</v>
      </c>
      <c r="K684" s="283">
        <f t="shared" si="16"/>
        <v>113453.1</v>
      </c>
    </row>
    <row r="685" spans="1:11" s="14" customFormat="1" ht="28.5">
      <c r="A685" s="260" t="s">
        <v>675</v>
      </c>
      <c r="B685" s="254"/>
      <c r="C685" s="225" t="s">
        <v>5</v>
      </c>
      <c r="D685" s="226" t="s">
        <v>95</v>
      </c>
      <c r="E685" s="226" t="s">
        <v>590</v>
      </c>
      <c r="F685" s="227" t="s">
        <v>107</v>
      </c>
      <c r="G685" s="236">
        <v>1732.1</v>
      </c>
      <c r="H685" s="372">
        <v>1260.1</v>
      </c>
      <c r="I685" s="361">
        <f t="shared" si="14"/>
        <v>72.74984123318515</v>
      </c>
      <c r="J685" s="14">
        <f>SUM('ведомствен.2015'!G528)</f>
        <v>1732.1</v>
      </c>
      <c r="K685" s="283">
        <f t="shared" si="16"/>
        <v>0</v>
      </c>
    </row>
    <row r="686" spans="1:11" s="14" customFormat="1" ht="14.25">
      <c r="A686" s="272" t="s">
        <v>438</v>
      </c>
      <c r="B686" s="254"/>
      <c r="C686" s="225" t="s">
        <v>5</v>
      </c>
      <c r="D686" s="226" t="s">
        <v>95</v>
      </c>
      <c r="E686" s="226" t="s">
        <v>590</v>
      </c>
      <c r="F686" s="227" t="s">
        <v>439</v>
      </c>
      <c r="G686" s="236">
        <v>111721</v>
      </c>
      <c r="H686" s="372">
        <v>83485.6</v>
      </c>
      <c r="I686" s="361">
        <f t="shared" si="14"/>
        <v>74.72686424217471</v>
      </c>
      <c r="J686" s="14">
        <f>SUM('ведомствен.2015'!G529)</f>
        <v>111721</v>
      </c>
      <c r="K686" s="283">
        <f t="shared" si="16"/>
        <v>0</v>
      </c>
    </row>
    <row r="687" spans="1:11" s="14" customFormat="1" ht="85.5">
      <c r="A687" s="272" t="s">
        <v>412</v>
      </c>
      <c r="B687" s="254"/>
      <c r="C687" s="225" t="s">
        <v>5</v>
      </c>
      <c r="D687" s="226" t="s">
        <v>95</v>
      </c>
      <c r="E687" s="226" t="s">
        <v>591</v>
      </c>
      <c r="F687" s="227"/>
      <c r="G687" s="236">
        <f>G689+G688</f>
        <v>774.2</v>
      </c>
      <c r="H687" s="372">
        <f>H689+H688</f>
        <v>447.4</v>
      </c>
      <c r="I687" s="361">
        <f t="shared" si="14"/>
        <v>57.78868509429087</v>
      </c>
      <c r="K687" s="283">
        <f t="shared" si="16"/>
        <v>774.2</v>
      </c>
    </row>
    <row r="688" spans="1:11" s="14" customFormat="1" ht="28.5">
      <c r="A688" s="260" t="s">
        <v>675</v>
      </c>
      <c r="B688" s="254"/>
      <c r="C688" s="225" t="s">
        <v>5</v>
      </c>
      <c r="D688" s="226" t="s">
        <v>95</v>
      </c>
      <c r="E688" s="226" t="s">
        <v>591</v>
      </c>
      <c r="F688" s="227" t="s">
        <v>107</v>
      </c>
      <c r="G688" s="236">
        <v>30.5</v>
      </c>
      <c r="H688" s="372">
        <v>16.9</v>
      </c>
      <c r="I688" s="361">
        <f t="shared" si="14"/>
        <v>55.40983606557377</v>
      </c>
      <c r="J688" s="14">
        <f>SUM('ведомствен.2015'!G531)</f>
        <v>30.5</v>
      </c>
      <c r="K688" s="283">
        <f t="shared" si="16"/>
        <v>0</v>
      </c>
    </row>
    <row r="689" spans="1:11" s="14" customFormat="1" ht="14.25">
      <c r="A689" s="272" t="s">
        <v>438</v>
      </c>
      <c r="B689" s="254"/>
      <c r="C689" s="225" t="s">
        <v>5</v>
      </c>
      <c r="D689" s="226" t="s">
        <v>95</v>
      </c>
      <c r="E689" s="226" t="s">
        <v>591</v>
      </c>
      <c r="F689" s="227" t="s">
        <v>439</v>
      </c>
      <c r="G689" s="236">
        <v>743.7</v>
      </c>
      <c r="H689" s="372">
        <v>430.5</v>
      </c>
      <c r="I689" s="361">
        <f t="shared" si="14"/>
        <v>57.88624445340863</v>
      </c>
      <c r="J689" s="14">
        <f>SUM('ведомствен.2015'!G532)</f>
        <v>743.7</v>
      </c>
      <c r="K689" s="283">
        <f t="shared" si="16"/>
        <v>0</v>
      </c>
    </row>
    <row r="690" spans="1:11" s="14" customFormat="1" ht="71.25">
      <c r="A690" s="272" t="s">
        <v>506</v>
      </c>
      <c r="B690" s="254"/>
      <c r="C690" s="225" t="s">
        <v>5</v>
      </c>
      <c r="D690" s="226" t="s">
        <v>95</v>
      </c>
      <c r="E690" s="226" t="s">
        <v>592</v>
      </c>
      <c r="F690" s="227"/>
      <c r="G690" s="236">
        <f>SUM(G692)+G691</f>
        <v>131.20000000000002</v>
      </c>
      <c r="H690" s="372">
        <f>SUM(H692)+H691</f>
        <v>89.8</v>
      </c>
      <c r="I690" s="361">
        <f aca="true" t="shared" si="17" ref="I690:I758">SUM(H690/G690*100)</f>
        <v>68.4451219512195</v>
      </c>
      <c r="K690" s="283">
        <f t="shared" si="16"/>
        <v>131.20000000000002</v>
      </c>
    </row>
    <row r="691" spans="1:11" s="14" customFormat="1" ht="28.5">
      <c r="A691" s="260" t="s">
        <v>675</v>
      </c>
      <c r="B691" s="254"/>
      <c r="C691" s="225" t="s">
        <v>5</v>
      </c>
      <c r="D691" s="226" t="s">
        <v>95</v>
      </c>
      <c r="E691" s="226" t="s">
        <v>592</v>
      </c>
      <c r="F691" s="227" t="s">
        <v>107</v>
      </c>
      <c r="G691" s="236">
        <v>1.9</v>
      </c>
      <c r="H691" s="372">
        <v>1.3</v>
      </c>
      <c r="I691" s="361">
        <f t="shared" si="17"/>
        <v>68.42105263157895</v>
      </c>
      <c r="J691" s="14">
        <f>SUM('ведомствен.2015'!G534)</f>
        <v>1.9</v>
      </c>
      <c r="K691" s="283">
        <f t="shared" si="16"/>
        <v>0</v>
      </c>
    </row>
    <row r="692" spans="1:11" s="14" customFormat="1" ht="14.25">
      <c r="A692" s="272" t="s">
        <v>438</v>
      </c>
      <c r="B692" s="254"/>
      <c r="C692" s="225" t="s">
        <v>5</v>
      </c>
      <c r="D692" s="226" t="s">
        <v>95</v>
      </c>
      <c r="E692" s="226" t="s">
        <v>592</v>
      </c>
      <c r="F692" s="227" t="s">
        <v>439</v>
      </c>
      <c r="G692" s="236">
        <v>129.3</v>
      </c>
      <c r="H692" s="372">
        <v>88.5</v>
      </c>
      <c r="I692" s="361">
        <f t="shared" si="17"/>
        <v>68.44547563805104</v>
      </c>
      <c r="J692" s="14">
        <f>SUM('ведомствен.2015'!G535)</f>
        <v>129.3</v>
      </c>
      <c r="K692" s="283">
        <f t="shared" si="16"/>
        <v>0</v>
      </c>
    </row>
    <row r="693" spans="1:11" s="14" customFormat="1" ht="28.5">
      <c r="A693" s="272" t="s">
        <v>593</v>
      </c>
      <c r="B693" s="254"/>
      <c r="C693" s="225" t="s">
        <v>5</v>
      </c>
      <c r="D693" s="226" t="s">
        <v>95</v>
      </c>
      <c r="E693" s="226" t="s">
        <v>574</v>
      </c>
      <c r="F693" s="227"/>
      <c r="G693" s="236">
        <f>G694+G707</f>
        <v>141267.3</v>
      </c>
      <c r="H693" s="372">
        <f>H694+H707</f>
        <v>105570.1</v>
      </c>
      <c r="I693" s="361">
        <f t="shared" si="17"/>
        <v>74.73074094287921</v>
      </c>
      <c r="K693" s="283">
        <f t="shared" si="16"/>
        <v>141267.3</v>
      </c>
    </row>
    <row r="694" spans="1:11" s="14" customFormat="1" ht="99.75">
      <c r="A694" s="272" t="s">
        <v>594</v>
      </c>
      <c r="B694" s="254"/>
      <c r="C694" s="225" t="s">
        <v>5</v>
      </c>
      <c r="D694" s="226" t="s">
        <v>95</v>
      </c>
      <c r="E694" s="226" t="s">
        <v>595</v>
      </c>
      <c r="F694" s="227"/>
      <c r="G694" s="236">
        <f>G695+G698+G701+G704</f>
        <v>61777</v>
      </c>
      <c r="H694" s="372">
        <f>H695+H698+H701+H704</f>
        <v>45423.00000000001</v>
      </c>
      <c r="I694" s="361">
        <f t="shared" si="17"/>
        <v>73.52736455315086</v>
      </c>
      <c r="K694" s="283">
        <f t="shared" si="16"/>
        <v>61777</v>
      </c>
    </row>
    <row r="695" spans="1:11" s="14" customFormat="1" ht="57" hidden="1">
      <c r="A695" s="272" t="s">
        <v>406</v>
      </c>
      <c r="B695" s="254"/>
      <c r="C695" s="225" t="s">
        <v>5</v>
      </c>
      <c r="D695" s="226" t="s">
        <v>95</v>
      </c>
      <c r="E695" s="226" t="s">
        <v>596</v>
      </c>
      <c r="F695" s="227"/>
      <c r="G695" s="236">
        <f>G696+G697</f>
        <v>0</v>
      </c>
      <c r="H695" s="372">
        <f>H696+H697</f>
        <v>0</v>
      </c>
      <c r="I695" s="361" t="e">
        <f t="shared" si="17"/>
        <v>#DIV/0!</v>
      </c>
      <c r="K695" s="283">
        <f t="shared" si="16"/>
        <v>0</v>
      </c>
    </row>
    <row r="696" spans="1:11" s="14" customFormat="1" ht="14.25" hidden="1">
      <c r="A696" s="272" t="s">
        <v>433</v>
      </c>
      <c r="B696" s="254"/>
      <c r="C696" s="225" t="s">
        <v>5</v>
      </c>
      <c r="D696" s="226" t="s">
        <v>95</v>
      </c>
      <c r="E696" s="226" t="s">
        <v>596</v>
      </c>
      <c r="F696" s="227" t="s">
        <v>107</v>
      </c>
      <c r="G696" s="236"/>
      <c r="H696" s="372"/>
      <c r="I696" s="361" t="e">
        <f t="shared" si="17"/>
        <v>#DIV/0!</v>
      </c>
      <c r="J696" s="14">
        <f>SUM('ведомствен.2015'!G539)</f>
        <v>0</v>
      </c>
      <c r="K696" s="283">
        <f t="shared" si="16"/>
        <v>0</v>
      </c>
    </row>
    <row r="697" spans="1:11" s="14" customFormat="1" ht="14.25" hidden="1">
      <c r="A697" s="272" t="s">
        <v>438</v>
      </c>
      <c r="B697" s="254"/>
      <c r="C697" s="225" t="s">
        <v>5</v>
      </c>
      <c r="D697" s="226" t="s">
        <v>95</v>
      </c>
      <c r="E697" s="226" t="s">
        <v>596</v>
      </c>
      <c r="F697" s="227" t="s">
        <v>439</v>
      </c>
      <c r="G697" s="236"/>
      <c r="H697" s="372"/>
      <c r="I697" s="361" t="e">
        <f t="shared" si="17"/>
        <v>#DIV/0!</v>
      </c>
      <c r="J697" s="14">
        <f>SUM('ведомствен.2015'!G540)</f>
        <v>0</v>
      </c>
      <c r="K697" s="283">
        <f t="shared" si="16"/>
        <v>0</v>
      </c>
    </row>
    <row r="698" spans="1:11" s="14" customFormat="1" ht="28.5">
      <c r="A698" s="269" t="s">
        <v>407</v>
      </c>
      <c r="B698" s="254"/>
      <c r="C698" s="225" t="s">
        <v>5</v>
      </c>
      <c r="D698" s="226" t="s">
        <v>95</v>
      </c>
      <c r="E698" s="226" t="s">
        <v>597</v>
      </c>
      <c r="F698" s="227"/>
      <c r="G698" s="236">
        <f>SUM(G699)+G700</f>
        <v>45564.6</v>
      </c>
      <c r="H698" s="372">
        <f>SUM(H699)+H700</f>
        <v>33785.4</v>
      </c>
      <c r="I698" s="361">
        <f t="shared" si="17"/>
        <v>74.14835201011311</v>
      </c>
      <c r="K698" s="283">
        <f t="shared" si="16"/>
        <v>45564.6</v>
      </c>
    </row>
    <row r="699" spans="1:11" s="14" customFormat="1" ht="28.5">
      <c r="A699" s="260" t="s">
        <v>675</v>
      </c>
      <c r="B699" s="254"/>
      <c r="C699" s="225" t="s">
        <v>5</v>
      </c>
      <c r="D699" s="226" t="s">
        <v>95</v>
      </c>
      <c r="E699" s="226" t="s">
        <v>597</v>
      </c>
      <c r="F699" s="227" t="s">
        <v>107</v>
      </c>
      <c r="G699" s="236">
        <v>691</v>
      </c>
      <c r="H699" s="372">
        <v>522.9</v>
      </c>
      <c r="I699" s="361">
        <f t="shared" si="17"/>
        <v>75.67293777134587</v>
      </c>
      <c r="J699" s="14">
        <f>SUM('ведомствен.2015'!G542)</f>
        <v>691</v>
      </c>
      <c r="K699" s="283">
        <f t="shared" si="16"/>
        <v>0</v>
      </c>
    </row>
    <row r="700" spans="1:11" s="14" customFormat="1" ht="14.25">
      <c r="A700" s="272" t="s">
        <v>438</v>
      </c>
      <c r="B700" s="254"/>
      <c r="C700" s="225" t="s">
        <v>5</v>
      </c>
      <c r="D700" s="226" t="s">
        <v>95</v>
      </c>
      <c r="E700" s="226" t="s">
        <v>597</v>
      </c>
      <c r="F700" s="227" t="s">
        <v>439</v>
      </c>
      <c r="G700" s="236">
        <v>44873.6</v>
      </c>
      <c r="H700" s="372">
        <v>33262.5</v>
      </c>
      <c r="I700" s="361">
        <f t="shared" si="17"/>
        <v>74.12487520502033</v>
      </c>
      <c r="J700" s="14">
        <f>SUM('ведомствен.2015'!G543)</f>
        <v>44873.6</v>
      </c>
      <c r="K700" s="283">
        <f t="shared" si="16"/>
        <v>0</v>
      </c>
    </row>
    <row r="701" spans="1:11" s="14" customFormat="1" ht="28.5">
      <c r="A701" s="272" t="s">
        <v>414</v>
      </c>
      <c r="B701" s="254"/>
      <c r="C701" s="225" t="s">
        <v>5</v>
      </c>
      <c r="D701" s="226" t="s">
        <v>95</v>
      </c>
      <c r="E701" s="226" t="s">
        <v>598</v>
      </c>
      <c r="F701" s="227"/>
      <c r="G701" s="236">
        <f>SUM(G703)+G702</f>
        <v>5487.2</v>
      </c>
      <c r="H701" s="372">
        <f>SUM(H703)+H702</f>
        <v>4137.8</v>
      </c>
      <c r="I701" s="361">
        <f t="shared" si="17"/>
        <v>75.40822277299898</v>
      </c>
      <c r="K701" s="283">
        <f t="shared" si="16"/>
        <v>5487.2</v>
      </c>
    </row>
    <row r="702" spans="1:11" s="14" customFormat="1" ht="28.5">
      <c r="A702" s="260" t="s">
        <v>675</v>
      </c>
      <c r="B702" s="254"/>
      <c r="C702" s="225" t="s">
        <v>5</v>
      </c>
      <c r="D702" s="226" t="s">
        <v>95</v>
      </c>
      <c r="E702" s="226" t="s">
        <v>598</v>
      </c>
      <c r="F702" s="227" t="s">
        <v>107</v>
      </c>
      <c r="G702" s="236">
        <v>79.2</v>
      </c>
      <c r="H702" s="372">
        <v>57.8</v>
      </c>
      <c r="I702" s="361">
        <f t="shared" si="17"/>
        <v>72.97979797979798</v>
      </c>
      <c r="J702" s="14">
        <f>SUM('ведомствен.2015'!G545)</f>
        <v>79.2</v>
      </c>
      <c r="K702" s="283">
        <f t="shared" si="16"/>
        <v>0</v>
      </c>
    </row>
    <row r="703" spans="1:11" s="14" customFormat="1" ht="14.25">
      <c r="A703" s="272" t="s">
        <v>438</v>
      </c>
      <c r="B703" s="254"/>
      <c r="C703" s="225" t="s">
        <v>5</v>
      </c>
      <c r="D703" s="226" t="s">
        <v>95</v>
      </c>
      <c r="E703" s="226" t="s">
        <v>598</v>
      </c>
      <c r="F703" s="227" t="s">
        <v>439</v>
      </c>
      <c r="G703" s="236">
        <v>5408</v>
      </c>
      <c r="H703" s="372">
        <v>4080</v>
      </c>
      <c r="I703" s="361">
        <f t="shared" si="17"/>
        <v>75.44378698224851</v>
      </c>
      <c r="J703" s="14">
        <f>SUM('ведомствен.2015'!G546)</f>
        <v>5408</v>
      </c>
      <c r="K703" s="283">
        <f t="shared" si="16"/>
        <v>0</v>
      </c>
    </row>
    <row r="704" spans="1:11" s="14" customFormat="1" ht="42.75">
      <c r="A704" s="272" t="s">
        <v>416</v>
      </c>
      <c r="B704" s="254"/>
      <c r="C704" s="225" t="s">
        <v>5</v>
      </c>
      <c r="D704" s="226" t="s">
        <v>95</v>
      </c>
      <c r="E704" s="226" t="s">
        <v>599</v>
      </c>
      <c r="F704" s="227"/>
      <c r="G704" s="236">
        <f>SUM(G706)+G705</f>
        <v>10725.2</v>
      </c>
      <c r="H704" s="372">
        <f>SUM(H706)+H705</f>
        <v>7499.8</v>
      </c>
      <c r="I704" s="361">
        <f t="shared" si="17"/>
        <v>69.92690113004886</v>
      </c>
      <c r="K704" s="283">
        <f t="shared" si="16"/>
        <v>10725.2</v>
      </c>
    </row>
    <row r="705" spans="1:11" s="14" customFormat="1" ht="28.5">
      <c r="A705" s="260" t="s">
        <v>675</v>
      </c>
      <c r="B705" s="254"/>
      <c r="C705" s="225" t="s">
        <v>5</v>
      </c>
      <c r="D705" s="226" t="s">
        <v>95</v>
      </c>
      <c r="E705" s="226" t="s">
        <v>599</v>
      </c>
      <c r="F705" s="227" t="s">
        <v>107</v>
      </c>
      <c r="G705" s="236">
        <v>158.5</v>
      </c>
      <c r="H705" s="372">
        <v>110.8</v>
      </c>
      <c r="I705" s="361">
        <f t="shared" si="17"/>
        <v>69.90536277602524</v>
      </c>
      <c r="J705" s="14">
        <f>SUM('ведомствен.2015'!G548)</f>
        <v>158.5</v>
      </c>
      <c r="K705" s="283">
        <f t="shared" si="16"/>
        <v>0</v>
      </c>
    </row>
    <row r="706" spans="1:11" s="14" customFormat="1" ht="14.25">
      <c r="A706" s="272" t="s">
        <v>438</v>
      </c>
      <c r="B706" s="254"/>
      <c r="C706" s="225" t="s">
        <v>5</v>
      </c>
      <c r="D706" s="226" t="s">
        <v>95</v>
      </c>
      <c r="E706" s="226" t="s">
        <v>599</v>
      </c>
      <c r="F706" s="227" t="s">
        <v>439</v>
      </c>
      <c r="G706" s="236">
        <v>10566.7</v>
      </c>
      <c r="H706" s="372">
        <v>7389</v>
      </c>
      <c r="I706" s="361">
        <f t="shared" si="17"/>
        <v>69.92722420434005</v>
      </c>
      <c r="J706" s="14">
        <f>SUM('ведомствен.2015'!G549)</f>
        <v>10566.7</v>
      </c>
      <c r="K706" s="283">
        <f t="shared" si="16"/>
        <v>0</v>
      </c>
    </row>
    <row r="707" spans="1:11" s="14" customFormat="1" ht="114">
      <c r="A707" s="265" t="s">
        <v>600</v>
      </c>
      <c r="B707" s="254"/>
      <c r="C707" s="225" t="s">
        <v>5</v>
      </c>
      <c r="D707" s="226" t="s">
        <v>95</v>
      </c>
      <c r="E707" s="226" t="s">
        <v>601</v>
      </c>
      <c r="F707" s="227"/>
      <c r="G707" s="236">
        <f>SUM(G708:G709)</f>
        <v>79490.29999999999</v>
      </c>
      <c r="H707" s="372">
        <f>SUM(H708:H709)</f>
        <v>60147.1</v>
      </c>
      <c r="I707" s="361">
        <f t="shared" si="17"/>
        <v>75.66596175885613</v>
      </c>
      <c r="K707" s="283">
        <f t="shared" si="16"/>
        <v>79490.29999999999</v>
      </c>
    </row>
    <row r="708" spans="1:11" s="14" customFormat="1" ht="28.5">
      <c r="A708" s="260" t="s">
        <v>675</v>
      </c>
      <c r="B708" s="506"/>
      <c r="C708" s="225" t="s">
        <v>5</v>
      </c>
      <c r="D708" s="226" t="s">
        <v>95</v>
      </c>
      <c r="E708" s="226" t="s">
        <v>601</v>
      </c>
      <c r="F708" s="227" t="s">
        <v>107</v>
      </c>
      <c r="G708" s="536">
        <v>12.9</v>
      </c>
      <c r="H708" s="180">
        <v>6.7</v>
      </c>
      <c r="I708" s="361">
        <f t="shared" si="17"/>
        <v>51.93798449612403</v>
      </c>
      <c r="J708" s="14">
        <f>SUM('ведомствен.2015'!G551)</f>
        <v>12.9</v>
      </c>
      <c r="K708" s="283">
        <f t="shared" si="16"/>
        <v>0</v>
      </c>
    </row>
    <row r="709" spans="1:11" s="14" customFormat="1" ht="14.25">
      <c r="A709" s="272" t="s">
        <v>438</v>
      </c>
      <c r="B709" s="254"/>
      <c r="C709" s="225" t="s">
        <v>5</v>
      </c>
      <c r="D709" s="226" t="s">
        <v>95</v>
      </c>
      <c r="E709" s="226" t="s">
        <v>601</v>
      </c>
      <c r="F709" s="227" t="s">
        <v>439</v>
      </c>
      <c r="G709" s="236">
        <v>79477.4</v>
      </c>
      <c r="H709" s="372">
        <v>60140.4</v>
      </c>
      <c r="I709" s="361">
        <f t="shared" si="17"/>
        <v>75.66981305377378</v>
      </c>
      <c r="J709" s="14">
        <f>SUM('ведомствен.2015'!G552)</f>
        <v>79477.4</v>
      </c>
      <c r="K709" s="283">
        <f t="shared" si="16"/>
        <v>0</v>
      </c>
    </row>
    <row r="710" spans="1:11" s="14" customFormat="1" ht="42.75">
      <c r="A710" s="260" t="s">
        <v>1211</v>
      </c>
      <c r="B710" s="498"/>
      <c r="C710" s="45" t="s">
        <v>5</v>
      </c>
      <c r="D710" s="55" t="s">
        <v>95</v>
      </c>
      <c r="E710" s="55" t="s">
        <v>703</v>
      </c>
      <c r="F710" s="94"/>
      <c r="G710" s="129">
        <f>SUM(G711)+G713</f>
        <v>1014.3</v>
      </c>
      <c r="H710" s="372"/>
      <c r="I710" s="361"/>
      <c r="K710" s="283">
        <f t="shared" si="16"/>
        <v>1014.3</v>
      </c>
    </row>
    <row r="711" spans="1:11" s="14" customFormat="1" ht="42.75">
      <c r="A711" s="260" t="s">
        <v>1212</v>
      </c>
      <c r="B711" s="498"/>
      <c r="C711" s="45" t="s">
        <v>5</v>
      </c>
      <c r="D711" s="55" t="s">
        <v>95</v>
      </c>
      <c r="E711" s="55" t="s">
        <v>1213</v>
      </c>
      <c r="F711" s="94"/>
      <c r="G711" s="129">
        <f>SUM(G712)</f>
        <v>427.5</v>
      </c>
      <c r="H711" s="372"/>
      <c r="I711" s="361"/>
      <c r="K711" s="283">
        <f t="shared" si="16"/>
        <v>427.5</v>
      </c>
    </row>
    <row r="712" spans="1:11" s="14" customFormat="1" ht="14.25">
      <c r="A712" s="261" t="s">
        <v>438</v>
      </c>
      <c r="B712" s="498"/>
      <c r="C712" s="45" t="s">
        <v>5</v>
      </c>
      <c r="D712" s="55" t="s">
        <v>95</v>
      </c>
      <c r="E712" s="55" t="s">
        <v>1213</v>
      </c>
      <c r="F712" s="94" t="s">
        <v>439</v>
      </c>
      <c r="G712" s="129">
        <v>427.5</v>
      </c>
      <c r="H712" s="372"/>
      <c r="I712" s="361"/>
      <c r="J712" s="14">
        <f>SUM('ведомствен.2015'!G335)</f>
        <v>427.5</v>
      </c>
      <c r="K712" s="283">
        <f t="shared" si="16"/>
        <v>0</v>
      </c>
    </row>
    <row r="713" spans="1:11" s="14" customFormat="1" ht="28.5">
      <c r="A713" s="261" t="s">
        <v>1214</v>
      </c>
      <c r="B713" s="498"/>
      <c r="C713" s="45" t="s">
        <v>5</v>
      </c>
      <c r="D713" s="55" t="s">
        <v>95</v>
      </c>
      <c r="E713" s="55" t="s">
        <v>1215</v>
      </c>
      <c r="F713" s="94"/>
      <c r="G713" s="129">
        <f>SUM(G714)</f>
        <v>586.8</v>
      </c>
      <c r="H713" s="372"/>
      <c r="I713" s="361"/>
      <c r="K713" s="283">
        <f t="shared" si="16"/>
        <v>586.8</v>
      </c>
    </row>
    <row r="714" spans="1:11" s="14" customFormat="1" ht="14.25">
      <c r="A714" s="261" t="s">
        <v>438</v>
      </c>
      <c r="B714" s="498"/>
      <c r="C714" s="45" t="s">
        <v>5</v>
      </c>
      <c r="D714" s="55" t="s">
        <v>95</v>
      </c>
      <c r="E714" s="55" t="s">
        <v>1215</v>
      </c>
      <c r="F714" s="94" t="s">
        <v>439</v>
      </c>
      <c r="G714" s="129">
        <v>586.8</v>
      </c>
      <c r="H714" s="372"/>
      <c r="I714" s="361"/>
      <c r="J714" s="14">
        <f>SUM('ведомствен.2015'!G337)</f>
        <v>586.8</v>
      </c>
      <c r="K714" s="283">
        <f t="shared" si="16"/>
        <v>0</v>
      </c>
    </row>
    <row r="715" spans="1:11" s="14" customFormat="1" ht="14.25">
      <c r="A715" s="265" t="s">
        <v>512</v>
      </c>
      <c r="B715" s="244"/>
      <c r="C715" s="209" t="s">
        <v>5</v>
      </c>
      <c r="D715" s="210" t="s">
        <v>95</v>
      </c>
      <c r="E715" s="210" t="s">
        <v>116</v>
      </c>
      <c r="F715" s="211"/>
      <c r="G715" s="134">
        <f>G718+G716+G720</f>
        <v>761.7</v>
      </c>
      <c r="H715" s="127">
        <f>H718+H716+H720</f>
        <v>161</v>
      </c>
      <c r="I715" s="361">
        <f t="shared" si="17"/>
        <v>21.136930550085335</v>
      </c>
      <c r="K715" s="283">
        <f t="shared" si="16"/>
        <v>761.7</v>
      </c>
    </row>
    <row r="716" spans="1:11" s="14" customFormat="1" ht="42.75" hidden="1">
      <c r="A716" s="116" t="s">
        <v>554</v>
      </c>
      <c r="B716" s="240"/>
      <c r="C716" s="45" t="s">
        <v>5</v>
      </c>
      <c r="D716" s="55" t="s">
        <v>95</v>
      </c>
      <c r="E716" s="89" t="s">
        <v>555</v>
      </c>
      <c r="F716" s="94"/>
      <c r="G716" s="129">
        <f>SUM(G717)</f>
        <v>0</v>
      </c>
      <c r="H716" s="118">
        <f>SUM(H717)</f>
        <v>0</v>
      </c>
      <c r="I716" s="361" t="e">
        <f t="shared" si="17"/>
        <v>#DIV/0!</v>
      </c>
      <c r="K716" s="283">
        <f t="shared" si="16"/>
        <v>0</v>
      </c>
    </row>
    <row r="717" spans="1:11" s="14" customFormat="1" ht="14.25" hidden="1">
      <c r="A717" s="260" t="s">
        <v>438</v>
      </c>
      <c r="B717" s="240"/>
      <c r="C717" s="45" t="s">
        <v>5</v>
      </c>
      <c r="D717" s="55" t="s">
        <v>95</v>
      </c>
      <c r="E717" s="89" t="s">
        <v>555</v>
      </c>
      <c r="F717" s="94" t="s">
        <v>439</v>
      </c>
      <c r="G717" s="129">
        <v>0</v>
      </c>
      <c r="H717" s="118"/>
      <c r="I717" s="361" t="e">
        <f t="shared" si="17"/>
        <v>#DIV/0!</v>
      </c>
      <c r="J717" s="14">
        <f>SUM('ведомствен.2015'!G340)</f>
        <v>0</v>
      </c>
      <c r="K717" s="283">
        <f t="shared" si="16"/>
        <v>0</v>
      </c>
    </row>
    <row r="718" spans="1:11" s="14" customFormat="1" ht="42.75">
      <c r="A718" s="265" t="s">
        <v>513</v>
      </c>
      <c r="B718" s="244"/>
      <c r="C718" s="209" t="s">
        <v>5</v>
      </c>
      <c r="D718" s="210" t="s">
        <v>95</v>
      </c>
      <c r="E718" s="210" t="s">
        <v>514</v>
      </c>
      <c r="F718" s="211"/>
      <c r="G718" s="134">
        <f>G719</f>
        <v>309</v>
      </c>
      <c r="H718" s="127">
        <f>H719</f>
        <v>161</v>
      </c>
      <c r="I718" s="361">
        <f t="shared" si="17"/>
        <v>52.103559870550164</v>
      </c>
      <c r="K718" s="283">
        <f t="shared" si="16"/>
        <v>309</v>
      </c>
    </row>
    <row r="719" spans="1:11" s="14" customFormat="1" ht="28.5">
      <c r="A719" s="265" t="s">
        <v>447</v>
      </c>
      <c r="B719" s="244"/>
      <c r="C719" s="209" t="s">
        <v>5</v>
      </c>
      <c r="D719" s="210" t="s">
        <v>95</v>
      </c>
      <c r="E719" s="210" t="s">
        <v>514</v>
      </c>
      <c r="F719" s="211" t="s">
        <v>445</v>
      </c>
      <c r="G719" s="134">
        <v>309</v>
      </c>
      <c r="H719" s="127">
        <v>161</v>
      </c>
      <c r="I719" s="361">
        <f t="shared" si="17"/>
        <v>52.103559870550164</v>
      </c>
      <c r="J719" s="14">
        <f>SUM('ведомствен.2015'!G555)</f>
        <v>309</v>
      </c>
      <c r="K719" s="283">
        <f t="shared" si="16"/>
        <v>0</v>
      </c>
    </row>
    <row r="720" spans="1:11" s="14" customFormat="1" ht="42.75">
      <c r="A720" s="274" t="s">
        <v>559</v>
      </c>
      <c r="B720" s="255"/>
      <c r="C720" s="135" t="s">
        <v>5</v>
      </c>
      <c r="D720" s="112" t="s">
        <v>95</v>
      </c>
      <c r="E720" s="112" t="s">
        <v>556</v>
      </c>
      <c r="F720" s="113"/>
      <c r="G720" s="129">
        <f>SUM(G721)</f>
        <v>452.7</v>
      </c>
      <c r="H720" s="118">
        <f>SUM(H721)</f>
        <v>0</v>
      </c>
      <c r="I720" s="361">
        <f t="shared" si="17"/>
        <v>0</v>
      </c>
      <c r="K720" s="283">
        <f t="shared" si="16"/>
        <v>452.7</v>
      </c>
    </row>
    <row r="721" spans="1:11" s="14" customFormat="1" ht="28.5">
      <c r="A721" s="275" t="s">
        <v>557</v>
      </c>
      <c r="B721" s="256"/>
      <c r="C721" s="135" t="s">
        <v>5</v>
      </c>
      <c r="D721" s="112" t="s">
        <v>95</v>
      </c>
      <c r="E721" s="112" t="s">
        <v>558</v>
      </c>
      <c r="F721" s="113"/>
      <c r="G721" s="129">
        <f>SUM(G722)</f>
        <v>452.7</v>
      </c>
      <c r="H721" s="118">
        <f>SUM(H722)</f>
        <v>0</v>
      </c>
      <c r="I721" s="361">
        <f t="shared" si="17"/>
        <v>0</v>
      </c>
      <c r="K721" s="283">
        <f t="shared" si="16"/>
        <v>452.7</v>
      </c>
    </row>
    <row r="722" spans="1:11" s="14" customFormat="1" ht="14.25">
      <c r="A722" s="261" t="s">
        <v>438</v>
      </c>
      <c r="B722" s="257"/>
      <c r="C722" s="135" t="s">
        <v>5</v>
      </c>
      <c r="D722" s="112" t="s">
        <v>95</v>
      </c>
      <c r="E722" s="112" t="s">
        <v>558</v>
      </c>
      <c r="F722" s="114" t="s">
        <v>439</v>
      </c>
      <c r="G722" s="129">
        <v>452.7</v>
      </c>
      <c r="H722" s="118"/>
      <c r="I722" s="361">
        <f t="shared" si="17"/>
        <v>0</v>
      </c>
      <c r="J722" s="14">
        <f>SUM('ведомствен.2015'!G343)</f>
        <v>452.7</v>
      </c>
      <c r="K722" s="283">
        <f t="shared" si="16"/>
        <v>0</v>
      </c>
    </row>
    <row r="723" spans="1:11" s="14" customFormat="1" ht="14.25">
      <c r="A723" s="269" t="s">
        <v>141</v>
      </c>
      <c r="B723" s="244"/>
      <c r="C723" s="209" t="s">
        <v>5</v>
      </c>
      <c r="D723" s="210" t="s">
        <v>109</v>
      </c>
      <c r="E723" s="210"/>
      <c r="F723" s="211"/>
      <c r="G723" s="134">
        <f>SUM(G724+G727+G730)</f>
        <v>117978</v>
      </c>
      <c r="H723" s="127">
        <f>SUM(H724+H727+H730)</f>
        <v>71386.4</v>
      </c>
      <c r="I723" s="361">
        <f t="shared" si="17"/>
        <v>60.50823034803099</v>
      </c>
      <c r="K723" s="283">
        <f t="shared" si="16"/>
        <v>117978</v>
      </c>
    </row>
    <row r="724" spans="1:11" s="14" customFormat="1" ht="28.5">
      <c r="A724" s="222" t="s">
        <v>619</v>
      </c>
      <c r="B724" s="128"/>
      <c r="C724" s="54" t="s">
        <v>5</v>
      </c>
      <c r="D724" s="89" t="s">
        <v>109</v>
      </c>
      <c r="E724" s="212" t="s">
        <v>620</v>
      </c>
      <c r="F724" s="95"/>
      <c r="G724" s="129">
        <f>SUM(G725)</f>
        <v>9511.5</v>
      </c>
      <c r="H724" s="118">
        <f>SUM(H725)</f>
        <v>6095.9</v>
      </c>
      <c r="I724" s="361">
        <f t="shared" si="17"/>
        <v>64.08978604846764</v>
      </c>
      <c r="K724" s="283">
        <f aca="true" t="shared" si="18" ref="K724:K783">SUM(G724-J724)</f>
        <v>9511.5</v>
      </c>
    </row>
    <row r="725" spans="1:11" s="14" customFormat="1" ht="114">
      <c r="A725" s="213" t="s">
        <v>621</v>
      </c>
      <c r="B725" s="128"/>
      <c r="C725" s="54" t="s">
        <v>5</v>
      </c>
      <c r="D725" s="89" t="s">
        <v>109</v>
      </c>
      <c r="E725" s="121" t="s">
        <v>622</v>
      </c>
      <c r="F725" s="228"/>
      <c r="G725" s="129">
        <f>G726</f>
        <v>9511.5</v>
      </c>
      <c r="H725" s="118">
        <f>H726</f>
        <v>6095.9</v>
      </c>
      <c r="I725" s="361">
        <f t="shared" si="17"/>
        <v>64.08978604846764</v>
      </c>
      <c r="K725" s="283">
        <f t="shared" si="18"/>
        <v>9511.5</v>
      </c>
    </row>
    <row r="726" spans="1:11" s="14" customFormat="1" ht="42.75">
      <c r="A726" s="222" t="s">
        <v>637</v>
      </c>
      <c r="B726" s="128"/>
      <c r="C726" s="54" t="s">
        <v>5</v>
      </c>
      <c r="D726" s="89" t="s">
        <v>109</v>
      </c>
      <c r="E726" s="212" t="s">
        <v>638</v>
      </c>
      <c r="F726" s="95" t="s">
        <v>439</v>
      </c>
      <c r="G726" s="129">
        <v>9511.5</v>
      </c>
      <c r="H726" s="118">
        <v>6095.9</v>
      </c>
      <c r="I726" s="361">
        <f t="shared" si="17"/>
        <v>64.08978604846764</v>
      </c>
      <c r="J726" s="14">
        <f>SUM('ведомствен.2015'!G821)</f>
        <v>9511.5</v>
      </c>
      <c r="K726" s="283">
        <f t="shared" si="18"/>
        <v>0</v>
      </c>
    </row>
    <row r="727" spans="1:11" s="14" customFormat="1" ht="42.75">
      <c r="A727" s="213" t="s">
        <v>609</v>
      </c>
      <c r="B727" s="128"/>
      <c r="C727" s="54" t="s">
        <v>5</v>
      </c>
      <c r="D727" s="89" t="s">
        <v>109</v>
      </c>
      <c r="E727" s="117" t="s">
        <v>610</v>
      </c>
      <c r="F727" s="120"/>
      <c r="G727" s="129">
        <f>SUM(G728)</f>
        <v>28879.3</v>
      </c>
      <c r="H727" s="118">
        <f>SUM(H728)</f>
        <v>22384.1</v>
      </c>
      <c r="I727" s="361">
        <f t="shared" si="17"/>
        <v>77.50915015253139</v>
      </c>
      <c r="K727" s="283">
        <f t="shared" si="18"/>
        <v>28879.3</v>
      </c>
    </row>
    <row r="728" spans="1:11" s="14" customFormat="1" ht="128.25">
      <c r="A728" s="222" t="s">
        <v>639</v>
      </c>
      <c r="B728" s="128"/>
      <c r="C728" s="54" t="s">
        <v>5</v>
      </c>
      <c r="D728" s="89" t="s">
        <v>109</v>
      </c>
      <c r="E728" s="117" t="s">
        <v>640</v>
      </c>
      <c r="F728" s="120"/>
      <c r="G728" s="129">
        <f>SUM(G729)</f>
        <v>28879.3</v>
      </c>
      <c r="H728" s="118">
        <f>SUM(H729)</f>
        <v>22384.1</v>
      </c>
      <c r="I728" s="361">
        <f t="shared" si="17"/>
        <v>77.50915015253139</v>
      </c>
      <c r="K728" s="283">
        <f t="shared" si="18"/>
        <v>28879.3</v>
      </c>
    </row>
    <row r="729" spans="1:11" s="14" customFormat="1" ht="71.25">
      <c r="A729" s="213" t="s">
        <v>641</v>
      </c>
      <c r="B729" s="128"/>
      <c r="C729" s="54" t="s">
        <v>5</v>
      </c>
      <c r="D729" s="89" t="s">
        <v>109</v>
      </c>
      <c r="E729" s="121" t="s">
        <v>642</v>
      </c>
      <c r="F729" s="95" t="s">
        <v>439</v>
      </c>
      <c r="G729" s="129">
        <v>28879.3</v>
      </c>
      <c r="H729" s="118">
        <v>22384.1</v>
      </c>
      <c r="I729" s="361">
        <f t="shared" si="17"/>
        <v>77.50915015253139</v>
      </c>
      <c r="J729" s="14">
        <f>SUM('ведомствен.2015'!G824)</f>
        <v>28879.3</v>
      </c>
      <c r="K729" s="283">
        <f t="shared" si="18"/>
        <v>0</v>
      </c>
    </row>
    <row r="730" spans="1:11" s="14" customFormat="1" ht="28.5">
      <c r="A730" s="260" t="s">
        <v>573</v>
      </c>
      <c r="B730" s="240"/>
      <c r="C730" s="216" t="s">
        <v>5</v>
      </c>
      <c r="D730" s="217" t="s">
        <v>109</v>
      </c>
      <c r="E730" s="55" t="s">
        <v>574</v>
      </c>
      <c r="F730" s="94"/>
      <c r="G730" s="232">
        <f>SUM(G746)+G731</f>
        <v>79587.2</v>
      </c>
      <c r="H730" s="367">
        <f>SUM(H746)+H731</f>
        <v>42906.4</v>
      </c>
      <c r="I730" s="361">
        <f t="shared" si="17"/>
        <v>53.91118169755941</v>
      </c>
      <c r="K730" s="283">
        <f t="shared" si="18"/>
        <v>79587.2</v>
      </c>
    </row>
    <row r="731" spans="1:11" s="14" customFormat="1" ht="99.75">
      <c r="A731" s="272" t="s">
        <v>594</v>
      </c>
      <c r="B731" s="254"/>
      <c r="C731" s="229" t="s">
        <v>5</v>
      </c>
      <c r="D731" s="230" t="s">
        <v>109</v>
      </c>
      <c r="E731" s="230" t="s">
        <v>595</v>
      </c>
      <c r="F731" s="231"/>
      <c r="G731" s="237">
        <f>G737+G740+G743+G732+G734</f>
        <v>69042</v>
      </c>
      <c r="H731" s="373">
        <f>H737+H740+H743+H732+H734</f>
        <v>42906.4</v>
      </c>
      <c r="I731" s="361">
        <f t="shared" si="17"/>
        <v>62.14536079487848</v>
      </c>
      <c r="K731" s="283">
        <f t="shared" si="18"/>
        <v>69042</v>
      </c>
    </row>
    <row r="732" spans="1:11" s="14" customFormat="1" ht="57">
      <c r="A732" s="116" t="s">
        <v>664</v>
      </c>
      <c r="B732" s="485"/>
      <c r="C732" s="216" t="s">
        <v>5</v>
      </c>
      <c r="D732" s="217" t="s">
        <v>109</v>
      </c>
      <c r="E732" s="55" t="s">
        <v>665</v>
      </c>
      <c r="F732" s="219"/>
      <c r="G732" s="232">
        <f>SUM(G733)</f>
        <v>21090.3</v>
      </c>
      <c r="H732" s="123">
        <f>SUM(H733)</f>
        <v>8237.1</v>
      </c>
      <c r="I732" s="361">
        <f t="shared" si="17"/>
        <v>39.056343437504445</v>
      </c>
      <c r="K732" s="283">
        <f t="shared" si="18"/>
        <v>21090.3</v>
      </c>
    </row>
    <row r="733" spans="1:11" s="14" customFormat="1" ht="28.5">
      <c r="A733" s="116" t="s">
        <v>676</v>
      </c>
      <c r="B733" s="485"/>
      <c r="C733" s="216" t="s">
        <v>5</v>
      </c>
      <c r="D733" s="217" t="s">
        <v>109</v>
      </c>
      <c r="E733" s="55" t="s">
        <v>665</v>
      </c>
      <c r="F733" s="219" t="s">
        <v>489</v>
      </c>
      <c r="G733" s="232">
        <v>21090.3</v>
      </c>
      <c r="H733" s="123">
        <v>8237.1</v>
      </c>
      <c r="I733" s="361">
        <f t="shared" si="17"/>
        <v>39.056343437504445</v>
      </c>
      <c r="J733" s="14">
        <f>SUM('ведомствен.2015'!G348)</f>
        <v>21090.3</v>
      </c>
      <c r="K733" s="283">
        <f t="shared" si="18"/>
        <v>0</v>
      </c>
    </row>
    <row r="734" spans="1:11" s="14" customFormat="1" ht="57">
      <c r="A734" s="272" t="s">
        <v>406</v>
      </c>
      <c r="B734" s="506"/>
      <c r="C734" s="229" t="s">
        <v>5</v>
      </c>
      <c r="D734" s="230" t="s">
        <v>109</v>
      </c>
      <c r="E734" s="226" t="s">
        <v>596</v>
      </c>
      <c r="F734" s="227"/>
      <c r="G734" s="536">
        <f>G735+G736</f>
        <v>11300.2</v>
      </c>
      <c r="H734" s="180">
        <f>H735+H736</f>
        <v>7589</v>
      </c>
      <c r="I734" s="361">
        <f t="shared" si="17"/>
        <v>67.15810339640007</v>
      </c>
      <c r="K734" s="283">
        <f t="shared" si="18"/>
        <v>11300.2</v>
      </c>
    </row>
    <row r="735" spans="1:11" s="14" customFormat="1" ht="28.5">
      <c r="A735" s="260" t="s">
        <v>675</v>
      </c>
      <c r="B735" s="506"/>
      <c r="C735" s="229" t="s">
        <v>5</v>
      </c>
      <c r="D735" s="230" t="s">
        <v>109</v>
      </c>
      <c r="E735" s="226" t="s">
        <v>596</v>
      </c>
      <c r="F735" s="227" t="s">
        <v>107</v>
      </c>
      <c r="G735" s="536">
        <v>174.7</v>
      </c>
      <c r="H735" s="180">
        <v>119.2</v>
      </c>
      <c r="I735" s="361">
        <f t="shared" si="17"/>
        <v>68.23125357756153</v>
      </c>
      <c r="J735" s="14">
        <f>SUM('ведомствен.2015'!G560)</f>
        <v>174.7</v>
      </c>
      <c r="K735" s="283">
        <f t="shared" si="18"/>
        <v>0</v>
      </c>
    </row>
    <row r="736" spans="1:11" s="14" customFormat="1" ht="15">
      <c r="A736" s="272" t="s">
        <v>438</v>
      </c>
      <c r="B736" s="506"/>
      <c r="C736" s="229" t="s">
        <v>5</v>
      </c>
      <c r="D736" s="230" t="s">
        <v>109</v>
      </c>
      <c r="E736" s="226" t="s">
        <v>596</v>
      </c>
      <c r="F736" s="227" t="s">
        <v>439</v>
      </c>
      <c r="G736" s="536">
        <v>11125.5</v>
      </c>
      <c r="H736" s="180">
        <v>7469.8</v>
      </c>
      <c r="I736" s="361">
        <f t="shared" si="17"/>
        <v>67.14125207855827</v>
      </c>
      <c r="J736" s="14">
        <f>SUM('ведомствен.2015'!G561)</f>
        <v>11125.5</v>
      </c>
      <c r="K736" s="283">
        <f t="shared" si="18"/>
        <v>0</v>
      </c>
    </row>
    <row r="737" spans="1:11" s="14" customFormat="1" ht="14.25">
      <c r="A737" s="272" t="s">
        <v>142</v>
      </c>
      <c r="B737" s="254"/>
      <c r="C737" s="229" t="s">
        <v>5</v>
      </c>
      <c r="D737" s="230" t="s">
        <v>109</v>
      </c>
      <c r="E737" s="230" t="s">
        <v>603</v>
      </c>
      <c r="F737" s="231"/>
      <c r="G737" s="236">
        <f>G738+G739</f>
        <v>6566.4</v>
      </c>
      <c r="H737" s="372">
        <f>H738+H739</f>
        <v>5029.099999999999</v>
      </c>
      <c r="I737" s="361">
        <f t="shared" si="17"/>
        <v>76.58838937621833</v>
      </c>
      <c r="K737" s="283">
        <f t="shared" si="18"/>
        <v>6566.4</v>
      </c>
    </row>
    <row r="738" spans="1:11" s="14" customFormat="1" ht="28.5">
      <c r="A738" s="260" t="s">
        <v>675</v>
      </c>
      <c r="B738" s="254"/>
      <c r="C738" s="229" t="s">
        <v>5</v>
      </c>
      <c r="D738" s="230" t="s">
        <v>109</v>
      </c>
      <c r="E738" s="230" t="s">
        <v>603</v>
      </c>
      <c r="F738" s="231" t="s">
        <v>107</v>
      </c>
      <c r="G738" s="236">
        <v>94.7</v>
      </c>
      <c r="H738" s="372">
        <v>74.7</v>
      </c>
      <c r="I738" s="361">
        <f t="shared" si="17"/>
        <v>78.88067581837382</v>
      </c>
      <c r="J738" s="14">
        <f>SUM('ведомствен.2015'!G563)</f>
        <v>94.7</v>
      </c>
      <c r="K738" s="283">
        <f t="shared" si="18"/>
        <v>0</v>
      </c>
    </row>
    <row r="739" spans="1:11" s="14" customFormat="1" ht="14.25">
      <c r="A739" s="272" t="s">
        <v>438</v>
      </c>
      <c r="B739" s="254"/>
      <c r="C739" s="229" t="s">
        <v>5</v>
      </c>
      <c r="D739" s="230" t="s">
        <v>109</v>
      </c>
      <c r="E739" s="230" t="s">
        <v>603</v>
      </c>
      <c r="F739" s="231" t="s">
        <v>439</v>
      </c>
      <c r="G739" s="236">
        <v>6471.7</v>
      </c>
      <c r="H739" s="372">
        <v>4954.4</v>
      </c>
      <c r="I739" s="361">
        <f t="shared" si="17"/>
        <v>76.5548464854675</v>
      </c>
      <c r="J739" s="14">
        <f>SUM('ведомствен.2015'!G564)</f>
        <v>6471.7</v>
      </c>
      <c r="K739" s="283">
        <f t="shared" si="18"/>
        <v>0</v>
      </c>
    </row>
    <row r="740" spans="1:11" s="14" customFormat="1" ht="14.25">
      <c r="A740" s="272" t="s">
        <v>417</v>
      </c>
      <c r="B740" s="254"/>
      <c r="C740" s="229" t="s">
        <v>5</v>
      </c>
      <c r="D740" s="230" t="s">
        <v>109</v>
      </c>
      <c r="E740" s="230" t="s">
        <v>604</v>
      </c>
      <c r="F740" s="231"/>
      <c r="G740" s="236">
        <f>G741+G742</f>
        <v>6056.1</v>
      </c>
      <c r="H740" s="372">
        <f>H741+H742</f>
        <v>4400.6</v>
      </c>
      <c r="I740" s="361">
        <f t="shared" si="17"/>
        <v>72.66392562870494</v>
      </c>
      <c r="K740" s="283">
        <f t="shared" si="18"/>
        <v>6056.1</v>
      </c>
    </row>
    <row r="741" spans="1:11" s="14" customFormat="1" ht="28.5">
      <c r="A741" s="260" t="s">
        <v>675</v>
      </c>
      <c r="B741" s="254"/>
      <c r="C741" s="229" t="s">
        <v>5</v>
      </c>
      <c r="D741" s="230" t="s">
        <v>109</v>
      </c>
      <c r="E741" s="230" t="s">
        <v>604</v>
      </c>
      <c r="F741" s="231" t="s">
        <v>107</v>
      </c>
      <c r="G741" s="236">
        <v>61.5</v>
      </c>
      <c r="H741" s="372">
        <v>49.5</v>
      </c>
      <c r="I741" s="361">
        <f t="shared" si="17"/>
        <v>80.48780487804879</v>
      </c>
      <c r="J741" s="14">
        <f>SUM('ведомствен.2015'!G566)</f>
        <v>61.5</v>
      </c>
      <c r="K741" s="283">
        <f t="shared" si="18"/>
        <v>0</v>
      </c>
    </row>
    <row r="742" spans="1:11" s="14" customFormat="1" ht="14.25">
      <c r="A742" s="272" t="s">
        <v>438</v>
      </c>
      <c r="B742" s="254"/>
      <c r="C742" s="229" t="s">
        <v>5</v>
      </c>
      <c r="D742" s="230" t="s">
        <v>109</v>
      </c>
      <c r="E742" s="230" t="s">
        <v>604</v>
      </c>
      <c r="F742" s="231" t="s">
        <v>439</v>
      </c>
      <c r="G742" s="237">
        <v>5994.6</v>
      </c>
      <c r="H742" s="373">
        <v>4351.1</v>
      </c>
      <c r="I742" s="361">
        <f t="shared" si="17"/>
        <v>72.58365862609682</v>
      </c>
      <c r="J742" s="14">
        <f>SUM('ведомствен.2015'!G567)</f>
        <v>5994.6</v>
      </c>
      <c r="K742" s="283">
        <f t="shared" si="18"/>
        <v>0</v>
      </c>
    </row>
    <row r="743" spans="1:11" s="14" customFormat="1" ht="14.25">
      <c r="A743" s="272" t="s">
        <v>418</v>
      </c>
      <c r="B743" s="254"/>
      <c r="C743" s="229" t="s">
        <v>5</v>
      </c>
      <c r="D743" s="230" t="s">
        <v>109</v>
      </c>
      <c r="E743" s="230" t="s">
        <v>605</v>
      </c>
      <c r="F743" s="231"/>
      <c r="G743" s="236">
        <f>SUM(G745)+G744</f>
        <v>24029</v>
      </c>
      <c r="H743" s="372">
        <f>SUM(H745)+H744</f>
        <v>17650.600000000002</v>
      </c>
      <c r="I743" s="361">
        <f t="shared" si="17"/>
        <v>73.45540804860794</v>
      </c>
      <c r="K743" s="283">
        <f t="shared" si="18"/>
        <v>24029</v>
      </c>
    </row>
    <row r="744" spans="1:11" s="14" customFormat="1" ht="28.5">
      <c r="A744" s="260" t="s">
        <v>675</v>
      </c>
      <c r="B744" s="254"/>
      <c r="C744" s="229" t="s">
        <v>5</v>
      </c>
      <c r="D744" s="230" t="s">
        <v>109</v>
      </c>
      <c r="E744" s="230" t="s">
        <v>605</v>
      </c>
      <c r="F744" s="231" t="s">
        <v>107</v>
      </c>
      <c r="G744" s="236">
        <v>382.1</v>
      </c>
      <c r="H744" s="372">
        <v>289.9</v>
      </c>
      <c r="I744" s="361">
        <f t="shared" si="17"/>
        <v>75.87019104946347</v>
      </c>
      <c r="J744" s="14">
        <f>SUM('ведомствен.2015'!G569)</f>
        <v>382.1</v>
      </c>
      <c r="K744" s="283">
        <f t="shared" si="18"/>
        <v>0</v>
      </c>
    </row>
    <row r="745" spans="1:11" s="14" customFormat="1" ht="14.25">
      <c r="A745" s="272" t="s">
        <v>438</v>
      </c>
      <c r="B745" s="254"/>
      <c r="C745" s="229" t="s">
        <v>5</v>
      </c>
      <c r="D745" s="230" t="s">
        <v>109</v>
      </c>
      <c r="E745" s="230" t="s">
        <v>605</v>
      </c>
      <c r="F745" s="231" t="s">
        <v>439</v>
      </c>
      <c r="G745" s="236">
        <v>23646.9</v>
      </c>
      <c r="H745" s="372">
        <v>17360.7</v>
      </c>
      <c r="I745" s="361">
        <f t="shared" si="17"/>
        <v>73.41638861753549</v>
      </c>
      <c r="J745" s="14">
        <f>SUM('ведомствен.2015'!G570)</f>
        <v>23646.9</v>
      </c>
      <c r="K745" s="283">
        <f t="shared" si="18"/>
        <v>0</v>
      </c>
    </row>
    <row r="746" spans="1:11" s="14" customFormat="1" ht="42.75">
      <c r="A746" s="116" t="s">
        <v>544</v>
      </c>
      <c r="B746" s="242"/>
      <c r="C746" s="216" t="s">
        <v>5</v>
      </c>
      <c r="D746" s="217" t="s">
        <v>109</v>
      </c>
      <c r="E746" s="55" t="s">
        <v>577</v>
      </c>
      <c r="F746" s="219"/>
      <c r="G746" s="232">
        <f>SUM(G747)</f>
        <v>10545.2</v>
      </c>
      <c r="H746" s="367">
        <f>SUM(H747)</f>
        <v>0</v>
      </c>
      <c r="I746" s="361">
        <f t="shared" si="17"/>
        <v>0</v>
      </c>
      <c r="K746" s="283">
        <f t="shared" si="18"/>
        <v>10545.2</v>
      </c>
    </row>
    <row r="747" spans="1:11" s="14" customFormat="1" ht="28.5">
      <c r="A747" s="116" t="s">
        <v>676</v>
      </c>
      <c r="B747" s="242"/>
      <c r="C747" s="216" t="s">
        <v>5</v>
      </c>
      <c r="D747" s="217" t="s">
        <v>109</v>
      </c>
      <c r="E747" s="55" t="s">
        <v>577</v>
      </c>
      <c r="F747" s="219" t="s">
        <v>489</v>
      </c>
      <c r="G747" s="232">
        <v>10545.2</v>
      </c>
      <c r="H747" s="367"/>
      <c r="I747" s="361">
        <f t="shared" si="17"/>
        <v>0</v>
      </c>
      <c r="J747" s="14">
        <f>SUM('ведомствен.2015'!G352)</f>
        <v>10545.2</v>
      </c>
      <c r="K747" s="283">
        <f t="shared" si="18"/>
        <v>0</v>
      </c>
    </row>
    <row r="748" spans="1:11" s="14" customFormat="1" ht="14.25">
      <c r="A748" s="265" t="s">
        <v>143</v>
      </c>
      <c r="B748" s="244"/>
      <c r="C748" s="209" t="s">
        <v>5</v>
      </c>
      <c r="D748" s="210" t="s">
        <v>334</v>
      </c>
      <c r="E748" s="210"/>
      <c r="F748" s="211"/>
      <c r="G748" s="134">
        <f>SUM(G749+G762+G772+G779+G781)+G777</f>
        <v>30991.3</v>
      </c>
      <c r="H748" s="127">
        <f>SUM(H749+H762+H772+H779+H781)+H777</f>
        <v>21866.500000000004</v>
      </c>
      <c r="I748" s="361">
        <f t="shared" si="17"/>
        <v>70.55689822627642</v>
      </c>
      <c r="K748" s="283">
        <f t="shared" si="18"/>
        <v>30991.3</v>
      </c>
    </row>
    <row r="749" spans="1:11" s="14" customFormat="1" ht="42.75">
      <c r="A749" s="265" t="s">
        <v>88</v>
      </c>
      <c r="B749" s="244"/>
      <c r="C749" s="209" t="s">
        <v>5</v>
      </c>
      <c r="D749" s="210" t="s">
        <v>334</v>
      </c>
      <c r="E749" s="210" t="s">
        <v>89</v>
      </c>
      <c r="F749" s="211"/>
      <c r="G749" s="134">
        <f>G750+G753+G757+G759</f>
        <v>22769.4</v>
      </c>
      <c r="H749" s="127">
        <f>H750+H753+H757+H759</f>
        <v>16417.5</v>
      </c>
      <c r="I749" s="361">
        <f t="shared" si="17"/>
        <v>72.10334923186382</v>
      </c>
      <c r="K749" s="283">
        <f t="shared" si="18"/>
        <v>22769.4</v>
      </c>
    </row>
    <row r="750" spans="1:11" s="14" customFormat="1" ht="14.25">
      <c r="A750" s="265" t="s">
        <v>96</v>
      </c>
      <c r="B750" s="244"/>
      <c r="C750" s="209" t="s">
        <v>5</v>
      </c>
      <c r="D750" s="210" t="s">
        <v>334</v>
      </c>
      <c r="E750" s="210" t="s">
        <v>98</v>
      </c>
      <c r="F750" s="211"/>
      <c r="G750" s="134">
        <f>G751+G752</f>
        <v>3963.3</v>
      </c>
      <c r="H750" s="127">
        <f>H751+H752</f>
        <v>2599.4</v>
      </c>
      <c r="I750" s="361">
        <f t="shared" si="17"/>
        <v>65.58675850932303</v>
      </c>
      <c r="J750" s="23"/>
      <c r="K750" s="283">
        <f t="shared" si="18"/>
        <v>3963.3</v>
      </c>
    </row>
    <row r="751" spans="1:11" s="14" customFormat="1" ht="42.75">
      <c r="A751" s="265" t="s">
        <v>515</v>
      </c>
      <c r="B751" s="244"/>
      <c r="C751" s="209" t="s">
        <v>5</v>
      </c>
      <c r="D751" s="210" t="s">
        <v>334</v>
      </c>
      <c r="E751" s="210" t="s">
        <v>98</v>
      </c>
      <c r="F751" s="211" t="s">
        <v>429</v>
      </c>
      <c r="G751" s="134">
        <v>3957.9</v>
      </c>
      <c r="H751" s="127">
        <v>2594</v>
      </c>
      <c r="I751" s="361">
        <f t="shared" si="17"/>
        <v>65.53980646302333</v>
      </c>
      <c r="J751" s="14">
        <f>SUM('ведомствен.2015'!G574)</f>
        <v>3957.9</v>
      </c>
      <c r="K751" s="283">
        <f t="shared" si="18"/>
        <v>0</v>
      </c>
    </row>
    <row r="752" spans="1:11" s="14" customFormat="1" ht="28.5">
      <c r="A752" s="260" t="s">
        <v>675</v>
      </c>
      <c r="B752" s="244"/>
      <c r="C752" s="209" t="s">
        <v>5</v>
      </c>
      <c r="D752" s="210" t="s">
        <v>334</v>
      </c>
      <c r="E752" s="210" t="s">
        <v>98</v>
      </c>
      <c r="F752" s="211" t="s">
        <v>107</v>
      </c>
      <c r="G752" s="134">
        <v>5.4</v>
      </c>
      <c r="H752" s="127">
        <v>5.4</v>
      </c>
      <c r="I752" s="361">
        <f t="shared" si="17"/>
        <v>100</v>
      </c>
      <c r="J752" s="14">
        <f>SUM('ведомствен.2015'!G575)</f>
        <v>5.4</v>
      </c>
      <c r="K752" s="283">
        <f t="shared" si="18"/>
        <v>0</v>
      </c>
    </row>
    <row r="753" spans="1:11" s="14" customFormat="1" ht="42.75">
      <c r="A753" s="265" t="s">
        <v>516</v>
      </c>
      <c r="B753" s="244"/>
      <c r="C753" s="209" t="s">
        <v>5</v>
      </c>
      <c r="D753" s="210" t="s">
        <v>334</v>
      </c>
      <c r="E753" s="210" t="s">
        <v>146</v>
      </c>
      <c r="F753" s="211"/>
      <c r="G753" s="134">
        <f>SUM(G754:G756)</f>
        <v>4233.2</v>
      </c>
      <c r="H753" s="127">
        <f>SUM(H754:H756)</f>
        <v>2968.8</v>
      </c>
      <c r="I753" s="361">
        <f t="shared" si="17"/>
        <v>70.13134271945573</v>
      </c>
      <c r="K753" s="283">
        <f t="shared" si="18"/>
        <v>4233.2</v>
      </c>
    </row>
    <row r="754" spans="1:11" s="14" customFormat="1" ht="42.75">
      <c r="A754" s="265" t="s">
        <v>515</v>
      </c>
      <c r="B754" s="244"/>
      <c r="C754" s="209" t="s">
        <v>5</v>
      </c>
      <c r="D754" s="210" t="s">
        <v>334</v>
      </c>
      <c r="E754" s="210" t="s">
        <v>146</v>
      </c>
      <c r="F754" s="211" t="s">
        <v>429</v>
      </c>
      <c r="G754" s="134">
        <v>3613.4</v>
      </c>
      <c r="H754" s="127">
        <v>2658</v>
      </c>
      <c r="I754" s="361">
        <f t="shared" si="17"/>
        <v>73.55952842198484</v>
      </c>
      <c r="J754" s="14">
        <f>SUM('ведомствен.2015'!G577)</f>
        <v>3613.4</v>
      </c>
      <c r="K754" s="283">
        <f t="shared" si="18"/>
        <v>0</v>
      </c>
    </row>
    <row r="755" spans="1:11" s="14" customFormat="1" ht="28.5">
      <c r="A755" s="260" t="s">
        <v>675</v>
      </c>
      <c r="B755" s="258"/>
      <c r="C755" s="209" t="s">
        <v>5</v>
      </c>
      <c r="D755" s="210" t="s">
        <v>334</v>
      </c>
      <c r="E755" s="210" t="s">
        <v>146</v>
      </c>
      <c r="F755" s="211" t="s">
        <v>107</v>
      </c>
      <c r="G755" s="134">
        <v>561.6</v>
      </c>
      <c r="H755" s="127">
        <v>277</v>
      </c>
      <c r="I755" s="361">
        <f t="shared" si="17"/>
        <v>49.32336182336182</v>
      </c>
      <c r="J755" s="14">
        <f>SUM('ведомствен.2015'!G578)</f>
        <v>561.6</v>
      </c>
      <c r="K755" s="283">
        <f t="shared" si="18"/>
        <v>0</v>
      </c>
    </row>
    <row r="756" spans="1:11" s="14" customFormat="1" ht="14.25">
      <c r="A756" s="260" t="s">
        <v>434</v>
      </c>
      <c r="B756" s="507"/>
      <c r="C756" s="209" t="s">
        <v>5</v>
      </c>
      <c r="D756" s="210" t="s">
        <v>334</v>
      </c>
      <c r="E756" s="210" t="s">
        <v>146</v>
      </c>
      <c r="F756" s="211" t="s">
        <v>152</v>
      </c>
      <c r="G756" s="134">
        <v>58.2</v>
      </c>
      <c r="H756" s="126">
        <v>33.8</v>
      </c>
      <c r="I756" s="361">
        <f t="shared" si="17"/>
        <v>58.07560137457044</v>
      </c>
      <c r="J756" s="14">
        <f>SUM('ведомствен.2015'!G579)</f>
        <v>58.2</v>
      </c>
      <c r="K756" s="283">
        <f t="shared" si="18"/>
        <v>0</v>
      </c>
    </row>
    <row r="757" spans="1:11" s="14" customFormat="1" ht="28.5">
      <c r="A757" s="265" t="s">
        <v>144</v>
      </c>
      <c r="B757" s="244"/>
      <c r="C757" s="209" t="s">
        <v>5</v>
      </c>
      <c r="D757" s="210" t="s">
        <v>334</v>
      </c>
      <c r="E757" s="210" t="s">
        <v>145</v>
      </c>
      <c r="F757" s="211"/>
      <c r="G757" s="134">
        <f>SUM(G758)</f>
        <v>14572.9</v>
      </c>
      <c r="H757" s="127">
        <f>SUM(H758)</f>
        <v>10849.3</v>
      </c>
      <c r="I757" s="361">
        <f t="shared" si="17"/>
        <v>74.44846255721235</v>
      </c>
      <c r="K757" s="283">
        <f t="shared" si="18"/>
        <v>14572.9</v>
      </c>
    </row>
    <row r="758" spans="1:11" s="14" customFormat="1" ht="41.25" customHeight="1">
      <c r="A758" s="265" t="s">
        <v>515</v>
      </c>
      <c r="B758" s="244"/>
      <c r="C758" s="209" t="s">
        <v>5</v>
      </c>
      <c r="D758" s="210" t="s">
        <v>334</v>
      </c>
      <c r="E758" s="210" t="s">
        <v>145</v>
      </c>
      <c r="F758" s="211" t="s">
        <v>429</v>
      </c>
      <c r="G758" s="134">
        <v>14572.9</v>
      </c>
      <c r="H758" s="127">
        <v>10849.3</v>
      </c>
      <c r="I758" s="361">
        <f t="shared" si="17"/>
        <v>74.44846255721235</v>
      </c>
      <c r="J758" s="14">
        <f>SUM('ведомствен.2015'!G581)</f>
        <v>14572.9</v>
      </c>
      <c r="K758" s="283">
        <f t="shared" si="18"/>
        <v>0</v>
      </c>
    </row>
    <row r="759" spans="1:11" s="14" customFormat="1" ht="42.75" hidden="1">
      <c r="A759" s="265" t="s">
        <v>147</v>
      </c>
      <c r="B759" s="258"/>
      <c r="C759" s="209" t="s">
        <v>5</v>
      </c>
      <c r="D759" s="210" t="s">
        <v>334</v>
      </c>
      <c r="E759" s="210" t="s">
        <v>148</v>
      </c>
      <c r="F759" s="211"/>
      <c r="G759" s="134">
        <f>G760+G761</f>
        <v>0</v>
      </c>
      <c r="H759" s="127">
        <f>H760+H761</f>
        <v>0</v>
      </c>
      <c r="I759" s="361" t="e">
        <f aca="true" t="shared" si="19" ref="I759:I822">SUM(H759/G759*100)</f>
        <v>#DIV/0!</v>
      </c>
      <c r="K759" s="283">
        <f t="shared" si="18"/>
        <v>0</v>
      </c>
    </row>
    <row r="760" spans="1:11" ht="42.75" hidden="1">
      <c r="A760" s="265" t="s">
        <v>515</v>
      </c>
      <c r="B760" s="244"/>
      <c r="C760" s="209" t="s">
        <v>5</v>
      </c>
      <c r="D760" s="210" t="s">
        <v>334</v>
      </c>
      <c r="E760" s="210" t="s">
        <v>148</v>
      </c>
      <c r="F760" s="211" t="s">
        <v>429</v>
      </c>
      <c r="G760" s="134"/>
      <c r="H760" s="127"/>
      <c r="I760" s="361" t="e">
        <f t="shared" si="19"/>
        <v>#DIV/0!</v>
      </c>
      <c r="J760" s="14">
        <f>SUM('ведомствен.2015'!G583)</f>
        <v>0</v>
      </c>
      <c r="K760" s="283">
        <f t="shared" si="18"/>
        <v>0</v>
      </c>
    </row>
    <row r="761" spans="1:11" ht="14.25" hidden="1">
      <c r="A761" s="265" t="s">
        <v>433</v>
      </c>
      <c r="B761" s="244"/>
      <c r="C761" s="209" t="s">
        <v>5</v>
      </c>
      <c r="D761" s="210" t="s">
        <v>334</v>
      </c>
      <c r="E761" s="210" t="s">
        <v>148</v>
      </c>
      <c r="F761" s="211" t="s">
        <v>107</v>
      </c>
      <c r="G761" s="134"/>
      <c r="H761" s="127"/>
      <c r="I761" s="361" t="e">
        <f t="shared" si="19"/>
        <v>#DIV/0!</v>
      </c>
      <c r="J761" s="14">
        <f>SUM('ведомствен.2015'!G584)</f>
        <v>0</v>
      </c>
      <c r="K761" s="283">
        <f t="shared" si="18"/>
        <v>0</v>
      </c>
    </row>
    <row r="762" spans="1:11" ht="28.5">
      <c r="A762" s="265" t="s">
        <v>430</v>
      </c>
      <c r="B762" s="244"/>
      <c r="C762" s="209" t="s">
        <v>5</v>
      </c>
      <c r="D762" s="210" t="s">
        <v>334</v>
      </c>
      <c r="E762" s="210" t="s">
        <v>431</v>
      </c>
      <c r="F762" s="211"/>
      <c r="G762" s="134">
        <f>G763+G766+G769</f>
        <v>2625.1</v>
      </c>
      <c r="H762" s="127">
        <f>H763+H766+H769</f>
        <v>1334.4</v>
      </c>
      <c r="I762" s="361">
        <f t="shared" si="19"/>
        <v>50.83234924383834</v>
      </c>
      <c r="J762" s="23"/>
      <c r="K762" s="283">
        <f t="shared" si="18"/>
        <v>2625.1</v>
      </c>
    </row>
    <row r="763" spans="1:11" ht="14.25">
      <c r="A763" s="265" t="s">
        <v>421</v>
      </c>
      <c r="B763" s="258"/>
      <c r="C763" s="209" t="s">
        <v>5</v>
      </c>
      <c r="D763" s="210" t="s">
        <v>334</v>
      </c>
      <c r="E763" s="210" t="s">
        <v>432</v>
      </c>
      <c r="F763" s="211"/>
      <c r="G763" s="134">
        <f>SUM(G764)+G765</f>
        <v>230.7</v>
      </c>
      <c r="H763" s="127">
        <f>SUM(H764)+H765</f>
        <v>111.8</v>
      </c>
      <c r="I763" s="361">
        <f t="shared" si="19"/>
        <v>48.46120502817512</v>
      </c>
      <c r="J763" s="23"/>
      <c r="K763" s="283">
        <f t="shared" si="18"/>
        <v>230.7</v>
      </c>
    </row>
    <row r="764" spans="1:11" ht="28.5">
      <c r="A764" s="260" t="s">
        <v>675</v>
      </c>
      <c r="B764" s="244"/>
      <c r="C764" s="209" t="s">
        <v>5</v>
      </c>
      <c r="D764" s="210" t="s">
        <v>334</v>
      </c>
      <c r="E764" s="210" t="s">
        <v>432</v>
      </c>
      <c r="F764" s="211" t="s">
        <v>107</v>
      </c>
      <c r="G764" s="134">
        <v>230</v>
      </c>
      <c r="H764" s="127">
        <v>111.1</v>
      </c>
      <c r="I764" s="361">
        <f t="shared" si="19"/>
        <v>48.30434782608695</v>
      </c>
      <c r="J764" s="14">
        <f>SUM('ведомствен.2015'!G587)</f>
        <v>230</v>
      </c>
      <c r="K764" s="283">
        <f t="shared" si="18"/>
        <v>0</v>
      </c>
    </row>
    <row r="765" spans="1:11" ht="14.25">
      <c r="A765" s="260" t="s">
        <v>434</v>
      </c>
      <c r="B765" s="496"/>
      <c r="C765" s="209" t="s">
        <v>5</v>
      </c>
      <c r="D765" s="210" t="s">
        <v>334</v>
      </c>
      <c r="E765" s="210" t="s">
        <v>432</v>
      </c>
      <c r="F765" s="211" t="s">
        <v>152</v>
      </c>
      <c r="G765" s="134">
        <v>0.7</v>
      </c>
      <c r="H765" s="126">
        <v>0.7</v>
      </c>
      <c r="I765" s="361">
        <f t="shared" si="19"/>
        <v>100</v>
      </c>
      <c r="J765" s="14">
        <f>SUM('ведомствен.2015'!G588)</f>
        <v>0.7</v>
      </c>
      <c r="K765" s="283">
        <f t="shared" si="18"/>
        <v>0</v>
      </c>
    </row>
    <row r="766" spans="1:11" s="14" customFormat="1" ht="28.5">
      <c r="A766" s="265" t="s">
        <v>422</v>
      </c>
      <c r="B766" s="258"/>
      <c r="C766" s="209" t="s">
        <v>5</v>
      </c>
      <c r="D766" s="210" t="s">
        <v>334</v>
      </c>
      <c r="E766" s="210" t="s">
        <v>435</v>
      </c>
      <c r="F766" s="211"/>
      <c r="G766" s="134">
        <f>SUM(G767)+G768</f>
        <v>1377.8999999999999</v>
      </c>
      <c r="H766" s="127">
        <f>SUM(H767)+H768</f>
        <v>746.1</v>
      </c>
      <c r="I766" s="361">
        <f t="shared" si="19"/>
        <v>54.14761593729589</v>
      </c>
      <c r="K766" s="283">
        <f t="shared" si="18"/>
        <v>1377.8999999999999</v>
      </c>
    </row>
    <row r="767" spans="1:11" s="14" customFormat="1" ht="28.5">
      <c r="A767" s="260" t="s">
        <v>675</v>
      </c>
      <c r="B767" s="244"/>
      <c r="C767" s="209" t="s">
        <v>5</v>
      </c>
      <c r="D767" s="210" t="s">
        <v>334</v>
      </c>
      <c r="E767" s="210" t="s">
        <v>435</v>
      </c>
      <c r="F767" s="211" t="s">
        <v>107</v>
      </c>
      <c r="G767" s="134">
        <v>1356.3</v>
      </c>
      <c r="H767" s="127">
        <v>724.5</v>
      </c>
      <c r="I767" s="361">
        <f t="shared" si="19"/>
        <v>53.41738553417385</v>
      </c>
      <c r="J767" s="14">
        <f>SUM('ведомствен.2015'!G590)</f>
        <v>1356.3</v>
      </c>
      <c r="K767" s="283">
        <f t="shared" si="18"/>
        <v>0</v>
      </c>
    </row>
    <row r="768" spans="1:11" s="14" customFormat="1" ht="14.25">
      <c r="A768" s="260" t="s">
        <v>434</v>
      </c>
      <c r="B768" s="496"/>
      <c r="C768" s="209" t="s">
        <v>5</v>
      </c>
      <c r="D768" s="210" t="s">
        <v>334</v>
      </c>
      <c r="E768" s="210" t="s">
        <v>435</v>
      </c>
      <c r="F768" s="211" t="s">
        <v>152</v>
      </c>
      <c r="G768" s="134">
        <v>21.6</v>
      </c>
      <c r="H768" s="126">
        <v>21.6</v>
      </c>
      <c r="I768" s="361">
        <f t="shared" si="19"/>
        <v>100</v>
      </c>
      <c r="J768" s="14">
        <f>SUM('ведомствен.2015'!G591)</f>
        <v>21.6</v>
      </c>
      <c r="K768" s="283">
        <f t="shared" si="18"/>
        <v>0</v>
      </c>
    </row>
    <row r="769" spans="1:11" s="14" customFormat="1" ht="28.5">
      <c r="A769" s="265" t="s">
        <v>436</v>
      </c>
      <c r="B769" s="258"/>
      <c r="C769" s="209" t="s">
        <v>5</v>
      </c>
      <c r="D769" s="210" t="s">
        <v>334</v>
      </c>
      <c r="E769" s="210" t="s">
        <v>437</v>
      </c>
      <c r="F769" s="211"/>
      <c r="G769" s="134">
        <f>G770+G771</f>
        <v>1016.5</v>
      </c>
      <c r="H769" s="127">
        <f>H770+H771</f>
        <v>476.5</v>
      </c>
      <c r="I769" s="361">
        <f t="shared" si="19"/>
        <v>46.876537137235616</v>
      </c>
      <c r="K769" s="283">
        <f t="shared" si="18"/>
        <v>1016.5</v>
      </c>
    </row>
    <row r="770" spans="1:11" s="14" customFormat="1" ht="42.75" hidden="1">
      <c r="A770" s="265" t="s">
        <v>515</v>
      </c>
      <c r="B770" s="244"/>
      <c r="C770" s="209" t="s">
        <v>5</v>
      </c>
      <c r="D770" s="210" t="s">
        <v>334</v>
      </c>
      <c r="E770" s="210" t="s">
        <v>437</v>
      </c>
      <c r="F770" s="211" t="s">
        <v>429</v>
      </c>
      <c r="G770" s="134"/>
      <c r="H770" s="127"/>
      <c r="I770" s="361" t="e">
        <f t="shared" si="19"/>
        <v>#DIV/0!</v>
      </c>
      <c r="J770" s="14">
        <f>SUM('ведомствен.2015'!G593)</f>
        <v>0</v>
      </c>
      <c r="K770" s="283">
        <f t="shared" si="18"/>
        <v>0</v>
      </c>
    </row>
    <row r="771" spans="1:11" s="14" customFormat="1" ht="31.5" customHeight="1">
      <c r="A771" s="260" t="s">
        <v>675</v>
      </c>
      <c r="B771" s="244"/>
      <c r="C771" s="209" t="s">
        <v>5</v>
      </c>
      <c r="D771" s="210" t="s">
        <v>334</v>
      </c>
      <c r="E771" s="210" t="s">
        <v>437</v>
      </c>
      <c r="F771" s="211" t="s">
        <v>107</v>
      </c>
      <c r="G771" s="134">
        <v>1016.5</v>
      </c>
      <c r="H771" s="127">
        <v>476.5</v>
      </c>
      <c r="I771" s="361">
        <f t="shared" si="19"/>
        <v>46.876537137235616</v>
      </c>
      <c r="J771" s="14">
        <f>SUM('ведомствен.2015'!G594)</f>
        <v>1016.5</v>
      </c>
      <c r="K771" s="283">
        <f t="shared" si="18"/>
        <v>0</v>
      </c>
    </row>
    <row r="772" spans="1:11" s="14" customFormat="1" ht="30.75" customHeight="1">
      <c r="A772" s="272" t="s">
        <v>573</v>
      </c>
      <c r="B772" s="254"/>
      <c r="C772" s="225" t="s">
        <v>5</v>
      </c>
      <c r="D772" s="226" t="s">
        <v>334</v>
      </c>
      <c r="E772" s="226" t="s">
        <v>574</v>
      </c>
      <c r="F772" s="211"/>
      <c r="G772" s="236">
        <f>G773</f>
        <v>5521.8</v>
      </c>
      <c r="H772" s="372">
        <f>H773</f>
        <v>4055.4</v>
      </c>
      <c r="I772" s="361">
        <f t="shared" si="19"/>
        <v>73.44344235575356</v>
      </c>
      <c r="K772" s="283">
        <f t="shared" si="18"/>
        <v>5521.8</v>
      </c>
    </row>
    <row r="773" spans="1:11" s="14" customFormat="1" ht="103.5" customHeight="1">
      <c r="A773" s="272" t="s">
        <v>594</v>
      </c>
      <c r="B773" s="254"/>
      <c r="C773" s="225" t="s">
        <v>5</v>
      </c>
      <c r="D773" s="226" t="s">
        <v>334</v>
      </c>
      <c r="E773" s="226" t="s">
        <v>595</v>
      </c>
      <c r="F773" s="211"/>
      <c r="G773" s="236">
        <f>G774</f>
        <v>5521.8</v>
      </c>
      <c r="H773" s="372">
        <f>H774</f>
        <v>4055.4</v>
      </c>
      <c r="I773" s="361">
        <f t="shared" si="19"/>
        <v>73.44344235575356</v>
      </c>
      <c r="K773" s="283">
        <f t="shared" si="18"/>
        <v>5521.8</v>
      </c>
    </row>
    <row r="774" spans="1:11" s="14" customFormat="1" ht="42.75" customHeight="1">
      <c r="A774" s="276" t="s">
        <v>147</v>
      </c>
      <c r="B774" s="254"/>
      <c r="C774" s="225" t="s">
        <v>5</v>
      </c>
      <c r="D774" s="226" t="s">
        <v>334</v>
      </c>
      <c r="E774" s="226" t="s">
        <v>606</v>
      </c>
      <c r="F774" s="211"/>
      <c r="G774" s="236">
        <f>G775+G776</f>
        <v>5521.8</v>
      </c>
      <c r="H774" s="372">
        <f>H775+H776</f>
        <v>4055.4</v>
      </c>
      <c r="I774" s="361">
        <f t="shared" si="19"/>
        <v>73.44344235575356</v>
      </c>
      <c r="K774" s="283">
        <f t="shared" si="18"/>
        <v>5521.8</v>
      </c>
    </row>
    <row r="775" spans="1:11" s="14" customFormat="1" ht="53.25" customHeight="1">
      <c r="A775" s="272" t="s">
        <v>515</v>
      </c>
      <c r="B775" s="254"/>
      <c r="C775" s="225" t="s">
        <v>5</v>
      </c>
      <c r="D775" s="226" t="s">
        <v>334</v>
      </c>
      <c r="E775" s="226" t="s">
        <v>606</v>
      </c>
      <c r="F775" s="211" t="s">
        <v>429</v>
      </c>
      <c r="G775" s="236">
        <v>4948.6</v>
      </c>
      <c r="H775" s="372">
        <v>3672.6</v>
      </c>
      <c r="I775" s="361">
        <f t="shared" si="19"/>
        <v>74.21492947500302</v>
      </c>
      <c r="J775" s="14">
        <f>SUM('ведомствен.2015'!G598)</f>
        <v>4948.6</v>
      </c>
      <c r="K775" s="283">
        <f t="shared" si="18"/>
        <v>0</v>
      </c>
    </row>
    <row r="776" spans="1:11" s="14" customFormat="1" ht="36" customHeight="1">
      <c r="A776" s="260" t="s">
        <v>675</v>
      </c>
      <c r="B776" s="254"/>
      <c r="C776" s="225" t="s">
        <v>5</v>
      </c>
      <c r="D776" s="226" t="s">
        <v>334</v>
      </c>
      <c r="E776" s="226" t="s">
        <v>606</v>
      </c>
      <c r="F776" s="211" t="s">
        <v>107</v>
      </c>
      <c r="G776" s="236">
        <v>573.2</v>
      </c>
      <c r="H776" s="372">
        <v>382.8</v>
      </c>
      <c r="I776" s="361">
        <f t="shared" si="19"/>
        <v>66.78297278436845</v>
      </c>
      <c r="J776" s="14">
        <f>SUM('ведомствен.2015'!G599)</f>
        <v>573.2</v>
      </c>
      <c r="K776" s="283">
        <f t="shared" si="18"/>
        <v>0</v>
      </c>
    </row>
    <row r="777" spans="1:11" s="14" customFormat="1" ht="22.5" customHeight="1" hidden="1">
      <c r="A777" s="261" t="s">
        <v>561</v>
      </c>
      <c r="B777" s="498"/>
      <c r="C777" s="225" t="s">
        <v>5</v>
      </c>
      <c r="D777" s="226" t="s">
        <v>334</v>
      </c>
      <c r="E777" s="55" t="s">
        <v>444</v>
      </c>
      <c r="F777" s="94"/>
      <c r="G777" s="129">
        <f>SUM(G778)</f>
        <v>0</v>
      </c>
      <c r="H777" s="118">
        <f>SUM(H778)</f>
        <v>0</v>
      </c>
      <c r="I777" s="361" t="e">
        <f t="shared" si="19"/>
        <v>#DIV/0!</v>
      </c>
      <c r="K777" s="283">
        <f t="shared" si="18"/>
        <v>0</v>
      </c>
    </row>
    <row r="778" spans="1:11" s="14" customFormat="1" ht="22.5" customHeight="1" hidden="1">
      <c r="A778" s="260" t="s">
        <v>434</v>
      </c>
      <c r="B778" s="498"/>
      <c r="C778" s="225" t="s">
        <v>5</v>
      </c>
      <c r="D778" s="226" t="s">
        <v>334</v>
      </c>
      <c r="E778" s="55" t="s">
        <v>444</v>
      </c>
      <c r="F778" s="94" t="s">
        <v>152</v>
      </c>
      <c r="G778" s="129"/>
      <c r="H778" s="118"/>
      <c r="I778" s="361" t="e">
        <f t="shared" si="19"/>
        <v>#DIV/0!</v>
      </c>
      <c r="J778" s="14">
        <f>SUM('ведомствен.2015'!G398)</f>
        <v>0</v>
      </c>
      <c r="K778" s="283">
        <f t="shared" si="18"/>
        <v>0</v>
      </c>
    </row>
    <row r="779" spans="1:11" s="14" customFormat="1" ht="28.5" hidden="1">
      <c r="A779" s="261" t="s">
        <v>532</v>
      </c>
      <c r="B779" s="240"/>
      <c r="C779" s="45" t="s">
        <v>5</v>
      </c>
      <c r="D779" s="55" t="s">
        <v>334</v>
      </c>
      <c r="E779" s="55" t="s">
        <v>531</v>
      </c>
      <c r="F779" s="94"/>
      <c r="G779" s="129">
        <f>SUM(G780)</f>
        <v>0</v>
      </c>
      <c r="H779" s="118">
        <f>SUM(H780)</f>
        <v>0</v>
      </c>
      <c r="I779" s="361" t="e">
        <f t="shared" si="19"/>
        <v>#DIV/0!</v>
      </c>
      <c r="K779" s="283">
        <f t="shared" si="18"/>
        <v>0</v>
      </c>
    </row>
    <row r="780" spans="1:11" s="14" customFormat="1" ht="14.25" hidden="1">
      <c r="A780" s="260" t="s">
        <v>434</v>
      </c>
      <c r="B780" s="240"/>
      <c r="C780" s="45" t="s">
        <v>5</v>
      </c>
      <c r="D780" s="55" t="s">
        <v>334</v>
      </c>
      <c r="E780" s="55" t="s">
        <v>531</v>
      </c>
      <c r="F780" s="94" t="s">
        <v>152</v>
      </c>
      <c r="G780" s="129"/>
      <c r="H780" s="118"/>
      <c r="I780" s="361" t="e">
        <f t="shared" si="19"/>
        <v>#DIV/0!</v>
      </c>
      <c r="J780" s="14">
        <f>SUM('ведомствен.2015'!G400)</f>
        <v>0</v>
      </c>
      <c r="K780" s="283">
        <f t="shared" si="18"/>
        <v>0</v>
      </c>
    </row>
    <row r="781" spans="1:11" s="14" customFormat="1" ht="14.25">
      <c r="A781" s="265" t="s">
        <v>512</v>
      </c>
      <c r="B781" s="244"/>
      <c r="C781" s="209" t="s">
        <v>5</v>
      </c>
      <c r="D781" s="210" t="s">
        <v>334</v>
      </c>
      <c r="E781" s="210" t="s">
        <v>116</v>
      </c>
      <c r="F781" s="211"/>
      <c r="G781" s="134">
        <f>G782</f>
        <v>75</v>
      </c>
      <c r="H781" s="127">
        <f>H782</f>
        <v>59.2</v>
      </c>
      <c r="I781" s="361">
        <f t="shared" si="19"/>
        <v>78.93333333333334</v>
      </c>
      <c r="K781" s="283">
        <f t="shared" si="18"/>
        <v>75</v>
      </c>
    </row>
    <row r="782" spans="1:11" ht="57">
      <c r="A782" s="265" t="s">
        <v>517</v>
      </c>
      <c r="B782" s="244"/>
      <c r="C782" s="209" t="s">
        <v>5</v>
      </c>
      <c r="D782" s="210" t="s">
        <v>334</v>
      </c>
      <c r="E782" s="210" t="s">
        <v>311</v>
      </c>
      <c r="F782" s="211"/>
      <c r="G782" s="134">
        <f>G783</f>
        <v>75</v>
      </c>
      <c r="H782" s="127">
        <f>H783</f>
        <v>59.2</v>
      </c>
      <c r="I782" s="361">
        <f t="shared" si="19"/>
        <v>78.93333333333334</v>
      </c>
      <c r="J782"/>
      <c r="K782" s="283">
        <f t="shared" si="18"/>
        <v>75</v>
      </c>
    </row>
    <row r="783" spans="1:11" ht="28.5">
      <c r="A783" s="265" t="s">
        <v>510</v>
      </c>
      <c r="B783" s="244"/>
      <c r="C783" s="209" t="s">
        <v>5</v>
      </c>
      <c r="D783" s="210" t="s">
        <v>334</v>
      </c>
      <c r="E783" s="210" t="s">
        <v>311</v>
      </c>
      <c r="F783" s="211" t="s">
        <v>445</v>
      </c>
      <c r="G783" s="134">
        <v>75</v>
      </c>
      <c r="H783" s="127">
        <v>59.2</v>
      </c>
      <c r="I783" s="361">
        <f t="shared" si="19"/>
        <v>78.93333333333334</v>
      </c>
      <c r="J783" s="14">
        <f>SUM('ведомствен.2015'!G602)</f>
        <v>75</v>
      </c>
      <c r="K783" s="283">
        <f t="shared" si="18"/>
        <v>0</v>
      </c>
    </row>
    <row r="784" spans="1:12" s="20" customFormat="1" ht="15">
      <c r="A784" s="263" t="s">
        <v>210</v>
      </c>
      <c r="B784" s="243"/>
      <c r="C784" s="100" t="s">
        <v>360</v>
      </c>
      <c r="D784" s="91"/>
      <c r="E784" s="91"/>
      <c r="F784" s="98"/>
      <c r="G784" s="233">
        <f>SUM(G785+G800+G814+G819)</f>
        <v>12872.800000000001</v>
      </c>
      <c r="H784" s="368">
        <f>SUM(H785+H800+H814+H819)</f>
        <v>9746.7</v>
      </c>
      <c r="I784" s="362">
        <f t="shared" si="19"/>
        <v>75.71546205953639</v>
      </c>
      <c r="J784" s="21"/>
      <c r="K784" s="25">
        <f>SUM(J785:J822)</f>
        <v>12872.8</v>
      </c>
      <c r="L784" s="20">
        <f>SUM('ведомствен.2015'!G617+'ведомствен.2015'!G355)</f>
        <v>12872.800000000001</v>
      </c>
    </row>
    <row r="785" spans="1:11" s="20" customFormat="1" ht="14.25">
      <c r="A785" s="260" t="s">
        <v>205</v>
      </c>
      <c r="B785" s="240"/>
      <c r="C785" s="45" t="s">
        <v>360</v>
      </c>
      <c r="D785" s="55" t="s">
        <v>398</v>
      </c>
      <c r="E785" s="55"/>
      <c r="F785" s="94"/>
      <c r="G785" s="129">
        <f>SUM(G786+G792)</f>
        <v>7267.8</v>
      </c>
      <c r="H785" s="118">
        <f>SUM(H786+H792)</f>
        <v>4615.3</v>
      </c>
      <c r="I785" s="361">
        <f t="shared" si="19"/>
        <v>63.50339855251933</v>
      </c>
      <c r="J785" s="21"/>
      <c r="K785" s="25">
        <f>SUM(K784-G784)</f>
        <v>-1.8189894035458565E-12</v>
      </c>
    </row>
    <row r="786" spans="1:10" s="20" customFormat="1" ht="28.5">
      <c r="A786" s="260" t="s">
        <v>424</v>
      </c>
      <c r="B786" s="240"/>
      <c r="C786" s="45" t="s">
        <v>360</v>
      </c>
      <c r="D786" s="55" t="s">
        <v>398</v>
      </c>
      <c r="E786" s="55" t="s">
        <v>425</v>
      </c>
      <c r="F786" s="95"/>
      <c r="G786" s="129">
        <f>SUM(G787)</f>
        <v>3935</v>
      </c>
      <c r="H786" s="118">
        <f>SUM(H787)</f>
        <v>2617.6</v>
      </c>
      <c r="I786" s="361">
        <f t="shared" si="19"/>
        <v>66.52096569250318</v>
      </c>
      <c r="J786" s="21"/>
    </row>
    <row r="787" spans="1:10" s="20" customFormat="1" ht="28.5">
      <c r="A787" s="260" t="s">
        <v>50</v>
      </c>
      <c r="B787" s="240"/>
      <c r="C787" s="45" t="s">
        <v>360</v>
      </c>
      <c r="D787" s="55" t="s">
        <v>398</v>
      </c>
      <c r="E787" s="55" t="s">
        <v>426</v>
      </c>
      <c r="F787" s="95"/>
      <c r="G787" s="129">
        <f>SUM(G788)</f>
        <v>3935</v>
      </c>
      <c r="H787" s="118">
        <f>SUM(H788)</f>
        <v>2617.6</v>
      </c>
      <c r="I787" s="361">
        <f t="shared" si="19"/>
        <v>66.52096569250318</v>
      </c>
      <c r="J787" s="21"/>
    </row>
    <row r="788" spans="1:10" ht="42.75">
      <c r="A788" s="260" t="s">
        <v>670</v>
      </c>
      <c r="B788" s="240"/>
      <c r="C788" s="45" t="s">
        <v>360</v>
      </c>
      <c r="D788" s="55" t="s">
        <v>398</v>
      </c>
      <c r="E788" s="55" t="s">
        <v>498</v>
      </c>
      <c r="F788" s="95"/>
      <c r="G788" s="129">
        <f>SUM(G789:G791)</f>
        <v>3935</v>
      </c>
      <c r="H788" s="118">
        <f>SUM(H789:H791)</f>
        <v>2617.6</v>
      </c>
      <c r="I788" s="361">
        <f t="shared" si="19"/>
        <v>66.52096569250318</v>
      </c>
      <c r="J788"/>
    </row>
    <row r="789" spans="1:10" ht="28.5">
      <c r="A789" s="260" t="s">
        <v>428</v>
      </c>
      <c r="B789" s="240"/>
      <c r="C789" s="45" t="s">
        <v>360</v>
      </c>
      <c r="D789" s="55" t="s">
        <v>398</v>
      </c>
      <c r="E789" s="55" t="s">
        <v>498</v>
      </c>
      <c r="F789" s="94" t="s">
        <v>429</v>
      </c>
      <c r="G789" s="129">
        <v>3309.6</v>
      </c>
      <c r="H789" s="118">
        <v>2266.7</v>
      </c>
      <c r="I789" s="361">
        <f t="shared" si="19"/>
        <v>68.48863911046652</v>
      </c>
      <c r="J789">
        <f>SUM('ведомствен.2015'!G624)</f>
        <v>3309.6</v>
      </c>
    </row>
    <row r="790" spans="1:10" ht="28.5">
      <c r="A790" s="260" t="s">
        <v>675</v>
      </c>
      <c r="B790" s="240"/>
      <c r="C790" s="45" t="s">
        <v>360</v>
      </c>
      <c r="D790" s="55" t="s">
        <v>398</v>
      </c>
      <c r="E790" s="55" t="s">
        <v>498</v>
      </c>
      <c r="F790" s="94" t="s">
        <v>107</v>
      </c>
      <c r="G790" s="130">
        <v>619.4</v>
      </c>
      <c r="H790" s="366">
        <v>350.9</v>
      </c>
      <c r="I790" s="361">
        <f t="shared" si="19"/>
        <v>56.65159832095576</v>
      </c>
      <c r="J790">
        <f>SUM('ведомствен.2015'!G625)</f>
        <v>619.4</v>
      </c>
    </row>
    <row r="791" spans="1:10" ht="14.25">
      <c r="A791" s="260" t="s">
        <v>434</v>
      </c>
      <c r="B791" s="240"/>
      <c r="C791" s="45" t="s">
        <v>360</v>
      </c>
      <c r="D791" s="55" t="s">
        <v>398</v>
      </c>
      <c r="E791" s="55" t="s">
        <v>498</v>
      </c>
      <c r="F791" s="95" t="s">
        <v>152</v>
      </c>
      <c r="G791" s="129">
        <v>6</v>
      </c>
      <c r="H791" s="118"/>
      <c r="I791" s="361">
        <f t="shared" si="19"/>
        <v>0</v>
      </c>
      <c r="J791">
        <f>SUM('ведомствен.2015'!G626)</f>
        <v>6</v>
      </c>
    </row>
    <row r="792" spans="1:10" ht="14.25">
      <c r="A792" s="265" t="s">
        <v>512</v>
      </c>
      <c r="B792" s="240"/>
      <c r="C792" s="45" t="s">
        <v>360</v>
      </c>
      <c r="D792" s="55" t="s">
        <v>398</v>
      </c>
      <c r="E792" s="92" t="s">
        <v>116</v>
      </c>
      <c r="F792" s="94"/>
      <c r="G792" s="129">
        <f>SUM(G793)</f>
        <v>3332.8</v>
      </c>
      <c r="H792" s="118">
        <f>SUM(H793)</f>
        <v>1997.7</v>
      </c>
      <c r="I792" s="361">
        <f t="shared" si="19"/>
        <v>59.94059049447912</v>
      </c>
      <c r="J792"/>
    </row>
    <row r="793" spans="1:10" ht="28.5">
      <c r="A793" s="260" t="s">
        <v>719</v>
      </c>
      <c r="B793" s="240"/>
      <c r="C793" s="45" t="s">
        <v>360</v>
      </c>
      <c r="D793" s="55" t="s">
        <v>398</v>
      </c>
      <c r="E793" s="92" t="s">
        <v>87</v>
      </c>
      <c r="F793" s="94"/>
      <c r="G793" s="129">
        <f>SUM(G794:G797)</f>
        <v>3332.8</v>
      </c>
      <c r="H793" s="118">
        <f>SUM(H794:H797)</f>
        <v>1997.7</v>
      </c>
      <c r="I793" s="361">
        <f t="shared" si="19"/>
        <v>59.94059049447912</v>
      </c>
      <c r="J793"/>
    </row>
    <row r="794" spans="1:10" ht="28.5">
      <c r="A794" s="260" t="s">
        <v>428</v>
      </c>
      <c r="B794" s="240"/>
      <c r="C794" s="45" t="s">
        <v>360</v>
      </c>
      <c r="D794" s="55" t="s">
        <v>398</v>
      </c>
      <c r="E794" s="92" t="s">
        <v>87</v>
      </c>
      <c r="F794" s="94" t="s">
        <v>429</v>
      </c>
      <c r="G794" s="129">
        <v>489</v>
      </c>
      <c r="H794" s="118">
        <v>340.8</v>
      </c>
      <c r="I794" s="361">
        <f t="shared" si="19"/>
        <v>69.69325153374233</v>
      </c>
      <c r="J794">
        <f>SUM('ведомствен.2015'!G629)</f>
        <v>489</v>
      </c>
    </row>
    <row r="795" spans="1:10" ht="27" customHeight="1">
      <c r="A795" s="260" t="s">
        <v>675</v>
      </c>
      <c r="B795" s="240"/>
      <c r="C795" s="45" t="s">
        <v>360</v>
      </c>
      <c r="D795" s="55" t="s">
        <v>398</v>
      </c>
      <c r="E795" s="92" t="s">
        <v>87</v>
      </c>
      <c r="F795" s="94" t="s">
        <v>107</v>
      </c>
      <c r="G795" s="129">
        <v>1417.4</v>
      </c>
      <c r="H795" s="118">
        <v>949.7</v>
      </c>
      <c r="I795" s="361">
        <f t="shared" si="19"/>
        <v>67.00296317200508</v>
      </c>
      <c r="J795">
        <f>SUM('ведомствен.2015'!G630)</f>
        <v>1417.4</v>
      </c>
    </row>
    <row r="796" spans="1:10" ht="28.5" hidden="1">
      <c r="A796" s="116" t="s">
        <v>494</v>
      </c>
      <c r="B796" s="240"/>
      <c r="C796" s="45" t="s">
        <v>360</v>
      </c>
      <c r="D796" s="55" t="s">
        <v>398</v>
      </c>
      <c r="E796" s="92" t="s">
        <v>87</v>
      </c>
      <c r="F796" s="94" t="s">
        <v>489</v>
      </c>
      <c r="G796" s="129"/>
      <c r="H796" s="118">
        <v>391.7</v>
      </c>
      <c r="I796" s="361"/>
      <c r="J796"/>
    </row>
    <row r="797" spans="1:10" ht="27" customHeight="1">
      <c r="A797" s="265" t="s">
        <v>447</v>
      </c>
      <c r="B797" s="240"/>
      <c r="C797" s="45" t="s">
        <v>360</v>
      </c>
      <c r="D797" s="55" t="s">
        <v>398</v>
      </c>
      <c r="E797" s="92" t="s">
        <v>87</v>
      </c>
      <c r="F797" s="94" t="s">
        <v>445</v>
      </c>
      <c r="G797" s="129">
        <v>1426.4</v>
      </c>
      <c r="H797" s="118">
        <v>315.5</v>
      </c>
      <c r="I797" s="361">
        <f t="shared" si="19"/>
        <v>22.118620302860347</v>
      </c>
      <c r="J797">
        <f>SUM('ведомствен.2015'!G631)</f>
        <v>1426.4</v>
      </c>
    </row>
    <row r="798" spans="1:9" s="20" customFormat="1" ht="42.75" hidden="1">
      <c r="A798" s="260" t="s">
        <v>135</v>
      </c>
      <c r="B798" s="240"/>
      <c r="C798" s="45" t="s">
        <v>360</v>
      </c>
      <c r="D798" s="55" t="s">
        <v>398</v>
      </c>
      <c r="E798" s="92" t="s">
        <v>353</v>
      </c>
      <c r="F798" s="94"/>
      <c r="G798" s="129">
        <f>SUM(G799)</f>
        <v>0</v>
      </c>
      <c r="H798" s="118">
        <f>SUM(H799)</f>
        <v>0</v>
      </c>
      <c r="I798" s="361" t="e">
        <f t="shared" si="19"/>
        <v>#DIV/0!</v>
      </c>
    </row>
    <row r="799" spans="1:9" s="20" customFormat="1" ht="14.25" hidden="1">
      <c r="A799" s="265" t="s">
        <v>127</v>
      </c>
      <c r="B799" s="240"/>
      <c r="C799" s="45" t="s">
        <v>360</v>
      </c>
      <c r="D799" s="55" t="s">
        <v>398</v>
      </c>
      <c r="E799" s="92" t="s">
        <v>353</v>
      </c>
      <c r="F799" s="94" t="s">
        <v>77</v>
      </c>
      <c r="G799" s="129"/>
      <c r="H799" s="118"/>
      <c r="I799" s="361" t="e">
        <f t="shared" si="19"/>
        <v>#DIV/0!</v>
      </c>
    </row>
    <row r="800" spans="1:9" s="20" customFormat="1" ht="14.25">
      <c r="A800" s="260" t="s">
        <v>138</v>
      </c>
      <c r="B800" s="498"/>
      <c r="C800" s="45" t="s">
        <v>360</v>
      </c>
      <c r="D800" s="55" t="s">
        <v>400</v>
      </c>
      <c r="E800" s="89"/>
      <c r="F800" s="95"/>
      <c r="G800" s="129">
        <f>SUM(G801)+G804</f>
        <v>4658.9</v>
      </c>
      <c r="H800" s="118">
        <f>SUM(H801)+H804</f>
        <v>4658.9</v>
      </c>
      <c r="I800" s="361" t="s">
        <v>1122</v>
      </c>
    </row>
    <row r="801" spans="1:10" s="20" customFormat="1" ht="14.25">
      <c r="A801" s="260" t="s">
        <v>1070</v>
      </c>
      <c r="B801" s="498"/>
      <c r="C801" s="45" t="s">
        <v>360</v>
      </c>
      <c r="D801" s="55" t="s">
        <v>400</v>
      </c>
      <c r="E801" s="55" t="s">
        <v>1071</v>
      </c>
      <c r="F801" s="95"/>
      <c r="G801" s="129">
        <f>SUM(G802)</f>
        <v>664.9</v>
      </c>
      <c r="H801" s="118">
        <f>SUM(H802)</f>
        <v>664.9</v>
      </c>
      <c r="I801" s="361">
        <f t="shared" si="19"/>
        <v>100</v>
      </c>
      <c r="J801"/>
    </row>
    <row r="802" spans="1:9" s="20" customFormat="1" ht="42.75">
      <c r="A802" s="260" t="s">
        <v>1072</v>
      </c>
      <c r="B802" s="498"/>
      <c r="C802" s="45" t="s">
        <v>360</v>
      </c>
      <c r="D802" s="55" t="s">
        <v>400</v>
      </c>
      <c r="E802" s="55" t="s">
        <v>1073</v>
      </c>
      <c r="F802" s="95"/>
      <c r="G802" s="129">
        <f>SUM(G803)</f>
        <v>664.9</v>
      </c>
      <c r="H802" s="118">
        <f>SUM(H803)</f>
        <v>664.9</v>
      </c>
      <c r="I802" s="361">
        <f t="shared" si="19"/>
        <v>100</v>
      </c>
    </row>
    <row r="803" spans="1:10" s="20" customFormat="1" ht="28.5">
      <c r="A803" s="265" t="s">
        <v>454</v>
      </c>
      <c r="B803" s="498"/>
      <c r="C803" s="45" t="s">
        <v>360</v>
      </c>
      <c r="D803" s="55" t="s">
        <v>400</v>
      </c>
      <c r="E803" s="55" t="s">
        <v>1073</v>
      </c>
      <c r="F803" s="94" t="s">
        <v>445</v>
      </c>
      <c r="G803" s="129">
        <v>664.9</v>
      </c>
      <c r="H803" s="118">
        <v>664.9</v>
      </c>
      <c r="I803" s="361">
        <f t="shared" si="19"/>
        <v>100</v>
      </c>
      <c r="J803">
        <f>SUM('ведомствен.2015'!G637)</f>
        <v>664.9</v>
      </c>
    </row>
    <row r="804" spans="1:10" ht="42.75">
      <c r="A804" s="265" t="s">
        <v>1074</v>
      </c>
      <c r="B804" s="498"/>
      <c r="C804" s="45" t="s">
        <v>360</v>
      </c>
      <c r="D804" s="55" t="s">
        <v>400</v>
      </c>
      <c r="E804" s="55" t="s">
        <v>1077</v>
      </c>
      <c r="F804" s="94"/>
      <c r="G804" s="129">
        <f>SUM(G805)+G808+G811</f>
        <v>3994</v>
      </c>
      <c r="H804" s="118">
        <f>SUM(H805)+H808+H811</f>
        <v>3994</v>
      </c>
      <c r="I804" s="361">
        <f t="shared" si="19"/>
        <v>100</v>
      </c>
      <c r="J804"/>
    </row>
    <row r="805" spans="1:10" ht="28.5">
      <c r="A805" s="265" t="s">
        <v>1075</v>
      </c>
      <c r="B805" s="498"/>
      <c r="C805" s="45" t="s">
        <v>360</v>
      </c>
      <c r="D805" s="55" t="s">
        <v>400</v>
      </c>
      <c r="E805" s="55" t="s">
        <v>1078</v>
      </c>
      <c r="F805" s="94"/>
      <c r="G805" s="129">
        <f>SUM(G806)</f>
        <v>913.5</v>
      </c>
      <c r="H805" s="118">
        <f>SUM(H806)</f>
        <v>913.5</v>
      </c>
      <c r="I805" s="361" t="s">
        <v>1123</v>
      </c>
      <c r="J805"/>
    </row>
    <row r="806" spans="1:10" ht="71.25">
      <c r="A806" s="265" t="s">
        <v>1076</v>
      </c>
      <c r="B806" s="498"/>
      <c r="C806" s="45" t="s">
        <v>360</v>
      </c>
      <c r="D806" s="55" t="s">
        <v>400</v>
      </c>
      <c r="E806" s="55" t="s">
        <v>1079</v>
      </c>
      <c r="F806" s="94"/>
      <c r="G806" s="129">
        <f>SUM(G807)</f>
        <v>913.5</v>
      </c>
      <c r="H806" s="118">
        <f>SUM(H807)</f>
        <v>913.5</v>
      </c>
      <c r="I806" s="361" t="s">
        <v>1123</v>
      </c>
      <c r="J806"/>
    </row>
    <row r="807" spans="1:10" ht="28.5">
      <c r="A807" s="265" t="s">
        <v>454</v>
      </c>
      <c r="B807" s="498"/>
      <c r="C807" s="45" t="s">
        <v>360</v>
      </c>
      <c r="D807" s="55" t="s">
        <v>400</v>
      </c>
      <c r="E807" s="55" t="s">
        <v>1079</v>
      </c>
      <c r="F807" s="94" t="s">
        <v>445</v>
      </c>
      <c r="G807" s="129">
        <v>913.5</v>
      </c>
      <c r="H807" s="118">
        <v>913.5</v>
      </c>
      <c r="I807" s="361" t="s">
        <v>1123</v>
      </c>
      <c r="J807">
        <f>SUM('ведомствен.2015'!G641)</f>
        <v>913.5</v>
      </c>
    </row>
    <row r="808" spans="1:10" ht="28.5">
      <c r="A808" s="265" t="s">
        <v>1080</v>
      </c>
      <c r="B808" s="498"/>
      <c r="C808" s="45" t="s">
        <v>360</v>
      </c>
      <c r="D808" s="55" t="s">
        <v>400</v>
      </c>
      <c r="E808" s="55" t="s">
        <v>1082</v>
      </c>
      <c r="F808" s="94"/>
      <c r="G808" s="129">
        <f>SUM(G809)</f>
        <v>230.5</v>
      </c>
      <c r="H808" s="118">
        <f>SUM(H809)</f>
        <v>230.5</v>
      </c>
      <c r="I808" s="361" t="s">
        <v>1124</v>
      </c>
      <c r="J808"/>
    </row>
    <row r="809" spans="1:9" s="20" customFormat="1" ht="71.25">
      <c r="A809" s="265" t="s">
        <v>1081</v>
      </c>
      <c r="B809" s="498"/>
      <c r="C809" s="45" t="s">
        <v>360</v>
      </c>
      <c r="D809" s="55" t="s">
        <v>400</v>
      </c>
      <c r="E809" s="55" t="s">
        <v>1083</v>
      </c>
      <c r="F809" s="94"/>
      <c r="G809" s="129">
        <f>SUM(G810)</f>
        <v>230.5</v>
      </c>
      <c r="H809" s="118">
        <f>SUM(H810)</f>
        <v>230.5</v>
      </c>
      <c r="I809" s="361" t="s">
        <v>1124</v>
      </c>
    </row>
    <row r="810" spans="1:10" s="20" customFormat="1" ht="28.5">
      <c r="A810" s="265" t="s">
        <v>454</v>
      </c>
      <c r="B810" s="498"/>
      <c r="C810" s="45" t="s">
        <v>360</v>
      </c>
      <c r="D810" s="55" t="s">
        <v>400</v>
      </c>
      <c r="E810" s="55" t="s">
        <v>1083</v>
      </c>
      <c r="F810" s="94" t="s">
        <v>445</v>
      </c>
      <c r="G810" s="129">
        <v>230.5</v>
      </c>
      <c r="H810" s="118">
        <v>230.5</v>
      </c>
      <c r="I810" s="361" t="s">
        <v>1124</v>
      </c>
      <c r="J810">
        <f>SUM('ведомствен.2015'!G644)</f>
        <v>230.5</v>
      </c>
    </row>
    <row r="811" spans="1:11" s="42" customFormat="1" ht="28.5">
      <c r="A811" s="265" t="s">
        <v>1084</v>
      </c>
      <c r="B811" s="498"/>
      <c r="C811" s="45" t="s">
        <v>360</v>
      </c>
      <c r="D811" s="55" t="s">
        <v>400</v>
      </c>
      <c r="E811" s="55" t="s">
        <v>1086</v>
      </c>
      <c r="F811" s="94"/>
      <c r="G811" s="129">
        <f>SUM(G812)</f>
        <v>2850</v>
      </c>
      <c r="H811" s="118">
        <f>SUM(H812)</f>
        <v>2850</v>
      </c>
      <c r="I811" s="361" t="s">
        <v>1123</v>
      </c>
      <c r="K811" s="49"/>
    </row>
    <row r="812" spans="1:9" s="20" customFormat="1" ht="71.25">
      <c r="A812" s="265" t="s">
        <v>1085</v>
      </c>
      <c r="B812" s="498"/>
      <c r="C812" s="45" t="s">
        <v>360</v>
      </c>
      <c r="D812" s="55" t="s">
        <v>400</v>
      </c>
      <c r="E812" s="55" t="s">
        <v>1087</v>
      </c>
      <c r="F812" s="94"/>
      <c r="G812" s="129">
        <f>SUM(G813)</f>
        <v>2850</v>
      </c>
      <c r="H812" s="118">
        <f>SUM(H813)</f>
        <v>2850</v>
      </c>
      <c r="I812" s="361" t="s">
        <v>1123</v>
      </c>
    </row>
    <row r="813" spans="1:10" s="20" customFormat="1" ht="28.5">
      <c r="A813" s="265" t="s">
        <v>454</v>
      </c>
      <c r="B813" s="498"/>
      <c r="C813" s="45" t="s">
        <v>360</v>
      </c>
      <c r="D813" s="55" t="s">
        <v>400</v>
      </c>
      <c r="E813" s="55" t="s">
        <v>1087</v>
      </c>
      <c r="F813" s="94" t="s">
        <v>445</v>
      </c>
      <c r="G813" s="129">
        <v>2850</v>
      </c>
      <c r="H813" s="118">
        <v>2850</v>
      </c>
      <c r="I813" s="361" t="s">
        <v>1123</v>
      </c>
      <c r="J813">
        <f>SUM('ведомствен.2015'!G647)</f>
        <v>2850</v>
      </c>
    </row>
    <row r="814" spans="1:9" s="20" customFormat="1" ht="14.25">
      <c r="A814" s="260" t="s">
        <v>1088</v>
      </c>
      <c r="B814" s="498"/>
      <c r="C814" s="45" t="s">
        <v>360</v>
      </c>
      <c r="D814" s="55" t="s">
        <v>95</v>
      </c>
      <c r="E814" s="89"/>
      <c r="F814" s="95"/>
      <c r="G814" s="129">
        <f aca="true" t="shared" si="20" ref="G814:H817">SUM(G815)</f>
        <v>472.5</v>
      </c>
      <c r="H814" s="118">
        <f t="shared" si="20"/>
        <v>472.5</v>
      </c>
      <c r="I814" s="361" t="s">
        <v>1123</v>
      </c>
    </row>
    <row r="815" spans="1:10" s="20" customFormat="1" ht="42.75">
      <c r="A815" s="265" t="s">
        <v>1074</v>
      </c>
      <c r="B815" s="498"/>
      <c r="C815" s="45" t="s">
        <v>360</v>
      </c>
      <c r="D815" s="55" t="s">
        <v>95</v>
      </c>
      <c r="E815" s="55" t="s">
        <v>1077</v>
      </c>
      <c r="F815" s="95"/>
      <c r="G815" s="129">
        <f t="shared" si="20"/>
        <v>472.5</v>
      </c>
      <c r="H815" s="118">
        <f t="shared" si="20"/>
        <v>472.5</v>
      </c>
      <c r="I815" s="361" t="s">
        <v>1123</v>
      </c>
      <c r="J815" s="25"/>
    </row>
    <row r="816" spans="1:10" s="20" customFormat="1" ht="28.5">
      <c r="A816" s="265" t="s">
        <v>1084</v>
      </c>
      <c r="B816" s="498"/>
      <c r="C816" s="45" t="s">
        <v>360</v>
      </c>
      <c r="D816" s="55" t="s">
        <v>95</v>
      </c>
      <c r="E816" s="55" t="s">
        <v>1086</v>
      </c>
      <c r="F816" s="95"/>
      <c r="G816" s="129">
        <f t="shared" si="20"/>
        <v>472.5</v>
      </c>
      <c r="H816" s="118">
        <f t="shared" si="20"/>
        <v>472.5</v>
      </c>
      <c r="I816" s="361" t="s">
        <v>1123</v>
      </c>
      <c r="J816" s="25"/>
    </row>
    <row r="817" spans="1:10" s="20" customFormat="1" ht="71.25">
      <c r="A817" s="265" t="s">
        <v>1085</v>
      </c>
      <c r="B817" s="498"/>
      <c r="C817" s="45" t="s">
        <v>360</v>
      </c>
      <c r="D817" s="55" t="s">
        <v>95</v>
      </c>
      <c r="E817" s="55" t="s">
        <v>1087</v>
      </c>
      <c r="F817" s="94"/>
      <c r="G817" s="129">
        <f t="shared" si="20"/>
        <v>472.5</v>
      </c>
      <c r="H817" s="118">
        <f t="shared" si="20"/>
        <v>472.5</v>
      </c>
      <c r="I817" s="361" t="s">
        <v>1123</v>
      </c>
      <c r="J817" s="25"/>
    </row>
    <row r="818" spans="1:10" s="20" customFormat="1" ht="28.5">
      <c r="A818" s="265" t="s">
        <v>454</v>
      </c>
      <c r="B818" s="498"/>
      <c r="C818" s="45" t="s">
        <v>360</v>
      </c>
      <c r="D818" s="55" t="s">
        <v>95</v>
      </c>
      <c r="E818" s="55" t="s">
        <v>1087</v>
      </c>
      <c r="F818" s="94" t="s">
        <v>445</v>
      </c>
      <c r="G818" s="129">
        <v>472.5</v>
      </c>
      <c r="H818" s="118">
        <v>472.5</v>
      </c>
      <c r="I818" s="361" t="s">
        <v>1123</v>
      </c>
      <c r="J818">
        <f>SUM('ведомствен.2015'!G652)</f>
        <v>472.5</v>
      </c>
    </row>
    <row r="819" spans="1:10" s="20" customFormat="1" ht="14.25">
      <c r="A819" s="260" t="s">
        <v>206</v>
      </c>
      <c r="B819" s="498"/>
      <c r="C819" s="45" t="s">
        <v>360</v>
      </c>
      <c r="D819" s="55" t="s">
        <v>118</v>
      </c>
      <c r="E819" s="89"/>
      <c r="F819" s="95"/>
      <c r="G819" s="129">
        <f aca="true" t="shared" si="21" ref="G819:H821">SUM(G820)</f>
        <v>473.6</v>
      </c>
      <c r="H819" s="118">
        <f t="shared" si="21"/>
        <v>0</v>
      </c>
      <c r="I819" s="361">
        <f t="shared" si="19"/>
        <v>0</v>
      </c>
      <c r="J819"/>
    </row>
    <row r="820" spans="1:10" s="20" customFormat="1" ht="14.25">
      <c r="A820" s="265" t="s">
        <v>512</v>
      </c>
      <c r="B820" s="499"/>
      <c r="C820" s="45" t="s">
        <v>360</v>
      </c>
      <c r="D820" s="55" t="s">
        <v>118</v>
      </c>
      <c r="E820" s="89" t="s">
        <v>116</v>
      </c>
      <c r="F820" s="95"/>
      <c r="G820" s="129">
        <f t="shared" si="21"/>
        <v>473.6</v>
      </c>
      <c r="H820" s="118">
        <f t="shared" si="21"/>
        <v>0</v>
      </c>
      <c r="I820" s="361">
        <f t="shared" si="19"/>
        <v>0</v>
      </c>
      <c r="J820"/>
    </row>
    <row r="821" spans="1:10" s="20" customFormat="1" ht="28.5">
      <c r="A821" s="268" t="s">
        <v>1103</v>
      </c>
      <c r="B821" s="498"/>
      <c r="C821" s="45" t="s">
        <v>360</v>
      </c>
      <c r="D821" s="55" t="s">
        <v>118</v>
      </c>
      <c r="E821" s="89" t="s">
        <v>87</v>
      </c>
      <c r="F821" s="95"/>
      <c r="G821" s="129">
        <f t="shared" si="21"/>
        <v>473.6</v>
      </c>
      <c r="H821" s="118">
        <f t="shared" si="21"/>
        <v>0</v>
      </c>
      <c r="I821" s="361">
        <f t="shared" si="19"/>
        <v>0</v>
      </c>
      <c r="J821"/>
    </row>
    <row r="822" spans="1:10" s="20" customFormat="1" ht="28.5">
      <c r="A822" s="116" t="s">
        <v>494</v>
      </c>
      <c r="B822" s="498"/>
      <c r="C822" s="45" t="s">
        <v>360</v>
      </c>
      <c r="D822" s="55" t="s">
        <v>118</v>
      </c>
      <c r="E822" s="89" t="s">
        <v>87</v>
      </c>
      <c r="F822" s="95" t="s">
        <v>489</v>
      </c>
      <c r="G822" s="129">
        <v>473.6</v>
      </c>
      <c r="H822" s="118"/>
      <c r="I822" s="361">
        <f t="shared" si="19"/>
        <v>0</v>
      </c>
      <c r="J822">
        <f>SUM('ведомствен.2015'!G359)</f>
        <v>473.6</v>
      </c>
    </row>
    <row r="823" spans="1:9" ht="15">
      <c r="A823" s="263" t="s">
        <v>343</v>
      </c>
      <c r="B823" s="243"/>
      <c r="C823" s="97" t="s">
        <v>203</v>
      </c>
      <c r="D823" s="90" t="s">
        <v>160</v>
      </c>
      <c r="E823" s="90"/>
      <c r="F823" s="99"/>
      <c r="G823" s="233">
        <f>SUM(G824)</f>
        <v>30502.6</v>
      </c>
      <c r="H823" s="368">
        <f>SUM(H824)</f>
        <v>17922</v>
      </c>
      <c r="I823" s="362">
        <f aca="true" t="shared" si="22" ref="I823:I828">SUM(H823/G823*100)</f>
        <v>58.75564705959492</v>
      </c>
    </row>
    <row r="824" spans="1:9" ht="28.5">
      <c r="A824" s="260" t="s">
        <v>204</v>
      </c>
      <c r="B824" s="240"/>
      <c r="C824" s="45" t="s">
        <v>203</v>
      </c>
      <c r="D824" s="55" t="s">
        <v>398</v>
      </c>
      <c r="E824" s="55"/>
      <c r="F824" s="94"/>
      <c r="G824" s="129">
        <f>SUM(G825)</f>
        <v>30502.6</v>
      </c>
      <c r="H824" s="118">
        <f>SUM(H825)</f>
        <v>17922</v>
      </c>
      <c r="I824" s="361">
        <f t="shared" si="22"/>
        <v>58.75564705959492</v>
      </c>
    </row>
    <row r="825" spans="1:9" ht="14.25">
      <c r="A825" s="260" t="s">
        <v>344</v>
      </c>
      <c r="B825" s="240"/>
      <c r="C825" s="45" t="s">
        <v>203</v>
      </c>
      <c r="D825" s="55" t="s">
        <v>398</v>
      </c>
      <c r="E825" s="55" t="s">
        <v>345</v>
      </c>
      <c r="F825" s="96"/>
      <c r="G825" s="129">
        <f>SUM(G827)</f>
        <v>30502.6</v>
      </c>
      <c r="H825" s="118">
        <f>SUM(H827)</f>
        <v>17922</v>
      </c>
      <c r="I825" s="361">
        <f t="shared" si="22"/>
        <v>58.75564705959492</v>
      </c>
    </row>
    <row r="826" spans="1:9" ht="14.25">
      <c r="A826" s="260" t="s">
        <v>346</v>
      </c>
      <c r="B826" s="240"/>
      <c r="C826" s="45" t="s">
        <v>203</v>
      </c>
      <c r="D826" s="55" t="s">
        <v>398</v>
      </c>
      <c r="E826" s="55" t="s">
        <v>347</v>
      </c>
      <c r="F826" s="96"/>
      <c r="G826" s="129">
        <f>SUM(G827)</f>
        <v>30502.6</v>
      </c>
      <c r="H826" s="118">
        <f>SUM(H827)</f>
        <v>17922</v>
      </c>
      <c r="I826" s="361">
        <f t="shared" si="22"/>
        <v>58.75564705959492</v>
      </c>
    </row>
    <row r="827" spans="1:10" ht="15" thickBot="1">
      <c r="A827" s="260" t="s">
        <v>441</v>
      </c>
      <c r="B827" s="240"/>
      <c r="C827" s="45" t="s">
        <v>203</v>
      </c>
      <c r="D827" s="55" t="s">
        <v>398</v>
      </c>
      <c r="E827" s="55" t="s">
        <v>347</v>
      </c>
      <c r="F827" s="96" t="s">
        <v>151</v>
      </c>
      <c r="G827" s="129">
        <v>30502.6</v>
      </c>
      <c r="H827" s="118">
        <v>17922</v>
      </c>
      <c r="I827" s="363">
        <f t="shared" si="22"/>
        <v>58.75564705959492</v>
      </c>
      <c r="J827" s="21">
        <f>SUM('ведомствен.2015'!G405)</f>
        <v>30502.6</v>
      </c>
    </row>
    <row r="828" spans="1:10" ht="16.5" customHeight="1" thickBot="1">
      <c r="A828" s="277" t="s">
        <v>149</v>
      </c>
      <c r="B828" s="259"/>
      <c r="C828" s="215"/>
      <c r="D828" s="93"/>
      <c r="E828" s="93"/>
      <c r="F828" s="102"/>
      <c r="G828" s="238">
        <f>SUM(G14+G95+G130+G190+G295+G307+G470+G551+G609+G784+G823)</f>
        <v>3829826.6</v>
      </c>
      <c r="H828" s="374" t="e">
        <f>SUM(H14+H95+H130+H190+H295+H307+H470+H551+H609+H784+H823)</f>
        <v>#REF!</v>
      </c>
      <c r="I828" s="364" t="e">
        <f t="shared" si="22"/>
        <v>#REF!</v>
      </c>
      <c r="J828" s="24">
        <f>SUM(J14:J827)</f>
        <v>3829826.600000001</v>
      </c>
    </row>
    <row r="829" ht="10.5" customHeight="1">
      <c r="G829" s="47"/>
    </row>
    <row r="830" spans="7:10" ht="12.75" hidden="1">
      <c r="G830" s="58">
        <f>SUM(J828-G828)</f>
        <v>9.313225746154785E-10</v>
      </c>
      <c r="J830" s="21">
        <f>SUM('ведомствен.2015'!G1023-'функцион.2015'!J828)</f>
        <v>-9.313225746154785E-10</v>
      </c>
    </row>
  </sheetData>
  <sheetProtection/>
  <mergeCells count="2">
    <mergeCell ref="F5:G5"/>
    <mergeCell ref="A12:A13"/>
  </mergeCells>
  <printOptions/>
  <pageMargins left="1.1023622047244095" right="0.15748031496062992" top="0.15748031496062992" bottom="0.03937007874015748" header="0.5118110236220472" footer="0.2362204724409449"/>
  <pageSetup fitToHeight="14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028"/>
  <sheetViews>
    <sheetView zoomScale="75" zoomScaleNormal="75" zoomScalePageLayoutView="0" workbookViewId="0" topLeftCell="A1">
      <selection activeCell="G572" sqref="G572"/>
    </sheetView>
  </sheetViews>
  <sheetFormatPr defaultColWidth="9.00390625" defaultRowHeight="12.75"/>
  <cols>
    <col min="1" max="1" width="78.25390625" style="63" customWidth="1"/>
    <col min="2" max="2" width="8.00390625" style="64" customWidth="1"/>
    <col min="3" max="3" width="7.75390625" style="65" customWidth="1"/>
    <col min="4" max="4" width="8.375" style="65" customWidth="1"/>
    <col min="5" max="5" width="12.75390625" style="65" customWidth="1"/>
    <col min="6" max="6" width="10.875" style="65" customWidth="1"/>
    <col min="7" max="7" width="21.00390625" style="67" customWidth="1"/>
    <col min="8" max="8" width="9.125" style="65" customWidth="1"/>
    <col min="9" max="9" width="22.75390625" style="65" customWidth="1"/>
    <col min="10" max="16384" width="9.125" style="65" customWidth="1"/>
  </cols>
  <sheetData>
    <row r="1" spans="5:7" ht="15">
      <c r="E1" s="79"/>
      <c r="F1" s="456" t="s">
        <v>1186</v>
      </c>
      <c r="G1" s="3"/>
    </row>
    <row r="2" spans="1:7" ht="15.75" customHeight="1">
      <c r="A2" s="284"/>
      <c r="B2" s="357"/>
      <c r="C2" s="357"/>
      <c r="D2" s="357"/>
      <c r="E2" s="457"/>
      <c r="F2" s="4" t="s">
        <v>1188</v>
      </c>
      <c r="G2" s="324"/>
    </row>
    <row r="3" spans="1:7" ht="12.75" customHeight="1">
      <c r="A3" s="284"/>
      <c r="E3" s="457"/>
      <c r="F3" s="4" t="s">
        <v>1189</v>
      </c>
      <c r="G3" s="324"/>
    </row>
    <row r="4" spans="5:7" ht="20.25" customHeight="1">
      <c r="E4" s="457"/>
      <c r="F4" s="4" t="s">
        <v>1190</v>
      </c>
      <c r="G4" s="324"/>
    </row>
    <row r="5" spans="5:7" ht="20.25" customHeight="1">
      <c r="E5" s="457"/>
      <c r="F5" s="568" t="s">
        <v>1191</v>
      </c>
      <c r="G5" s="568"/>
    </row>
    <row r="6" spans="2:7" ht="15.75" customHeight="1">
      <c r="B6" s="69" t="s">
        <v>216</v>
      </c>
      <c r="E6" s="79"/>
      <c r="F6" s="568"/>
      <c r="G6" s="568"/>
    </row>
    <row r="7" ht="15.75">
      <c r="B7" s="69" t="s">
        <v>217</v>
      </c>
    </row>
    <row r="8" ht="15.75">
      <c r="B8" s="69" t="s">
        <v>548</v>
      </c>
    </row>
    <row r="9" ht="16.5" thickBot="1">
      <c r="B9" s="62"/>
    </row>
    <row r="10" spans="1:7" ht="15">
      <c r="A10" s="571" t="s">
        <v>218</v>
      </c>
      <c r="B10" s="182" t="s">
        <v>237</v>
      </c>
      <c r="C10" s="181"/>
      <c r="D10" s="181"/>
      <c r="E10" s="181"/>
      <c r="F10" s="545"/>
      <c r="G10" s="539" t="s">
        <v>238</v>
      </c>
    </row>
    <row r="11" spans="1:7" ht="55.5" customHeight="1" thickBot="1">
      <c r="A11" s="572"/>
      <c r="B11" s="295" t="s">
        <v>241</v>
      </c>
      <c r="C11" s="296" t="s">
        <v>242</v>
      </c>
      <c r="D11" s="296" t="s">
        <v>243</v>
      </c>
      <c r="E11" s="296" t="s">
        <v>244</v>
      </c>
      <c r="F11" s="546" t="s">
        <v>442</v>
      </c>
      <c r="G11" s="540" t="s">
        <v>645</v>
      </c>
    </row>
    <row r="12" spans="1:9" ht="15">
      <c r="A12" s="159" t="s">
        <v>167</v>
      </c>
      <c r="B12" s="379" t="s">
        <v>168</v>
      </c>
      <c r="C12" s="380"/>
      <c r="D12" s="380"/>
      <c r="E12" s="380"/>
      <c r="F12" s="381"/>
      <c r="G12" s="541">
        <f>SUM(G13)</f>
        <v>20301.5</v>
      </c>
      <c r="I12" s="484"/>
    </row>
    <row r="13" spans="1:7" ht="15">
      <c r="A13" s="136" t="s">
        <v>397</v>
      </c>
      <c r="B13" s="137"/>
      <c r="C13" s="138" t="s">
        <v>398</v>
      </c>
      <c r="D13" s="138"/>
      <c r="E13" s="138"/>
      <c r="F13" s="183"/>
      <c r="G13" s="118">
        <f>SUM(G14+G18+G25)</f>
        <v>20301.5</v>
      </c>
    </row>
    <row r="14" spans="1:7" ht="28.5">
      <c r="A14" s="136" t="s">
        <v>399</v>
      </c>
      <c r="B14" s="137"/>
      <c r="C14" s="138" t="s">
        <v>398</v>
      </c>
      <c r="D14" s="138" t="s">
        <v>400</v>
      </c>
      <c r="E14" s="138"/>
      <c r="F14" s="183"/>
      <c r="G14" s="118">
        <f>SUM(G15)</f>
        <v>1637.9</v>
      </c>
    </row>
    <row r="15" spans="1:7" ht="28.5">
      <c r="A15" s="136" t="s">
        <v>88</v>
      </c>
      <c r="B15" s="137"/>
      <c r="C15" s="138" t="s">
        <v>398</v>
      </c>
      <c r="D15" s="138" t="s">
        <v>400</v>
      </c>
      <c r="E15" s="138" t="s">
        <v>89</v>
      </c>
      <c r="F15" s="183"/>
      <c r="G15" s="118">
        <f>SUM(G17)</f>
        <v>1637.9</v>
      </c>
    </row>
    <row r="16" spans="1:7" ht="15">
      <c r="A16" s="136" t="s">
        <v>90</v>
      </c>
      <c r="B16" s="137"/>
      <c r="C16" s="138" t="s">
        <v>398</v>
      </c>
      <c r="D16" s="138" t="s">
        <v>400</v>
      </c>
      <c r="E16" s="138" t="s">
        <v>91</v>
      </c>
      <c r="F16" s="183"/>
      <c r="G16" s="118">
        <f>SUM(G17)</f>
        <v>1637.9</v>
      </c>
    </row>
    <row r="17" spans="1:7" ht="28.5">
      <c r="A17" s="136" t="s">
        <v>428</v>
      </c>
      <c r="B17" s="137"/>
      <c r="C17" s="138" t="s">
        <v>398</v>
      </c>
      <c r="D17" s="138" t="s">
        <v>400</v>
      </c>
      <c r="E17" s="138" t="s">
        <v>91</v>
      </c>
      <c r="F17" s="183" t="s">
        <v>429</v>
      </c>
      <c r="G17" s="118">
        <v>1637.9</v>
      </c>
    </row>
    <row r="18" spans="1:7" ht="42.75">
      <c r="A18" s="136" t="s">
        <v>94</v>
      </c>
      <c r="B18" s="137"/>
      <c r="C18" s="138" t="s">
        <v>398</v>
      </c>
      <c r="D18" s="138" t="s">
        <v>95</v>
      </c>
      <c r="E18" s="138"/>
      <c r="F18" s="183"/>
      <c r="G18" s="118">
        <f>SUM(G19)</f>
        <v>11939.5</v>
      </c>
    </row>
    <row r="19" spans="1:7" ht="28.5">
      <c r="A19" s="136" t="s">
        <v>88</v>
      </c>
      <c r="B19" s="137"/>
      <c r="C19" s="138" t="s">
        <v>398</v>
      </c>
      <c r="D19" s="138" t="s">
        <v>95</v>
      </c>
      <c r="E19" s="138" t="s">
        <v>89</v>
      </c>
      <c r="F19" s="184"/>
      <c r="G19" s="118">
        <f>SUM(G20+G23)</f>
        <v>11939.5</v>
      </c>
    </row>
    <row r="20" spans="1:7" ht="15">
      <c r="A20" s="136" t="s">
        <v>96</v>
      </c>
      <c r="B20" s="137"/>
      <c r="C20" s="138" t="s">
        <v>97</v>
      </c>
      <c r="D20" s="138" t="s">
        <v>95</v>
      </c>
      <c r="E20" s="138" t="s">
        <v>98</v>
      </c>
      <c r="F20" s="184"/>
      <c r="G20" s="118">
        <f>SUM(G21+G22)</f>
        <v>11551.8</v>
      </c>
    </row>
    <row r="21" spans="1:7" ht="33" customHeight="1">
      <c r="A21" s="136" t="s">
        <v>428</v>
      </c>
      <c r="B21" s="137"/>
      <c r="C21" s="138" t="s">
        <v>398</v>
      </c>
      <c r="D21" s="138" t="s">
        <v>95</v>
      </c>
      <c r="E21" s="138" t="s">
        <v>98</v>
      </c>
      <c r="F21" s="183" t="s">
        <v>429</v>
      </c>
      <c r="G21" s="118">
        <f>11549.3+167.5+64.7-218.6-11.1</f>
        <v>11551.8</v>
      </c>
    </row>
    <row r="22" spans="1:7" ht="28.5" customHeight="1" hidden="1">
      <c r="A22" s="136" t="s">
        <v>675</v>
      </c>
      <c r="B22" s="137"/>
      <c r="C22" s="138" t="s">
        <v>398</v>
      </c>
      <c r="D22" s="138" t="s">
        <v>95</v>
      </c>
      <c r="E22" s="138" t="s">
        <v>98</v>
      </c>
      <c r="F22" s="183" t="s">
        <v>107</v>
      </c>
      <c r="G22" s="366">
        <f>9.6-9.6</f>
        <v>0</v>
      </c>
    </row>
    <row r="23" spans="1:7" ht="21" customHeight="1">
      <c r="A23" s="136" t="s">
        <v>1259</v>
      </c>
      <c r="B23" s="137"/>
      <c r="C23" s="138" t="s">
        <v>97</v>
      </c>
      <c r="D23" s="138" t="s">
        <v>95</v>
      </c>
      <c r="E23" s="138" t="s">
        <v>1260</v>
      </c>
      <c r="F23" s="183"/>
      <c r="G23" s="118">
        <f>SUM(G24)</f>
        <v>387.7</v>
      </c>
    </row>
    <row r="24" spans="1:7" ht="28.5">
      <c r="A24" s="136" t="s">
        <v>428</v>
      </c>
      <c r="B24" s="137"/>
      <c r="C24" s="138" t="s">
        <v>97</v>
      </c>
      <c r="D24" s="138" t="s">
        <v>95</v>
      </c>
      <c r="E24" s="138" t="s">
        <v>1260</v>
      </c>
      <c r="F24" s="183" t="s">
        <v>429</v>
      </c>
      <c r="G24" s="118">
        <v>387.7</v>
      </c>
    </row>
    <row r="25" spans="1:7" ht="15">
      <c r="A25" s="136" t="s">
        <v>99</v>
      </c>
      <c r="B25" s="137"/>
      <c r="C25" s="138" t="s">
        <v>398</v>
      </c>
      <c r="D25" s="138" t="s">
        <v>203</v>
      </c>
      <c r="E25" s="138"/>
      <c r="F25" s="184"/>
      <c r="G25" s="118">
        <f>SUM(G26)</f>
        <v>6724.1</v>
      </c>
    </row>
    <row r="26" spans="1:7" ht="28.5">
      <c r="A26" s="136" t="s">
        <v>430</v>
      </c>
      <c r="B26" s="137"/>
      <c r="C26" s="138" t="s">
        <v>398</v>
      </c>
      <c r="D26" s="138" t="s">
        <v>203</v>
      </c>
      <c r="E26" s="138" t="s">
        <v>431</v>
      </c>
      <c r="F26" s="184"/>
      <c r="G26" s="118">
        <f>SUM(G27+G30+G32)</f>
        <v>6724.1</v>
      </c>
    </row>
    <row r="27" spans="1:7" ht="15">
      <c r="A27" s="136" t="s">
        <v>421</v>
      </c>
      <c r="B27" s="137"/>
      <c r="C27" s="138" t="s">
        <v>398</v>
      </c>
      <c r="D27" s="138" t="s">
        <v>203</v>
      </c>
      <c r="E27" s="138" t="s">
        <v>432</v>
      </c>
      <c r="F27" s="183"/>
      <c r="G27" s="366">
        <f>SUM(G28:G29)</f>
        <v>696.9</v>
      </c>
    </row>
    <row r="28" spans="1:7" ht="28.5">
      <c r="A28" s="136" t="s">
        <v>675</v>
      </c>
      <c r="B28" s="137"/>
      <c r="C28" s="138" t="s">
        <v>398</v>
      </c>
      <c r="D28" s="138" t="s">
        <v>203</v>
      </c>
      <c r="E28" s="138" t="s">
        <v>432</v>
      </c>
      <c r="F28" s="183" t="s">
        <v>107</v>
      </c>
      <c r="G28" s="366">
        <f>696.2-4-39.7</f>
        <v>652.5</v>
      </c>
    </row>
    <row r="29" spans="1:7" ht="15">
      <c r="A29" s="136" t="s">
        <v>434</v>
      </c>
      <c r="B29" s="137"/>
      <c r="C29" s="138" t="s">
        <v>398</v>
      </c>
      <c r="D29" s="138" t="s">
        <v>203</v>
      </c>
      <c r="E29" s="138" t="s">
        <v>432</v>
      </c>
      <c r="F29" s="183" t="s">
        <v>152</v>
      </c>
      <c r="G29" s="366">
        <v>44.4</v>
      </c>
    </row>
    <row r="30" spans="1:7" ht="28.5">
      <c r="A30" s="136" t="s">
        <v>422</v>
      </c>
      <c r="B30" s="137"/>
      <c r="C30" s="138" t="s">
        <v>398</v>
      </c>
      <c r="D30" s="138" t="s">
        <v>203</v>
      </c>
      <c r="E30" s="138" t="s">
        <v>435</v>
      </c>
      <c r="F30" s="183"/>
      <c r="G30" s="366">
        <f>SUM(G31)</f>
        <v>317.7</v>
      </c>
    </row>
    <row r="31" spans="1:7" ht="28.5">
      <c r="A31" s="136" t="s">
        <v>675</v>
      </c>
      <c r="B31" s="137"/>
      <c r="C31" s="138" t="s">
        <v>398</v>
      </c>
      <c r="D31" s="138" t="s">
        <v>203</v>
      </c>
      <c r="E31" s="138" t="s">
        <v>435</v>
      </c>
      <c r="F31" s="183" t="s">
        <v>107</v>
      </c>
      <c r="G31" s="366">
        <f>403.2-85.5</f>
        <v>317.7</v>
      </c>
    </row>
    <row r="32" spans="1:7" ht="28.5">
      <c r="A32" s="111" t="s">
        <v>436</v>
      </c>
      <c r="B32" s="137"/>
      <c r="C32" s="138" t="s">
        <v>398</v>
      </c>
      <c r="D32" s="138" t="s">
        <v>203</v>
      </c>
      <c r="E32" s="138" t="s">
        <v>437</v>
      </c>
      <c r="F32" s="185"/>
      <c r="G32" s="118">
        <f>SUM(G33:G35)</f>
        <v>5709.500000000001</v>
      </c>
    </row>
    <row r="33" spans="1:7" ht="28.5">
      <c r="A33" s="136" t="s">
        <v>675</v>
      </c>
      <c r="B33" s="137"/>
      <c r="C33" s="138" t="s">
        <v>398</v>
      </c>
      <c r="D33" s="138" t="s">
        <v>203</v>
      </c>
      <c r="E33" s="138" t="s">
        <v>437</v>
      </c>
      <c r="F33" s="185" t="s">
        <v>107</v>
      </c>
      <c r="G33" s="118">
        <f>5499.3-226.7</f>
        <v>5272.6</v>
      </c>
    </row>
    <row r="34" spans="1:7" ht="15">
      <c r="A34" s="136" t="s">
        <v>438</v>
      </c>
      <c r="B34" s="137"/>
      <c r="C34" s="138" t="s">
        <v>398</v>
      </c>
      <c r="D34" s="138" t="s">
        <v>203</v>
      </c>
      <c r="E34" s="138" t="s">
        <v>437</v>
      </c>
      <c r="F34" s="185" t="s">
        <v>439</v>
      </c>
      <c r="G34" s="118">
        <f>667-232.7</f>
        <v>434.3</v>
      </c>
    </row>
    <row r="35" spans="1:7" ht="15">
      <c r="A35" s="136" t="s">
        <v>434</v>
      </c>
      <c r="B35" s="137"/>
      <c r="C35" s="138" t="s">
        <v>398</v>
      </c>
      <c r="D35" s="138" t="s">
        <v>203</v>
      </c>
      <c r="E35" s="138" t="s">
        <v>437</v>
      </c>
      <c r="F35" s="185" t="s">
        <v>152</v>
      </c>
      <c r="G35" s="118">
        <f>2.8+1.1-1.3</f>
        <v>2.5999999999999996</v>
      </c>
    </row>
    <row r="36" spans="1:7" ht="15">
      <c r="A36" s="139" t="s">
        <v>169</v>
      </c>
      <c r="B36" s="140" t="s">
        <v>170</v>
      </c>
      <c r="C36" s="141"/>
      <c r="D36" s="141"/>
      <c r="E36" s="141"/>
      <c r="F36" s="184"/>
      <c r="G36" s="371">
        <f>SUM(G37)</f>
        <v>6745.099999999999</v>
      </c>
    </row>
    <row r="37" spans="1:7" ht="15">
      <c r="A37" s="136" t="s">
        <v>397</v>
      </c>
      <c r="B37" s="137"/>
      <c r="C37" s="138" t="s">
        <v>398</v>
      </c>
      <c r="D37" s="138"/>
      <c r="E37" s="138"/>
      <c r="F37" s="183"/>
      <c r="G37" s="118">
        <f>SUM(G38)+G45</f>
        <v>6745.099999999999</v>
      </c>
    </row>
    <row r="38" spans="1:7" ht="28.5">
      <c r="A38" s="111" t="s">
        <v>333</v>
      </c>
      <c r="B38" s="137"/>
      <c r="C38" s="138" t="s">
        <v>398</v>
      </c>
      <c r="D38" s="138" t="s">
        <v>334</v>
      </c>
      <c r="E38" s="138"/>
      <c r="F38" s="183"/>
      <c r="G38" s="118">
        <f>SUM(G39)</f>
        <v>5712.299999999999</v>
      </c>
    </row>
    <row r="39" spans="1:7" ht="28.5">
      <c r="A39" s="136" t="s">
        <v>88</v>
      </c>
      <c r="B39" s="137"/>
      <c r="C39" s="138" t="s">
        <v>398</v>
      </c>
      <c r="D39" s="138" t="s">
        <v>334</v>
      </c>
      <c r="E39" s="138" t="s">
        <v>89</v>
      </c>
      <c r="F39" s="184"/>
      <c r="G39" s="118">
        <f>SUM(G40+G43)</f>
        <v>5712.299999999999</v>
      </c>
    </row>
    <row r="40" spans="1:7" ht="15">
      <c r="A40" s="136" t="s">
        <v>96</v>
      </c>
      <c r="B40" s="137"/>
      <c r="C40" s="138" t="s">
        <v>398</v>
      </c>
      <c r="D40" s="138" t="s">
        <v>334</v>
      </c>
      <c r="E40" s="138" t="s">
        <v>98</v>
      </c>
      <c r="F40" s="184"/>
      <c r="G40" s="118">
        <f>SUM(G41)+G42</f>
        <v>4272.9</v>
      </c>
    </row>
    <row r="41" spans="1:7" ht="28.5">
      <c r="A41" s="136" t="s">
        <v>428</v>
      </c>
      <c r="B41" s="137"/>
      <c r="C41" s="138" t="s">
        <v>398</v>
      </c>
      <c r="D41" s="138" t="s">
        <v>334</v>
      </c>
      <c r="E41" s="138" t="s">
        <v>98</v>
      </c>
      <c r="F41" s="183" t="s">
        <v>429</v>
      </c>
      <c r="G41" s="118">
        <f>3971.9+295</f>
        <v>4266.9</v>
      </c>
    </row>
    <row r="42" spans="1:7" ht="28.5">
      <c r="A42" s="136" t="s">
        <v>675</v>
      </c>
      <c r="B42" s="137"/>
      <c r="C42" s="138" t="s">
        <v>398</v>
      </c>
      <c r="D42" s="138" t="s">
        <v>334</v>
      </c>
      <c r="E42" s="138" t="s">
        <v>98</v>
      </c>
      <c r="F42" s="183" t="s">
        <v>107</v>
      </c>
      <c r="G42" s="366">
        <v>6</v>
      </c>
    </row>
    <row r="43" spans="1:7" s="70" customFormat="1" ht="28.5">
      <c r="A43" s="136" t="s">
        <v>337</v>
      </c>
      <c r="B43" s="137"/>
      <c r="C43" s="138" t="s">
        <v>97</v>
      </c>
      <c r="D43" s="138" t="s">
        <v>334</v>
      </c>
      <c r="E43" s="138" t="s">
        <v>338</v>
      </c>
      <c r="F43" s="185"/>
      <c r="G43" s="118">
        <f>SUM(G44)</f>
        <v>1439.4</v>
      </c>
    </row>
    <row r="44" spans="1:7" s="70" customFormat="1" ht="28.5">
      <c r="A44" s="136" t="s">
        <v>428</v>
      </c>
      <c r="B44" s="137"/>
      <c r="C44" s="138" t="s">
        <v>97</v>
      </c>
      <c r="D44" s="138" t="s">
        <v>334</v>
      </c>
      <c r="E44" s="138" t="s">
        <v>338</v>
      </c>
      <c r="F44" s="183" t="s">
        <v>429</v>
      </c>
      <c r="G44" s="118">
        <f>1734.4-295</f>
        <v>1439.4</v>
      </c>
    </row>
    <row r="45" spans="1:7" s="70" customFormat="1" ht="15">
      <c r="A45" s="136" t="s">
        <v>99</v>
      </c>
      <c r="B45" s="137"/>
      <c r="C45" s="138" t="s">
        <v>398</v>
      </c>
      <c r="D45" s="138" t="s">
        <v>203</v>
      </c>
      <c r="E45" s="138"/>
      <c r="F45" s="184"/>
      <c r="G45" s="118">
        <f>SUM(G46)</f>
        <v>1032.8</v>
      </c>
    </row>
    <row r="46" spans="1:7" s="70" customFormat="1" ht="28.5">
      <c r="A46" s="136" t="s">
        <v>430</v>
      </c>
      <c r="B46" s="137"/>
      <c r="C46" s="138" t="s">
        <v>398</v>
      </c>
      <c r="D46" s="138" t="s">
        <v>203</v>
      </c>
      <c r="E46" s="138" t="s">
        <v>431</v>
      </c>
      <c r="F46" s="184"/>
      <c r="G46" s="118">
        <f>SUM(G47+G50+G52)</f>
        <v>1032.8</v>
      </c>
    </row>
    <row r="47" spans="1:7" s="70" customFormat="1" ht="15">
      <c r="A47" s="136" t="s">
        <v>421</v>
      </c>
      <c r="B47" s="137"/>
      <c r="C47" s="138" t="s">
        <v>398</v>
      </c>
      <c r="D47" s="138" t="s">
        <v>203</v>
      </c>
      <c r="E47" s="138" t="s">
        <v>432</v>
      </c>
      <c r="F47" s="183"/>
      <c r="G47" s="366">
        <f>SUM(G48:G49)</f>
        <v>212.8</v>
      </c>
    </row>
    <row r="48" spans="1:7" s="70" customFormat="1" ht="28.5">
      <c r="A48" s="136" t="s">
        <v>675</v>
      </c>
      <c r="B48" s="137"/>
      <c r="C48" s="138" t="s">
        <v>398</v>
      </c>
      <c r="D48" s="138" t="s">
        <v>203</v>
      </c>
      <c r="E48" s="138" t="s">
        <v>432</v>
      </c>
      <c r="F48" s="183" t="s">
        <v>107</v>
      </c>
      <c r="G48" s="366">
        <v>210</v>
      </c>
    </row>
    <row r="49" spans="1:7" s="70" customFormat="1" ht="15">
      <c r="A49" s="136" t="s">
        <v>434</v>
      </c>
      <c r="B49" s="137"/>
      <c r="C49" s="138" t="s">
        <v>398</v>
      </c>
      <c r="D49" s="138" t="s">
        <v>203</v>
      </c>
      <c r="E49" s="138" t="s">
        <v>432</v>
      </c>
      <c r="F49" s="183" t="s">
        <v>152</v>
      </c>
      <c r="G49" s="366">
        <v>2.8</v>
      </c>
    </row>
    <row r="50" spans="1:7" s="70" customFormat="1" ht="28.5">
      <c r="A50" s="136" t="s">
        <v>422</v>
      </c>
      <c r="B50" s="137"/>
      <c r="C50" s="138" t="s">
        <v>398</v>
      </c>
      <c r="D50" s="138" t="s">
        <v>203</v>
      </c>
      <c r="E50" s="138" t="s">
        <v>435</v>
      </c>
      <c r="F50" s="183"/>
      <c r="G50" s="366">
        <f>SUM(G51)</f>
        <v>228.5</v>
      </c>
    </row>
    <row r="51" spans="1:7" s="70" customFormat="1" ht="28.5">
      <c r="A51" s="136" t="s">
        <v>675</v>
      </c>
      <c r="B51" s="137"/>
      <c r="C51" s="138" t="s">
        <v>398</v>
      </c>
      <c r="D51" s="138" t="s">
        <v>203</v>
      </c>
      <c r="E51" s="138" t="s">
        <v>435</v>
      </c>
      <c r="F51" s="183" t="s">
        <v>107</v>
      </c>
      <c r="G51" s="366">
        <v>228.5</v>
      </c>
    </row>
    <row r="52" spans="1:7" s="70" customFormat="1" ht="28.5">
      <c r="A52" s="111" t="s">
        <v>436</v>
      </c>
      <c r="B52" s="137"/>
      <c r="C52" s="138" t="s">
        <v>398</v>
      </c>
      <c r="D52" s="138" t="s">
        <v>203</v>
      </c>
      <c r="E52" s="138" t="s">
        <v>437</v>
      </c>
      <c r="F52" s="185"/>
      <c r="G52" s="118">
        <f>SUM(G53:G55)</f>
        <v>591.5</v>
      </c>
    </row>
    <row r="53" spans="1:7" s="70" customFormat="1" ht="28.5">
      <c r="A53" s="136" t="s">
        <v>428</v>
      </c>
      <c r="B53" s="137"/>
      <c r="C53" s="138" t="s">
        <v>398</v>
      </c>
      <c r="D53" s="138" t="s">
        <v>203</v>
      </c>
      <c r="E53" s="138" t="s">
        <v>437</v>
      </c>
      <c r="F53" s="185" t="s">
        <v>429</v>
      </c>
      <c r="G53" s="118">
        <v>10</v>
      </c>
    </row>
    <row r="54" spans="1:7" s="70" customFormat="1" ht="28.5">
      <c r="A54" s="136" t="s">
        <v>675</v>
      </c>
      <c r="B54" s="137"/>
      <c r="C54" s="138" t="s">
        <v>398</v>
      </c>
      <c r="D54" s="138" t="s">
        <v>203</v>
      </c>
      <c r="E54" s="138" t="s">
        <v>437</v>
      </c>
      <c r="F54" s="185" t="s">
        <v>107</v>
      </c>
      <c r="G54" s="118">
        <v>572.5</v>
      </c>
    </row>
    <row r="55" spans="1:7" s="70" customFormat="1" ht="15">
      <c r="A55" s="136" t="s">
        <v>434</v>
      </c>
      <c r="B55" s="137"/>
      <c r="C55" s="138" t="s">
        <v>398</v>
      </c>
      <c r="D55" s="138" t="s">
        <v>203</v>
      </c>
      <c r="E55" s="138" t="s">
        <v>437</v>
      </c>
      <c r="F55" s="185" t="s">
        <v>152</v>
      </c>
      <c r="G55" s="118">
        <v>9</v>
      </c>
    </row>
    <row r="56" spans="1:7" ht="15">
      <c r="A56" s="142" t="s">
        <v>171</v>
      </c>
      <c r="B56" s="143" t="s">
        <v>172</v>
      </c>
      <c r="C56" s="144"/>
      <c r="D56" s="144"/>
      <c r="E56" s="144"/>
      <c r="F56" s="382"/>
      <c r="G56" s="371">
        <f>SUM(G57+G116+G152+G206+G313+G325+G331+G355)</f>
        <v>708662.2000000001</v>
      </c>
    </row>
    <row r="57" spans="1:7" ht="15">
      <c r="A57" s="136" t="s">
        <v>397</v>
      </c>
      <c r="B57" s="137"/>
      <c r="C57" s="138" t="s">
        <v>398</v>
      </c>
      <c r="D57" s="138"/>
      <c r="E57" s="138"/>
      <c r="F57" s="183"/>
      <c r="G57" s="118">
        <f>SUM(G62+G88+G81+G84+G58)</f>
        <v>125085.70000000001</v>
      </c>
    </row>
    <row r="58" spans="1:7" ht="28.5">
      <c r="A58" s="136" t="s">
        <v>399</v>
      </c>
      <c r="B58" s="137"/>
      <c r="C58" s="138" t="s">
        <v>398</v>
      </c>
      <c r="D58" s="138" t="s">
        <v>400</v>
      </c>
      <c r="E58" s="138"/>
      <c r="F58" s="183"/>
      <c r="G58" s="118">
        <f>SUM(G59)</f>
        <v>158.5</v>
      </c>
    </row>
    <row r="59" spans="1:7" ht="28.5">
      <c r="A59" s="136" t="s">
        <v>88</v>
      </c>
      <c r="B59" s="137"/>
      <c r="C59" s="138" t="s">
        <v>398</v>
      </c>
      <c r="D59" s="138" t="s">
        <v>400</v>
      </c>
      <c r="E59" s="138" t="s">
        <v>89</v>
      </c>
      <c r="F59" s="183"/>
      <c r="G59" s="118">
        <f>SUM(G61)</f>
        <v>158.5</v>
      </c>
    </row>
    <row r="60" spans="1:7" ht="15">
      <c r="A60" s="136" t="s">
        <v>90</v>
      </c>
      <c r="B60" s="137"/>
      <c r="C60" s="138" t="s">
        <v>398</v>
      </c>
      <c r="D60" s="138" t="s">
        <v>400</v>
      </c>
      <c r="E60" s="138" t="s">
        <v>91</v>
      </c>
      <c r="F60" s="183"/>
      <c r="G60" s="118">
        <f>SUM(G61)</f>
        <v>158.5</v>
      </c>
    </row>
    <row r="61" spans="1:7" ht="28.5">
      <c r="A61" s="136" t="s">
        <v>428</v>
      </c>
      <c r="B61" s="137"/>
      <c r="C61" s="138" t="s">
        <v>398</v>
      </c>
      <c r="D61" s="138" t="s">
        <v>400</v>
      </c>
      <c r="E61" s="138" t="s">
        <v>91</v>
      </c>
      <c r="F61" s="183" t="s">
        <v>429</v>
      </c>
      <c r="G61" s="118">
        <v>158.5</v>
      </c>
    </row>
    <row r="62" spans="1:7" ht="28.5">
      <c r="A62" s="136" t="s">
        <v>220</v>
      </c>
      <c r="B62" s="137"/>
      <c r="C62" s="138" t="s">
        <v>398</v>
      </c>
      <c r="D62" s="138" t="s">
        <v>109</v>
      </c>
      <c r="E62" s="138"/>
      <c r="F62" s="183"/>
      <c r="G62" s="118">
        <f>SUM(G63)</f>
        <v>86017.7</v>
      </c>
    </row>
    <row r="63" spans="1:7" ht="28.5">
      <c r="A63" s="136" t="s">
        <v>88</v>
      </c>
      <c r="B63" s="137"/>
      <c r="C63" s="138" t="s">
        <v>398</v>
      </c>
      <c r="D63" s="138" t="s">
        <v>109</v>
      </c>
      <c r="E63" s="138" t="s">
        <v>89</v>
      </c>
      <c r="F63" s="184"/>
      <c r="G63" s="118">
        <f>SUM(G64+G79+G67+G70+G73+G76)</f>
        <v>86017.7</v>
      </c>
    </row>
    <row r="64" spans="1:7" ht="15">
      <c r="A64" s="136" t="s">
        <v>96</v>
      </c>
      <c r="B64" s="137"/>
      <c r="C64" s="138" t="s">
        <v>398</v>
      </c>
      <c r="D64" s="138" t="s">
        <v>109</v>
      </c>
      <c r="E64" s="138" t="s">
        <v>98</v>
      </c>
      <c r="F64" s="184"/>
      <c r="G64" s="118">
        <f>SUM(G65+G66)</f>
        <v>83153.7</v>
      </c>
    </row>
    <row r="65" spans="1:7" ht="28.5">
      <c r="A65" s="136" t="s">
        <v>428</v>
      </c>
      <c r="B65" s="137"/>
      <c r="C65" s="138" t="s">
        <v>398</v>
      </c>
      <c r="D65" s="138" t="s">
        <v>109</v>
      </c>
      <c r="E65" s="138" t="s">
        <v>98</v>
      </c>
      <c r="F65" s="183" t="s">
        <v>429</v>
      </c>
      <c r="G65" s="118">
        <f>83157.8-34</f>
        <v>83123.8</v>
      </c>
    </row>
    <row r="66" spans="1:7" ht="28.5">
      <c r="A66" s="136" t="s">
        <v>675</v>
      </c>
      <c r="B66" s="137"/>
      <c r="C66" s="138" t="s">
        <v>398</v>
      </c>
      <c r="D66" s="138" t="s">
        <v>109</v>
      </c>
      <c r="E66" s="138" t="s">
        <v>98</v>
      </c>
      <c r="F66" s="183" t="s">
        <v>107</v>
      </c>
      <c r="G66" s="366">
        <f>96.2-66.3</f>
        <v>29.900000000000006</v>
      </c>
    </row>
    <row r="67" spans="1:7" ht="28.5">
      <c r="A67" s="136" t="s">
        <v>113</v>
      </c>
      <c r="B67" s="137"/>
      <c r="C67" s="138" t="s">
        <v>398</v>
      </c>
      <c r="D67" s="138" t="s">
        <v>109</v>
      </c>
      <c r="E67" s="138" t="s">
        <v>114</v>
      </c>
      <c r="F67" s="183"/>
      <c r="G67" s="118">
        <f>SUM(G68:G69)</f>
        <v>1358.3</v>
      </c>
    </row>
    <row r="68" spans="1:7" ht="28.5">
      <c r="A68" s="136" t="s">
        <v>428</v>
      </c>
      <c r="B68" s="137"/>
      <c r="C68" s="138" t="s">
        <v>398</v>
      </c>
      <c r="D68" s="138" t="s">
        <v>109</v>
      </c>
      <c r="E68" s="138" t="s">
        <v>114</v>
      </c>
      <c r="F68" s="183" t="s">
        <v>429</v>
      </c>
      <c r="G68" s="118">
        <f>1368.8-34.1</f>
        <v>1334.7</v>
      </c>
    </row>
    <row r="69" spans="1:7" ht="28.5">
      <c r="A69" s="136" t="s">
        <v>675</v>
      </c>
      <c r="B69" s="137"/>
      <c r="C69" s="138" t="s">
        <v>398</v>
      </c>
      <c r="D69" s="138" t="s">
        <v>109</v>
      </c>
      <c r="E69" s="138" t="s">
        <v>114</v>
      </c>
      <c r="F69" s="183" t="s">
        <v>107</v>
      </c>
      <c r="G69" s="366">
        <v>23.6</v>
      </c>
    </row>
    <row r="70" spans="1:7" s="66" customFormat="1" ht="42.75">
      <c r="A70" s="136" t="s">
        <v>326</v>
      </c>
      <c r="B70" s="137"/>
      <c r="C70" s="138" t="s">
        <v>398</v>
      </c>
      <c r="D70" s="138" t="s">
        <v>109</v>
      </c>
      <c r="E70" s="138" t="s">
        <v>327</v>
      </c>
      <c r="F70" s="183"/>
      <c r="G70" s="118">
        <f>SUM(G71:G72)</f>
        <v>93.8</v>
      </c>
    </row>
    <row r="71" spans="1:7" s="66" customFormat="1" ht="28.5">
      <c r="A71" s="136" t="s">
        <v>428</v>
      </c>
      <c r="B71" s="137"/>
      <c r="C71" s="138" t="s">
        <v>398</v>
      </c>
      <c r="D71" s="138" t="s">
        <v>109</v>
      </c>
      <c r="E71" s="138" t="s">
        <v>327</v>
      </c>
      <c r="F71" s="183" t="s">
        <v>429</v>
      </c>
      <c r="G71" s="118">
        <v>72.3</v>
      </c>
    </row>
    <row r="72" spans="1:7" s="66" customFormat="1" ht="32.25" customHeight="1">
      <c r="A72" s="136" t="s">
        <v>675</v>
      </c>
      <c r="B72" s="137"/>
      <c r="C72" s="138" t="s">
        <v>398</v>
      </c>
      <c r="D72" s="138" t="s">
        <v>109</v>
      </c>
      <c r="E72" s="138" t="s">
        <v>327</v>
      </c>
      <c r="F72" s="183" t="s">
        <v>107</v>
      </c>
      <c r="G72" s="366">
        <v>21.5</v>
      </c>
    </row>
    <row r="73" spans="1:7" s="66" customFormat="1" ht="28.5" customHeight="1" hidden="1">
      <c r="A73" s="109" t="s">
        <v>54</v>
      </c>
      <c r="B73" s="145"/>
      <c r="C73" s="141" t="s">
        <v>398</v>
      </c>
      <c r="D73" s="141" t="s">
        <v>109</v>
      </c>
      <c r="E73" s="141" t="s">
        <v>55</v>
      </c>
      <c r="F73" s="184"/>
      <c r="G73" s="118">
        <f>SUM(G74:G75)</f>
        <v>0</v>
      </c>
    </row>
    <row r="74" spans="1:7" s="70" customFormat="1" ht="28.5" customHeight="1" hidden="1">
      <c r="A74" s="136" t="s">
        <v>428</v>
      </c>
      <c r="B74" s="137"/>
      <c r="C74" s="138" t="s">
        <v>398</v>
      </c>
      <c r="D74" s="138" t="s">
        <v>109</v>
      </c>
      <c r="E74" s="141" t="s">
        <v>55</v>
      </c>
      <c r="F74" s="183" t="s">
        <v>429</v>
      </c>
      <c r="G74" s="118"/>
    </row>
    <row r="75" spans="1:7" s="70" customFormat="1" ht="15" customHeight="1" hidden="1">
      <c r="A75" s="136" t="s">
        <v>433</v>
      </c>
      <c r="B75" s="137"/>
      <c r="C75" s="138" t="s">
        <v>398</v>
      </c>
      <c r="D75" s="138" t="s">
        <v>109</v>
      </c>
      <c r="E75" s="141" t="s">
        <v>55</v>
      </c>
      <c r="F75" s="183" t="s">
        <v>107</v>
      </c>
      <c r="G75" s="366"/>
    </row>
    <row r="76" spans="1:7" s="70" customFormat="1" ht="28.5">
      <c r="A76" s="109" t="s">
        <v>131</v>
      </c>
      <c r="B76" s="145"/>
      <c r="C76" s="141" t="s">
        <v>398</v>
      </c>
      <c r="D76" s="141" t="s">
        <v>109</v>
      </c>
      <c r="E76" s="141" t="s">
        <v>132</v>
      </c>
      <c r="F76" s="184"/>
      <c r="G76" s="118">
        <f>SUM(G77:G78)</f>
        <v>357.70000000000005</v>
      </c>
    </row>
    <row r="77" spans="1:7" s="70" customFormat="1" ht="28.5">
      <c r="A77" s="136" t="s">
        <v>428</v>
      </c>
      <c r="B77" s="137"/>
      <c r="C77" s="138" t="s">
        <v>398</v>
      </c>
      <c r="D77" s="138" t="s">
        <v>109</v>
      </c>
      <c r="E77" s="141" t="s">
        <v>132</v>
      </c>
      <c r="F77" s="183" t="s">
        <v>429</v>
      </c>
      <c r="G77" s="118">
        <v>288.8</v>
      </c>
    </row>
    <row r="78" spans="1:7" s="70" customFormat="1" ht="28.5">
      <c r="A78" s="136" t="s">
        <v>675</v>
      </c>
      <c r="B78" s="137"/>
      <c r="C78" s="138" t="s">
        <v>398</v>
      </c>
      <c r="D78" s="138" t="s">
        <v>109</v>
      </c>
      <c r="E78" s="141" t="s">
        <v>132</v>
      </c>
      <c r="F78" s="183" t="s">
        <v>107</v>
      </c>
      <c r="G78" s="366">
        <v>68.9</v>
      </c>
    </row>
    <row r="79" spans="1:7" s="70" customFormat="1" ht="28.5">
      <c r="A79" s="136" t="s">
        <v>328</v>
      </c>
      <c r="B79" s="137"/>
      <c r="C79" s="138" t="s">
        <v>97</v>
      </c>
      <c r="D79" s="138" t="s">
        <v>109</v>
      </c>
      <c r="E79" s="138" t="s">
        <v>329</v>
      </c>
      <c r="F79" s="184"/>
      <c r="G79" s="118">
        <f>SUM(G80)</f>
        <v>1054.2</v>
      </c>
    </row>
    <row r="80" spans="1:7" s="70" customFormat="1" ht="27.75" customHeight="1">
      <c r="A80" s="136" t="s">
        <v>428</v>
      </c>
      <c r="B80" s="137"/>
      <c r="C80" s="138" t="s">
        <v>398</v>
      </c>
      <c r="D80" s="138" t="s">
        <v>109</v>
      </c>
      <c r="E80" s="138" t="s">
        <v>329</v>
      </c>
      <c r="F80" s="183" t="s">
        <v>429</v>
      </c>
      <c r="G80" s="118">
        <v>1054.2</v>
      </c>
    </row>
    <row r="81" spans="1:7" ht="15" customHeight="1" hidden="1">
      <c r="A81" s="136" t="s">
        <v>117</v>
      </c>
      <c r="B81" s="137"/>
      <c r="C81" s="138" t="s">
        <v>398</v>
      </c>
      <c r="D81" s="138" t="s">
        <v>118</v>
      </c>
      <c r="E81" s="138"/>
      <c r="F81" s="184"/>
      <c r="G81" s="118">
        <f>SUM(G82)</f>
        <v>0</v>
      </c>
    </row>
    <row r="82" spans="1:7" ht="28.5" customHeight="1" hidden="1">
      <c r="A82" s="111" t="s">
        <v>215</v>
      </c>
      <c r="B82" s="137"/>
      <c r="C82" s="138" t="s">
        <v>398</v>
      </c>
      <c r="D82" s="138" t="s">
        <v>118</v>
      </c>
      <c r="E82" s="138" t="s">
        <v>332</v>
      </c>
      <c r="F82" s="184"/>
      <c r="G82" s="118">
        <f>SUM(G83)</f>
        <v>0</v>
      </c>
    </row>
    <row r="83" spans="1:7" ht="15" customHeight="1" hidden="1">
      <c r="A83" s="136" t="s">
        <v>92</v>
      </c>
      <c r="B83" s="137"/>
      <c r="C83" s="138" t="s">
        <v>398</v>
      </c>
      <c r="D83" s="138" t="s">
        <v>118</v>
      </c>
      <c r="E83" s="138" t="s">
        <v>332</v>
      </c>
      <c r="F83" s="183" t="s">
        <v>93</v>
      </c>
      <c r="G83" s="118"/>
    </row>
    <row r="84" spans="1:7" ht="15">
      <c r="A84" s="109" t="s">
        <v>339</v>
      </c>
      <c r="B84" s="137"/>
      <c r="C84" s="138" t="s">
        <v>398</v>
      </c>
      <c r="D84" s="138" t="s">
        <v>104</v>
      </c>
      <c r="E84" s="138"/>
      <c r="F84" s="183"/>
      <c r="G84" s="118">
        <f>SUM(G85)</f>
        <v>2331.6</v>
      </c>
    </row>
    <row r="85" spans="1:7" ht="28.5">
      <c r="A85" s="136" t="s">
        <v>340</v>
      </c>
      <c r="B85" s="137"/>
      <c r="C85" s="138" t="s">
        <v>398</v>
      </c>
      <c r="D85" s="138" t="s">
        <v>104</v>
      </c>
      <c r="E85" s="138" t="s">
        <v>549</v>
      </c>
      <c r="F85" s="183"/>
      <c r="G85" s="118">
        <f>SUM(G86:G87)</f>
        <v>2331.6</v>
      </c>
    </row>
    <row r="86" spans="1:7" ht="28.5">
      <c r="A86" s="136" t="s">
        <v>675</v>
      </c>
      <c r="B86" s="137"/>
      <c r="C86" s="138" t="s">
        <v>398</v>
      </c>
      <c r="D86" s="138" t="s">
        <v>104</v>
      </c>
      <c r="E86" s="138" t="s">
        <v>549</v>
      </c>
      <c r="F86" s="183" t="s">
        <v>107</v>
      </c>
      <c r="G86" s="118">
        <v>42.2</v>
      </c>
    </row>
    <row r="87" spans="1:7" ht="15">
      <c r="A87" s="109" t="s">
        <v>434</v>
      </c>
      <c r="B87" s="137"/>
      <c r="C87" s="138" t="s">
        <v>398</v>
      </c>
      <c r="D87" s="138" t="s">
        <v>104</v>
      </c>
      <c r="E87" s="138" t="s">
        <v>549</v>
      </c>
      <c r="F87" s="183" t="s">
        <v>152</v>
      </c>
      <c r="G87" s="118">
        <v>2289.4</v>
      </c>
    </row>
    <row r="88" spans="1:7" ht="15">
      <c r="A88" s="136" t="s">
        <v>99</v>
      </c>
      <c r="B88" s="137"/>
      <c r="C88" s="138" t="s">
        <v>398</v>
      </c>
      <c r="D88" s="138" t="s">
        <v>203</v>
      </c>
      <c r="E88" s="138"/>
      <c r="F88" s="184"/>
      <c r="G88" s="118">
        <f>SUM(G89+G102)+G111</f>
        <v>36577.90000000001</v>
      </c>
    </row>
    <row r="89" spans="1:7" ht="28.5">
      <c r="A89" s="109" t="s">
        <v>430</v>
      </c>
      <c r="B89" s="186"/>
      <c r="C89" s="167" t="s">
        <v>398</v>
      </c>
      <c r="D89" s="167" t="s">
        <v>203</v>
      </c>
      <c r="E89" s="167" t="s">
        <v>431</v>
      </c>
      <c r="F89" s="383"/>
      <c r="G89" s="123">
        <f>G90+G93+G95+G98</f>
        <v>33564.100000000006</v>
      </c>
    </row>
    <row r="90" spans="1:7" ht="15">
      <c r="A90" s="109" t="s">
        <v>421</v>
      </c>
      <c r="B90" s="168"/>
      <c r="C90" s="167" t="s">
        <v>398</v>
      </c>
      <c r="D90" s="167" t="s">
        <v>203</v>
      </c>
      <c r="E90" s="167" t="s">
        <v>432</v>
      </c>
      <c r="F90" s="187"/>
      <c r="G90" s="123">
        <f>G91+G92</f>
        <v>2995.8</v>
      </c>
    </row>
    <row r="91" spans="1:7" ht="28.5">
      <c r="A91" s="136" t="s">
        <v>675</v>
      </c>
      <c r="B91" s="168"/>
      <c r="C91" s="167" t="s">
        <v>398</v>
      </c>
      <c r="D91" s="167" t="s">
        <v>203</v>
      </c>
      <c r="E91" s="167" t="s">
        <v>432</v>
      </c>
      <c r="F91" s="187" t="s">
        <v>107</v>
      </c>
      <c r="G91" s="123">
        <v>2926.3</v>
      </c>
    </row>
    <row r="92" spans="1:7" ht="15">
      <c r="A92" s="109" t="s">
        <v>434</v>
      </c>
      <c r="B92" s="168"/>
      <c r="C92" s="167" t="s">
        <v>398</v>
      </c>
      <c r="D92" s="167" t="s">
        <v>203</v>
      </c>
      <c r="E92" s="167" t="s">
        <v>432</v>
      </c>
      <c r="F92" s="187" t="s">
        <v>152</v>
      </c>
      <c r="G92" s="123">
        <v>69.5</v>
      </c>
    </row>
    <row r="93" spans="1:7" ht="28.5">
      <c r="A93" s="109" t="s">
        <v>422</v>
      </c>
      <c r="B93" s="168"/>
      <c r="C93" s="167" t="s">
        <v>398</v>
      </c>
      <c r="D93" s="167" t="s">
        <v>203</v>
      </c>
      <c r="E93" s="167" t="s">
        <v>435</v>
      </c>
      <c r="F93" s="187"/>
      <c r="G93" s="123">
        <f>SUM(G94)</f>
        <v>10404.1</v>
      </c>
    </row>
    <row r="94" spans="1:7" ht="28.5">
      <c r="A94" s="136" t="s">
        <v>675</v>
      </c>
      <c r="B94" s="168"/>
      <c r="C94" s="167" t="s">
        <v>398</v>
      </c>
      <c r="D94" s="167" t="s">
        <v>203</v>
      </c>
      <c r="E94" s="167" t="s">
        <v>435</v>
      </c>
      <c r="F94" s="187" t="s">
        <v>107</v>
      </c>
      <c r="G94" s="123">
        <v>10404.1</v>
      </c>
    </row>
    <row r="95" spans="1:7" ht="28.5">
      <c r="A95" s="109" t="s">
        <v>452</v>
      </c>
      <c r="B95" s="168"/>
      <c r="C95" s="167" t="s">
        <v>398</v>
      </c>
      <c r="D95" s="167" t="s">
        <v>203</v>
      </c>
      <c r="E95" s="167" t="s">
        <v>453</v>
      </c>
      <c r="F95" s="187"/>
      <c r="G95" s="123">
        <f>SUM(G96:G97)</f>
        <v>7015.4</v>
      </c>
    </row>
    <row r="96" spans="1:7" ht="28.5">
      <c r="A96" s="136" t="s">
        <v>675</v>
      </c>
      <c r="B96" s="168"/>
      <c r="C96" s="167" t="s">
        <v>398</v>
      </c>
      <c r="D96" s="167" t="s">
        <v>203</v>
      </c>
      <c r="E96" s="167" t="s">
        <v>453</v>
      </c>
      <c r="F96" s="187" t="s">
        <v>107</v>
      </c>
      <c r="G96" s="123">
        <v>6869.4</v>
      </c>
    </row>
    <row r="97" spans="1:7" ht="15">
      <c r="A97" s="109" t="s">
        <v>434</v>
      </c>
      <c r="B97" s="168"/>
      <c r="C97" s="167" t="s">
        <v>398</v>
      </c>
      <c r="D97" s="167" t="s">
        <v>203</v>
      </c>
      <c r="E97" s="167" t="s">
        <v>453</v>
      </c>
      <c r="F97" s="187" t="s">
        <v>152</v>
      </c>
      <c r="G97" s="123">
        <v>146</v>
      </c>
    </row>
    <row r="98" spans="1:7" ht="28.5">
      <c r="A98" s="109" t="s">
        <v>436</v>
      </c>
      <c r="B98" s="168"/>
      <c r="C98" s="167" t="s">
        <v>398</v>
      </c>
      <c r="D98" s="167" t="s">
        <v>203</v>
      </c>
      <c r="E98" s="167" t="s">
        <v>437</v>
      </c>
      <c r="F98" s="187"/>
      <c r="G98" s="123">
        <f>SUM(G99:G101)</f>
        <v>13148.8</v>
      </c>
    </row>
    <row r="99" spans="1:7" ht="28.5">
      <c r="A99" s="136" t="s">
        <v>675</v>
      </c>
      <c r="B99" s="168"/>
      <c r="C99" s="167" t="s">
        <v>398</v>
      </c>
      <c r="D99" s="167" t="s">
        <v>203</v>
      </c>
      <c r="E99" s="167" t="s">
        <v>437</v>
      </c>
      <c r="F99" s="187" t="s">
        <v>107</v>
      </c>
      <c r="G99" s="123">
        <f>9568+34</f>
        <v>9602</v>
      </c>
    </row>
    <row r="100" spans="1:7" ht="15">
      <c r="A100" s="111" t="s">
        <v>438</v>
      </c>
      <c r="B100" s="168"/>
      <c r="C100" s="167" t="s">
        <v>398</v>
      </c>
      <c r="D100" s="167" t="s">
        <v>203</v>
      </c>
      <c r="E100" s="167" t="s">
        <v>437</v>
      </c>
      <c r="F100" s="187" t="s">
        <v>439</v>
      </c>
      <c r="G100" s="123">
        <v>96</v>
      </c>
    </row>
    <row r="101" spans="1:7" ht="15">
      <c r="A101" s="109" t="s">
        <v>434</v>
      </c>
      <c r="B101" s="168"/>
      <c r="C101" s="167" t="s">
        <v>398</v>
      </c>
      <c r="D101" s="167" t="s">
        <v>203</v>
      </c>
      <c r="E101" s="167" t="s">
        <v>437</v>
      </c>
      <c r="F101" s="187" t="s">
        <v>152</v>
      </c>
      <c r="G101" s="123">
        <v>3450.8</v>
      </c>
    </row>
    <row r="102" spans="1:7" ht="28.5">
      <c r="A102" s="109" t="s">
        <v>518</v>
      </c>
      <c r="B102" s="168"/>
      <c r="C102" s="167" t="s">
        <v>398</v>
      </c>
      <c r="D102" s="167" t="s">
        <v>203</v>
      </c>
      <c r="E102" s="167" t="s">
        <v>123</v>
      </c>
      <c r="F102" s="187"/>
      <c r="G102" s="123">
        <f>G103</f>
        <v>2813.8</v>
      </c>
    </row>
    <row r="103" spans="1:7" ht="15">
      <c r="A103" s="109" t="s">
        <v>13</v>
      </c>
      <c r="B103" s="168"/>
      <c r="C103" s="167" t="s">
        <v>398</v>
      </c>
      <c r="D103" s="167" t="s">
        <v>203</v>
      </c>
      <c r="E103" s="167" t="s">
        <v>174</v>
      </c>
      <c r="F103" s="187"/>
      <c r="G103" s="123">
        <f>G104+G106</f>
        <v>2813.8</v>
      </c>
    </row>
    <row r="104" spans="1:7" ht="28.5">
      <c r="A104" s="109" t="s">
        <v>541</v>
      </c>
      <c r="B104" s="168"/>
      <c r="C104" s="167" t="s">
        <v>398</v>
      </c>
      <c r="D104" s="167" t="s">
        <v>203</v>
      </c>
      <c r="E104" s="167" t="s">
        <v>176</v>
      </c>
      <c r="F104" s="187"/>
      <c r="G104" s="123">
        <f>SUM(G105)</f>
        <v>2380.3</v>
      </c>
    </row>
    <row r="105" spans="1:7" ht="28.5">
      <c r="A105" s="109" t="s">
        <v>454</v>
      </c>
      <c r="B105" s="168"/>
      <c r="C105" s="167" t="s">
        <v>398</v>
      </c>
      <c r="D105" s="167" t="s">
        <v>203</v>
      </c>
      <c r="E105" s="167" t="s">
        <v>176</v>
      </c>
      <c r="F105" s="187" t="s">
        <v>445</v>
      </c>
      <c r="G105" s="123">
        <v>2380.3</v>
      </c>
    </row>
    <row r="106" spans="1:7" ht="15">
      <c r="A106" s="136" t="s">
        <v>140</v>
      </c>
      <c r="B106" s="168"/>
      <c r="C106" s="167" t="s">
        <v>398</v>
      </c>
      <c r="D106" s="167" t="s">
        <v>203</v>
      </c>
      <c r="E106" s="167" t="s">
        <v>356</v>
      </c>
      <c r="F106" s="187"/>
      <c r="G106" s="123">
        <f>SUM(G107+G109)</f>
        <v>433.5</v>
      </c>
    </row>
    <row r="107" spans="1:7" ht="28.5">
      <c r="A107" s="109" t="s">
        <v>128</v>
      </c>
      <c r="B107" s="168"/>
      <c r="C107" s="167" t="s">
        <v>398</v>
      </c>
      <c r="D107" s="167" t="s">
        <v>203</v>
      </c>
      <c r="E107" s="167" t="s">
        <v>357</v>
      </c>
      <c r="F107" s="187"/>
      <c r="G107" s="123">
        <f>SUM(G108)</f>
        <v>393.7</v>
      </c>
    </row>
    <row r="108" spans="1:7" ht="30.75" customHeight="1">
      <c r="A108" s="109" t="s">
        <v>454</v>
      </c>
      <c r="B108" s="168"/>
      <c r="C108" s="167" t="s">
        <v>398</v>
      </c>
      <c r="D108" s="167" t="s">
        <v>203</v>
      </c>
      <c r="E108" s="167" t="s">
        <v>357</v>
      </c>
      <c r="F108" s="187" t="s">
        <v>445</v>
      </c>
      <c r="G108" s="123">
        <v>393.7</v>
      </c>
    </row>
    <row r="109" spans="1:7" ht="22.5" customHeight="1">
      <c r="A109" s="194" t="s">
        <v>137</v>
      </c>
      <c r="B109" s="168"/>
      <c r="C109" s="167" t="s">
        <v>398</v>
      </c>
      <c r="D109" s="167" t="s">
        <v>203</v>
      </c>
      <c r="E109" s="167" t="s">
        <v>184</v>
      </c>
      <c r="F109" s="187"/>
      <c r="G109" s="123">
        <f>SUM(G110)</f>
        <v>39.8</v>
      </c>
    </row>
    <row r="110" spans="1:7" ht="28.5">
      <c r="A110" s="109" t="s">
        <v>454</v>
      </c>
      <c r="B110" s="168"/>
      <c r="C110" s="167" t="s">
        <v>398</v>
      </c>
      <c r="D110" s="167" t="s">
        <v>203</v>
      </c>
      <c r="E110" s="167" t="s">
        <v>184</v>
      </c>
      <c r="F110" s="187" t="s">
        <v>445</v>
      </c>
      <c r="G110" s="123">
        <v>39.8</v>
      </c>
    </row>
    <row r="111" spans="1:7" ht="20.25" customHeight="1">
      <c r="A111" s="146" t="s">
        <v>481</v>
      </c>
      <c r="B111" s="168"/>
      <c r="C111" s="167" t="s">
        <v>398</v>
      </c>
      <c r="D111" s="167" t="s">
        <v>203</v>
      </c>
      <c r="E111" s="167" t="s">
        <v>116</v>
      </c>
      <c r="F111" s="187"/>
      <c r="G111" s="123">
        <f>SUM(G112)+G114</f>
        <v>200</v>
      </c>
    </row>
    <row r="112" spans="1:7" ht="28.5">
      <c r="A112" s="109" t="s">
        <v>550</v>
      </c>
      <c r="B112" s="168"/>
      <c r="C112" s="167" t="s">
        <v>398</v>
      </c>
      <c r="D112" s="167" t="s">
        <v>203</v>
      </c>
      <c r="E112" s="167" t="s">
        <v>551</v>
      </c>
      <c r="F112" s="187"/>
      <c r="G112" s="123">
        <f>SUM(G113)</f>
        <v>100</v>
      </c>
    </row>
    <row r="113" spans="1:7" ht="28.5">
      <c r="A113" s="136" t="s">
        <v>675</v>
      </c>
      <c r="B113" s="168"/>
      <c r="C113" s="167" t="s">
        <v>398</v>
      </c>
      <c r="D113" s="167" t="s">
        <v>203</v>
      </c>
      <c r="E113" s="167" t="s">
        <v>551</v>
      </c>
      <c r="F113" s="187" t="s">
        <v>107</v>
      </c>
      <c r="G113" s="123">
        <v>100</v>
      </c>
    </row>
    <row r="114" spans="1:7" ht="42.75">
      <c r="A114" s="136" t="s">
        <v>1199</v>
      </c>
      <c r="B114" s="168"/>
      <c r="C114" s="167" t="s">
        <v>398</v>
      </c>
      <c r="D114" s="167" t="s">
        <v>203</v>
      </c>
      <c r="E114" s="167" t="s">
        <v>1200</v>
      </c>
      <c r="F114" s="187"/>
      <c r="G114" s="123">
        <f>SUM(G115)</f>
        <v>100</v>
      </c>
    </row>
    <row r="115" spans="1:7" ht="15">
      <c r="A115" s="111" t="s">
        <v>438</v>
      </c>
      <c r="B115" s="168"/>
      <c r="C115" s="167" t="s">
        <v>398</v>
      </c>
      <c r="D115" s="167" t="s">
        <v>203</v>
      </c>
      <c r="E115" s="167" t="s">
        <v>1200</v>
      </c>
      <c r="F115" s="187" t="s">
        <v>439</v>
      </c>
      <c r="G115" s="123">
        <v>100</v>
      </c>
    </row>
    <row r="116" spans="1:7" ht="15">
      <c r="A116" s="109" t="s">
        <v>125</v>
      </c>
      <c r="B116" s="168"/>
      <c r="C116" s="167" t="s">
        <v>95</v>
      </c>
      <c r="D116" s="167"/>
      <c r="E116" s="167"/>
      <c r="F116" s="187"/>
      <c r="G116" s="123">
        <f>SUM(G123)+G117</f>
        <v>25105.199999999997</v>
      </c>
    </row>
    <row r="117" spans="1:7" ht="15">
      <c r="A117" s="169" t="s">
        <v>53</v>
      </c>
      <c r="B117" s="168"/>
      <c r="C117" s="167" t="s">
        <v>95</v>
      </c>
      <c r="D117" s="167" t="s">
        <v>109</v>
      </c>
      <c r="E117" s="167"/>
      <c r="F117" s="187"/>
      <c r="G117" s="123">
        <f>SUM(G119)</f>
        <v>4686.6</v>
      </c>
    </row>
    <row r="118" spans="1:7" ht="15">
      <c r="A118" s="109" t="s">
        <v>351</v>
      </c>
      <c r="B118" s="168"/>
      <c r="C118" s="167" t="s">
        <v>95</v>
      </c>
      <c r="D118" s="167" t="s">
        <v>109</v>
      </c>
      <c r="E118" s="167" t="s">
        <v>352</v>
      </c>
      <c r="F118" s="187"/>
      <c r="G118" s="123">
        <f>SUM(G119)</f>
        <v>4686.6</v>
      </c>
    </row>
    <row r="119" spans="1:7" s="66" customFormat="1" ht="28.5">
      <c r="A119" s="109" t="s">
        <v>528</v>
      </c>
      <c r="B119" s="168"/>
      <c r="C119" s="167" t="s">
        <v>95</v>
      </c>
      <c r="D119" s="167" t="s">
        <v>109</v>
      </c>
      <c r="E119" s="167" t="s">
        <v>458</v>
      </c>
      <c r="F119" s="187"/>
      <c r="G119" s="123">
        <f>G120+G121+G122</f>
        <v>4686.6</v>
      </c>
    </row>
    <row r="120" spans="1:7" s="66" customFormat="1" ht="28.5">
      <c r="A120" s="109" t="s">
        <v>428</v>
      </c>
      <c r="B120" s="168"/>
      <c r="C120" s="167" t="s">
        <v>95</v>
      </c>
      <c r="D120" s="167" t="s">
        <v>109</v>
      </c>
      <c r="E120" s="167" t="s">
        <v>458</v>
      </c>
      <c r="F120" s="187" t="s">
        <v>429</v>
      </c>
      <c r="G120" s="123">
        <v>3663.9</v>
      </c>
    </row>
    <row r="121" spans="1:7" ht="28.5">
      <c r="A121" s="136" t="s">
        <v>675</v>
      </c>
      <c r="B121" s="168"/>
      <c r="C121" s="167" t="s">
        <v>95</v>
      </c>
      <c r="D121" s="167" t="s">
        <v>109</v>
      </c>
      <c r="E121" s="167" t="s">
        <v>458</v>
      </c>
      <c r="F121" s="187" t="s">
        <v>107</v>
      </c>
      <c r="G121" s="123">
        <v>936.4</v>
      </c>
    </row>
    <row r="122" spans="1:7" ht="15">
      <c r="A122" s="109" t="s">
        <v>434</v>
      </c>
      <c r="B122" s="168"/>
      <c r="C122" s="167" t="s">
        <v>95</v>
      </c>
      <c r="D122" s="167" t="s">
        <v>109</v>
      </c>
      <c r="E122" s="167" t="s">
        <v>458</v>
      </c>
      <c r="F122" s="187" t="s">
        <v>152</v>
      </c>
      <c r="G122" s="123">
        <v>86.3</v>
      </c>
    </row>
    <row r="123" spans="1:7" ht="28.5">
      <c r="A123" s="85" t="s">
        <v>258</v>
      </c>
      <c r="B123" s="170"/>
      <c r="C123" s="171" t="s">
        <v>95</v>
      </c>
      <c r="D123" s="171" t="s">
        <v>259</v>
      </c>
      <c r="E123" s="171"/>
      <c r="F123" s="188"/>
      <c r="G123" s="124">
        <f>G133+G140+G124+G145+G138</f>
        <v>20418.6</v>
      </c>
    </row>
    <row r="124" spans="1:7" ht="28.5">
      <c r="A124" s="109" t="s">
        <v>519</v>
      </c>
      <c r="B124" s="168"/>
      <c r="C124" s="167" t="s">
        <v>95</v>
      </c>
      <c r="D124" s="167" t="s">
        <v>259</v>
      </c>
      <c r="E124" s="167" t="s">
        <v>459</v>
      </c>
      <c r="F124" s="187"/>
      <c r="G124" s="123">
        <f>SUM(G125)</f>
        <v>12780.6</v>
      </c>
    </row>
    <row r="125" spans="1:7" ht="28.5">
      <c r="A125" s="109" t="s">
        <v>50</v>
      </c>
      <c r="B125" s="168"/>
      <c r="C125" s="167" t="s">
        <v>95</v>
      </c>
      <c r="D125" s="167" t="s">
        <v>259</v>
      </c>
      <c r="E125" s="167" t="s">
        <v>460</v>
      </c>
      <c r="F125" s="187"/>
      <c r="G125" s="123">
        <f>G126+G130+G132</f>
        <v>12780.6</v>
      </c>
    </row>
    <row r="126" spans="1:7" ht="28.5">
      <c r="A126" s="109" t="s">
        <v>428</v>
      </c>
      <c r="B126" s="168"/>
      <c r="C126" s="167" t="s">
        <v>95</v>
      </c>
      <c r="D126" s="167" t="s">
        <v>259</v>
      </c>
      <c r="E126" s="167" t="s">
        <v>460</v>
      </c>
      <c r="F126" s="187" t="s">
        <v>429</v>
      </c>
      <c r="G126" s="123">
        <v>10105</v>
      </c>
    </row>
    <row r="127" spans="1:7" ht="15" customHeight="1" hidden="1">
      <c r="A127" s="109" t="s">
        <v>461</v>
      </c>
      <c r="B127" s="168"/>
      <c r="C127" s="167" t="s">
        <v>95</v>
      </c>
      <c r="D127" s="167" t="s">
        <v>259</v>
      </c>
      <c r="E127" s="167" t="s">
        <v>460</v>
      </c>
      <c r="F127" s="187" t="s">
        <v>462</v>
      </c>
      <c r="G127" s="123"/>
    </row>
    <row r="128" spans="1:7" ht="28.5" customHeight="1" hidden="1">
      <c r="A128" s="109" t="s">
        <v>463</v>
      </c>
      <c r="B128" s="172"/>
      <c r="C128" s="167" t="s">
        <v>95</v>
      </c>
      <c r="D128" s="167" t="s">
        <v>259</v>
      </c>
      <c r="E128" s="167" t="s">
        <v>460</v>
      </c>
      <c r="F128" s="187" t="s">
        <v>464</v>
      </c>
      <c r="G128" s="123"/>
    </row>
    <row r="129" spans="1:7" ht="28.5" customHeight="1" hidden="1">
      <c r="A129" s="109" t="s">
        <v>465</v>
      </c>
      <c r="B129" s="172"/>
      <c r="C129" s="167" t="s">
        <v>95</v>
      </c>
      <c r="D129" s="167" t="s">
        <v>259</v>
      </c>
      <c r="E129" s="167" t="s">
        <v>460</v>
      </c>
      <c r="F129" s="187" t="s">
        <v>466</v>
      </c>
      <c r="G129" s="123"/>
    </row>
    <row r="130" spans="1:7" ht="28.5">
      <c r="A130" s="136" t="s">
        <v>675</v>
      </c>
      <c r="B130" s="172"/>
      <c r="C130" s="167" t="s">
        <v>95</v>
      </c>
      <c r="D130" s="167" t="s">
        <v>259</v>
      </c>
      <c r="E130" s="167" t="s">
        <v>460</v>
      </c>
      <c r="F130" s="187" t="s">
        <v>107</v>
      </c>
      <c r="G130" s="123">
        <v>2461.9</v>
      </c>
    </row>
    <row r="131" spans="1:7" ht="15" customHeight="1" hidden="1">
      <c r="A131" s="109" t="s">
        <v>448</v>
      </c>
      <c r="B131" s="172"/>
      <c r="C131" s="167" t="s">
        <v>95</v>
      </c>
      <c r="D131" s="167" t="s">
        <v>259</v>
      </c>
      <c r="E131" s="167" t="s">
        <v>460</v>
      </c>
      <c r="F131" s="187" t="s">
        <v>449</v>
      </c>
      <c r="G131" s="123"/>
    </row>
    <row r="132" spans="1:7" ht="15">
      <c r="A132" s="194" t="s">
        <v>434</v>
      </c>
      <c r="B132" s="189"/>
      <c r="C132" s="173" t="s">
        <v>95</v>
      </c>
      <c r="D132" s="173" t="s">
        <v>259</v>
      </c>
      <c r="E132" s="173" t="s">
        <v>460</v>
      </c>
      <c r="F132" s="384" t="s">
        <v>152</v>
      </c>
      <c r="G132" s="542">
        <v>213.7</v>
      </c>
    </row>
    <row r="133" spans="1:7" ht="28.5">
      <c r="A133" s="109" t="s">
        <v>520</v>
      </c>
      <c r="B133" s="168"/>
      <c r="C133" s="167" t="s">
        <v>95</v>
      </c>
      <c r="D133" s="167" t="s">
        <v>259</v>
      </c>
      <c r="E133" s="167" t="s">
        <v>467</v>
      </c>
      <c r="F133" s="187"/>
      <c r="G133" s="123">
        <f>SUM(G135+G137)</f>
        <v>1521.5</v>
      </c>
    </row>
    <row r="134" spans="1:7" ht="28.5">
      <c r="A134" s="109" t="s">
        <v>521</v>
      </c>
      <c r="B134" s="168"/>
      <c r="C134" s="167" t="s">
        <v>95</v>
      </c>
      <c r="D134" s="167" t="s">
        <v>259</v>
      </c>
      <c r="E134" s="167" t="s">
        <v>468</v>
      </c>
      <c r="F134" s="187"/>
      <c r="G134" s="123">
        <f>SUM(G135)</f>
        <v>1021.5</v>
      </c>
    </row>
    <row r="135" spans="1:7" ht="28.5">
      <c r="A135" s="136" t="s">
        <v>675</v>
      </c>
      <c r="B135" s="168"/>
      <c r="C135" s="167" t="s">
        <v>95</v>
      </c>
      <c r="D135" s="167" t="s">
        <v>259</v>
      </c>
      <c r="E135" s="167" t="s">
        <v>468</v>
      </c>
      <c r="F135" s="187" t="s">
        <v>107</v>
      </c>
      <c r="G135" s="123">
        <v>1021.5</v>
      </c>
    </row>
    <row r="136" spans="1:7" ht="28.5">
      <c r="A136" s="109" t="s">
        <v>0</v>
      </c>
      <c r="B136" s="168"/>
      <c r="C136" s="167" t="s">
        <v>95</v>
      </c>
      <c r="D136" s="167" t="s">
        <v>259</v>
      </c>
      <c r="E136" s="167" t="s">
        <v>469</v>
      </c>
      <c r="F136" s="187"/>
      <c r="G136" s="123">
        <f>SUM(G137)</f>
        <v>500</v>
      </c>
    </row>
    <row r="137" spans="1:7" s="66" customFormat="1" ht="28.5">
      <c r="A137" s="136" t="s">
        <v>675</v>
      </c>
      <c r="B137" s="168"/>
      <c r="C137" s="167" t="s">
        <v>95</v>
      </c>
      <c r="D137" s="167" t="s">
        <v>259</v>
      </c>
      <c r="E137" s="167" t="s">
        <v>469</v>
      </c>
      <c r="F137" s="187" t="s">
        <v>107</v>
      </c>
      <c r="G137" s="123">
        <v>500</v>
      </c>
    </row>
    <row r="138" spans="1:7" s="66" customFormat="1" ht="57">
      <c r="A138" s="136" t="s">
        <v>1099</v>
      </c>
      <c r="B138" s="168"/>
      <c r="C138" s="167" t="s">
        <v>95</v>
      </c>
      <c r="D138" s="167" t="s">
        <v>259</v>
      </c>
      <c r="E138" s="167" t="s">
        <v>1100</v>
      </c>
      <c r="F138" s="187"/>
      <c r="G138" s="123">
        <f>SUM(G139)</f>
        <v>2367.8</v>
      </c>
    </row>
    <row r="139" spans="1:7" s="66" customFormat="1" ht="30" customHeight="1">
      <c r="A139" s="136" t="s">
        <v>675</v>
      </c>
      <c r="B139" s="168"/>
      <c r="C139" s="167" t="s">
        <v>95</v>
      </c>
      <c r="D139" s="167" t="s">
        <v>259</v>
      </c>
      <c r="E139" s="167" t="s">
        <v>1100</v>
      </c>
      <c r="F139" s="187" t="s">
        <v>107</v>
      </c>
      <c r="G139" s="123">
        <v>2367.8</v>
      </c>
    </row>
    <row r="140" spans="1:7" ht="15" customHeight="1" hidden="1">
      <c r="A140" s="109" t="s">
        <v>1</v>
      </c>
      <c r="B140" s="145"/>
      <c r="C140" s="141" t="s">
        <v>95</v>
      </c>
      <c r="D140" s="141" t="s">
        <v>259</v>
      </c>
      <c r="E140" s="141" t="s">
        <v>470</v>
      </c>
      <c r="F140" s="184"/>
      <c r="G140" s="123"/>
    </row>
    <row r="141" spans="1:7" ht="28.5" customHeight="1" hidden="1">
      <c r="A141" s="109" t="s">
        <v>2</v>
      </c>
      <c r="B141" s="145"/>
      <c r="C141" s="141" t="s">
        <v>95</v>
      </c>
      <c r="D141" s="141" t="s">
        <v>259</v>
      </c>
      <c r="E141" s="141" t="s">
        <v>471</v>
      </c>
      <c r="F141" s="184"/>
      <c r="G141" s="123"/>
    </row>
    <row r="142" spans="1:7" ht="15" customHeight="1" hidden="1">
      <c r="A142" s="109" t="s">
        <v>433</v>
      </c>
      <c r="B142" s="145"/>
      <c r="C142" s="141" t="s">
        <v>95</v>
      </c>
      <c r="D142" s="141" t="s">
        <v>259</v>
      </c>
      <c r="E142" s="141" t="s">
        <v>471</v>
      </c>
      <c r="F142" s="184" t="s">
        <v>107</v>
      </c>
      <c r="G142" s="123"/>
    </row>
    <row r="143" spans="1:7" ht="15" customHeight="1" hidden="1">
      <c r="A143" s="109" t="s">
        <v>448</v>
      </c>
      <c r="B143" s="145"/>
      <c r="C143" s="141" t="s">
        <v>95</v>
      </c>
      <c r="D143" s="141" t="s">
        <v>259</v>
      </c>
      <c r="E143" s="141" t="s">
        <v>471</v>
      </c>
      <c r="F143" s="184" t="s">
        <v>449</v>
      </c>
      <c r="G143" s="123"/>
    </row>
    <row r="144" spans="1:7" ht="28.5" customHeight="1" hidden="1">
      <c r="A144" s="109" t="s">
        <v>450</v>
      </c>
      <c r="B144" s="145"/>
      <c r="C144" s="141" t="s">
        <v>95</v>
      </c>
      <c r="D144" s="141" t="s">
        <v>259</v>
      </c>
      <c r="E144" s="141" t="s">
        <v>471</v>
      </c>
      <c r="F144" s="184" t="s">
        <v>451</v>
      </c>
      <c r="G144" s="123"/>
    </row>
    <row r="145" spans="1:7" ht="18.75" customHeight="1">
      <c r="A145" s="147" t="s">
        <v>481</v>
      </c>
      <c r="B145" s="145"/>
      <c r="C145" s="148" t="s">
        <v>95</v>
      </c>
      <c r="D145" s="148" t="s">
        <v>259</v>
      </c>
      <c r="E145" s="141" t="s">
        <v>116</v>
      </c>
      <c r="F145" s="385"/>
      <c r="G145" s="524">
        <f>SUM(G148)+G146</f>
        <v>3748.7</v>
      </c>
    </row>
    <row r="146" spans="1:7" ht="33.75" customHeight="1">
      <c r="A146" s="147" t="s">
        <v>1201</v>
      </c>
      <c r="B146" s="145"/>
      <c r="C146" s="148" t="s">
        <v>95</v>
      </c>
      <c r="D146" s="148" t="s">
        <v>259</v>
      </c>
      <c r="E146" s="141" t="s">
        <v>1202</v>
      </c>
      <c r="F146" s="385"/>
      <c r="G146" s="524">
        <f>SUM(G147)</f>
        <v>3683.7</v>
      </c>
    </row>
    <row r="147" spans="1:7" ht="30.75" customHeight="1">
      <c r="A147" s="136" t="s">
        <v>675</v>
      </c>
      <c r="B147" s="145"/>
      <c r="C147" s="148" t="s">
        <v>95</v>
      </c>
      <c r="D147" s="148" t="s">
        <v>259</v>
      </c>
      <c r="E147" s="141" t="s">
        <v>1202</v>
      </c>
      <c r="F147" s="187" t="s">
        <v>107</v>
      </c>
      <c r="G147" s="524">
        <f>2501.4+1182.3</f>
        <v>3683.7</v>
      </c>
    </row>
    <row r="148" spans="1:7" ht="28.5">
      <c r="A148" s="109" t="s">
        <v>552</v>
      </c>
      <c r="B148" s="137"/>
      <c r="C148" s="148" t="s">
        <v>95</v>
      </c>
      <c r="D148" s="148" t="s">
        <v>259</v>
      </c>
      <c r="E148" s="141" t="s">
        <v>553</v>
      </c>
      <c r="F148" s="184"/>
      <c r="G148" s="118">
        <f>SUM(G149)</f>
        <v>65</v>
      </c>
    </row>
    <row r="149" spans="1:7" ht="30" customHeight="1">
      <c r="A149" s="136" t="s">
        <v>675</v>
      </c>
      <c r="B149" s="137"/>
      <c r="C149" s="148" t="s">
        <v>95</v>
      </c>
      <c r="D149" s="148" t="s">
        <v>259</v>
      </c>
      <c r="E149" s="141" t="s">
        <v>553</v>
      </c>
      <c r="F149" s="184" t="s">
        <v>107</v>
      </c>
      <c r="G149" s="118">
        <v>65</v>
      </c>
    </row>
    <row r="150" spans="1:7" ht="28.5" customHeight="1" hidden="1">
      <c r="A150" s="109" t="s">
        <v>179</v>
      </c>
      <c r="B150" s="137"/>
      <c r="C150" s="148" t="s">
        <v>95</v>
      </c>
      <c r="D150" s="148" t="s">
        <v>259</v>
      </c>
      <c r="E150" s="141" t="s">
        <v>133</v>
      </c>
      <c r="F150" s="184"/>
      <c r="G150" s="118">
        <f>SUM(G151)</f>
        <v>0</v>
      </c>
    </row>
    <row r="151" spans="1:7" ht="15" customHeight="1" hidden="1">
      <c r="A151" s="136" t="s">
        <v>92</v>
      </c>
      <c r="B151" s="137"/>
      <c r="C151" s="148" t="s">
        <v>95</v>
      </c>
      <c r="D151" s="148" t="s">
        <v>259</v>
      </c>
      <c r="E151" s="141" t="s">
        <v>133</v>
      </c>
      <c r="F151" s="184" t="s">
        <v>93</v>
      </c>
      <c r="G151" s="118"/>
    </row>
    <row r="152" spans="1:7" s="66" customFormat="1" ht="15">
      <c r="A152" s="109" t="s">
        <v>108</v>
      </c>
      <c r="B152" s="168"/>
      <c r="C152" s="167" t="s">
        <v>109</v>
      </c>
      <c r="D152" s="167"/>
      <c r="E152" s="167"/>
      <c r="F152" s="187"/>
      <c r="G152" s="123">
        <f>G153+G180+G167</f>
        <v>229275.50000000003</v>
      </c>
    </row>
    <row r="153" spans="1:7" ht="15">
      <c r="A153" s="109" t="s">
        <v>110</v>
      </c>
      <c r="B153" s="168"/>
      <c r="C153" s="167" t="s">
        <v>109</v>
      </c>
      <c r="D153" s="167" t="s">
        <v>111</v>
      </c>
      <c r="E153" s="167"/>
      <c r="F153" s="187"/>
      <c r="G153" s="123">
        <f>G156+G154</f>
        <v>103420.3</v>
      </c>
    </row>
    <row r="154" spans="1:7" ht="15">
      <c r="A154" s="294" t="s">
        <v>1105</v>
      </c>
      <c r="B154" s="216"/>
      <c r="C154" s="355" t="s">
        <v>109</v>
      </c>
      <c r="D154" s="217" t="s">
        <v>111</v>
      </c>
      <c r="E154" s="217" t="s">
        <v>1106</v>
      </c>
      <c r="F154" s="219"/>
      <c r="G154" s="367">
        <f>SUM(G155)</f>
        <v>99.8</v>
      </c>
    </row>
    <row r="155" spans="1:7" ht="28.5">
      <c r="A155" s="136" t="s">
        <v>675</v>
      </c>
      <c r="B155" s="168"/>
      <c r="C155" s="355" t="s">
        <v>109</v>
      </c>
      <c r="D155" s="217" t="s">
        <v>111</v>
      </c>
      <c r="E155" s="217" t="s">
        <v>1106</v>
      </c>
      <c r="F155" s="219" t="s">
        <v>107</v>
      </c>
      <c r="G155" s="367">
        <v>99.8</v>
      </c>
    </row>
    <row r="156" spans="1:7" ht="15">
      <c r="A156" s="109" t="s">
        <v>472</v>
      </c>
      <c r="B156" s="168"/>
      <c r="C156" s="167" t="s">
        <v>109</v>
      </c>
      <c r="D156" s="167" t="s">
        <v>111</v>
      </c>
      <c r="E156" s="167" t="s">
        <v>473</v>
      </c>
      <c r="F156" s="187"/>
      <c r="G156" s="123">
        <f>G157+G161</f>
        <v>103320.5</v>
      </c>
    </row>
    <row r="157" spans="1:7" ht="15">
      <c r="A157" s="109" t="s">
        <v>474</v>
      </c>
      <c r="B157" s="168"/>
      <c r="C157" s="167" t="s">
        <v>109</v>
      </c>
      <c r="D157" s="167" t="s">
        <v>111</v>
      </c>
      <c r="E157" s="167" t="s">
        <v>475</v>
      </c>
      <c r="F157" s="187"/>
      <c r="G157" s="123">
        <f>G158</f>
        <v>40608.2</v>
      </c>
    </row>
    <row r="158" spans="1:7" ht="15">
      <c r="A158" s="109" t="s">
        <v>6</v>
      </c>
      <c r="B158" s="168"/>
      <c r="C158" s="167" t="s">
        <v>109</v>
      </c>
      <c r="D158" s="167" t="s">
        <v>111</v>
      </c>
      <c r="E158" s="167" t="s">
        <v>476</v>
      </c>
      <c r="F158" s="187"/>
      <c r="G158" s="123">
        <f>SUM(G159)</f>
        <v>40608.2</v>
      </c>
    </row>
    <row r="159" spans="1:7" s="71" customFormat="1" ht="15">
      <c r="A159" s="109" t="s">
        <v>434</v>
      </c>
      <c r="B159" s="168"/>
      <c r="C159" s="167" t="s">
        <v>109</v>
      </c>
      <c r="D159" s="167" t="s">
        <v>111</v>
      </c>
      <c r="E159" s="167" t="s">
        <v>476</v>
      </c>
      <c r="F159" s="187" t="s">
        <v>152</v>
      </c>
      <c r="G159" s="123">
        <v>40608.2</v>
      </c>
    </row>
    <row r="160" spans="1:7" ht="28.5" customHeight="1" hidden="1">
      <c r="A160" s="109" t="s">
        <v>477</v>
      </c>
      <c r="B160" s="168"/>
      <c r="C160" s="167" t="s">
        <v>109</v>
      </c>
      <c r="D160" s="167" t="s">
        <v>111</v>
      </c>
      <c r="E160" s="167" t="s">
        <v>476</v>
      </c>
      <c r="F160" s="187" t="s">
        <v>178</v>
      </c>
      <c r="G160" s="123"/>
    </row>
    <row r="161" spans="1:7" ht="15">
      <c r="A161" s="109" t="s">
        <v>112</v>
      </c>
      <c r="B161" s="168"/>
      <c r="C161" s="167" t="s">
        <v>109</v>
      </c>
      <c r="D161" s="167" t="s">
        <v>111</v>
      </c>
      <c r="E161" s="167" t="s">
        <v>358</v>
      </c>
      <c r="F161" s="187"/>
      <c r="G161" s="123">
        <f>G162</f>
        <v>62712.3</v>
      </c>
    </row>
    <row r="162" spans="1:7" ht="15">
      <c r="A162" s="109" t="s">
        <v>13</v>
      </c>
      <c r="B162" s="168"/>
      <c r="C162" s="167" t="s">
        <v>109</v>
      </c>
      <c r="D162" s="167" t="s">
        <v>111</v>
      </c>
      <c r="E162" s="167" t="s">
        <v>70</v>
      </c>
      <c r="F162" s="187"/>
      <c r="G162" s="123">
        <f>SUM(G163)</f>
        <v>62712.3</v>
      </c>
    </row>
    <row r="163" spans="1:7" ht="28.5">
      <c r="A163" s="109" t="s">
        <v>175</v>
      </c>
      <c r="B163" s="168"/>
      <c r="C163" s="167" t="s">
        <v>109</v>
      </c>
      <c r="D163" s="167" t="s">
        <v>111</v>
      </c>
      <c r="E163" s="167" t="s">
        <v>71</v>
      </c>
      <c r="F163" s="187"/>
      <c r="G163" s="123">
        <f>SUM(G164)</f>
        <v>62712.3</v>
      </c>
    </row>
    <row r="164" spans="1:7" ht="28.5">
      <c r="A164" s="109" t="s">
        <v>454</v>
      </c>
      <c r="B164" s="168"/>
      <c r="C164" s="167" t="s">
        <v>109</v>
      </c>
      <c r="D164" s="167" t="s">
        <v>111</v>
      </c>
      <c r="E164" s="167" t="s">
        <v>71</v>
      </c>
      <c r="F164" s="187" t="s">
        <v>445</v>
      </c>
      <c r="G164" s="123">
        <v>62712.3</v>
      </c>
    </row>
    <row r="165" spans="1:7" ht="15" customHeight="1" hidden="1">
      <c r="A165" s="109" t="s">
        <v>455</v>
      </c>
      <c r="B165" s="168"/>
      <c r="C165" s="167" t="s">
        <v>109</v>
      </c>
      <c r="D165" s="167" t="s">
        <v>111</v>
      </c>
      <c r="E165" s="167" t="s">
        <v>71</v>
      </c>
      <c r="F165" s="187" t="s">
        <v>456</v>
      </c>
      <c r="G165" s="123"/>
    </row>
    <row r="166" spans="1:7" ht="42.75" customHeight="1" hidden="1">
      <c r="A166" s="85" t="s">
        <v>457</v>
      </c>
      <c r="B166" s="168"/>
      <c r="C166" s="167" t="s">
        <v>109</v>
      </c>
      <c r="D166" s="167" t="s">
        <v>111</v>
      </c>
      <c r="E166" s="167" t="s">
        <v>71</v>
      </c>
      <c r="F166" s="187" t="s">
        <v>52</v>
      </c>
      <c r="G166" s="123"/>
    </row>
    <row r="167" spans="1:7" s="66" customFormat="1" ht="15">
      <c r="A167" s="109" t="s">
        <v>130</v>
      </c>
      <c r="B167" s="168"/>
      <c r="C167" s="167" t="s">
        <v>109</v>
      </c>
      <c r="D167" s="167" t="s">
        <v>259</v>
      </c>
      <c r="E167" s="167"/>
      <c r="F167" s="187"/>
      <c r="G167" s="123">
        <f>G168+G170+G176</f>
        <v>102786.80000000002</v>
      </c>
    </row>
    <row r="168" spans="1:7" s="66" customFormat="1" ht="28.5">
      <c r="A168" s="109" t="s">
        <v>32</v>
      </c>
      <c r="B168" s="168"/>
      <c r="C168" s="167" t="s">
        <v>109</v>
      </c>
      <c r="D168" s="167" t="s">
        <v>259</v>
      </c>
      <c r="E168" s="167" t="s">
        <v>33</v>
      </c>
      <c r="F168" s="187"/>
      <c r="G168" s="123">
        <f>G169</f>
        <v>72805.1</v>
      </c>
    </row>
    <row r="169" spans="1:7" s="72" customFormat="1" ht="28.5">
      <c r="A169" s="136" t="s">
        <v>675</v>
      </c>
      <c r="B169" s="168"/>
      <c r="C169" s="167" t="s">
        <v>109</v>
      </c>
      <c r="D169" s="167" t="s">
        <v>259</v>
      </c>
      <c r="E169" s="167" t="s">
        <v>33</v>
      </c>
      <c r="F169" s="187" t="s">
        <v>107</v>
      </c>
      <c r="G169" s="123">
        <v>72805.1</v>
      </c>
    </row>
    <row r="170" spans="1:7" s="68" customFormat="1" ht="28.5">
      <c r="A170" s="109" t="s">
        <v>695</v>
      </c>
      <c r="B170" s="168"/>
      <c r="C170" s="167" t="s">
        <v>109</v>
      </c>
      <c r="D170" s="167" t="s">
        <v>259</v>
      </c>
      <c r="E170" s="167" t="s">
        <v>696</v>
      </c>
      <c r="F170" s="187"/>
      <c r="G170" s="123">
        <f>SUM(G171)</f>
        <v>29881.6</v>
      </c>
    </row>
    <row r="171" spans="1:7" s="68" customFormat="1" ht="71.25">
      <c r="A171" s="109" t="s">
        <v>697</v>
      </c>
      <c r="B171" s="168"/>
      <c r="C171" s="167" t="s">
        <v>109</v>
      </c>
      <c r="D171" s="167" t="s">
        <v>259</v>
      </c>
      <c r="E171" s="167" t="s">
        <v>698</v>
      </c>
      <c r="F171" s="187"/>
      <c r="G171" s="123">
        <f>SUM(G174)+G172</f>
        <v>29881.6</v>
      </c>
    </row>
    <row r="172" spans="1:7" s="68" customFormat="1" ht="28.5">
      <c r="A172" s="109" t="s">
        <v>1203</v>
      </c>
      <c r="B172" s="168"/>
      <c r="C172" s="167" t="s">
        <v>109</v>
      </c>
      <c r="D172" s="167" t="s">
        <v>259</v>
      </c>
      <c r="E172" s="167" t="s">
        <v>1204</v>
      </c>
      <c r="F172" s="187"/>
      <c r="G172" s="123">
        <f>SUM(G173)</f>
        <v>13678.3</v>
      </c>
    </row>
    <row r="173" spans="1:7" s="68" customFormat="1" ht="28.5">
      <c r="A173" s="109" t="s">
        <v>676</v>
      </c>
      <c r="B173" s="168"/>
      <c r="C173" s="167" t="s">
        <v>109</v>
      </c>
      <c r="D173" s="167" t="s">
        <v>259</v>
      </c>
      <c r="E173" s="167" t="s">
        <v>1204</v>
      </c>
      <c r="F173" s="187" t="s">
        <v>489</v>
      </c>
      <c r="G173" s="123">
        <v>13678.3</v>
      </c>
    </row>
    <row r="174" spans="1:7" s="68" customFormat="1" ht="28.5">
      <c r="A174" s="109" t="s">
        <v>699</v>
      </c>
      <c r="B174" s="168"/>
      <c r="C174" s="167" t="s">
        <v>109</v>
      </c>
      <c r="D174" s="167" t="s">
        <v>259</v>
      </c>
      <c r="E174" s="167" t="s">
        <v>700</v>
      </c>
      <c r="F174" s="187"/>
      <c r="G174" s="123">
        <f>SUM(G175)</f>
        <v>16203.3</v>
      </c>
    </row>
    <row r="175" spans="1:7" s="68" customFormat="1" ht="28.5">
      <c r="A175" s="136" t="s">
        <v>675</v>
      </c>
      <c r="B175" s="168"/>
      <c r="C175" s="167" t="s">
        <v>109</v>
      </c>
      <c r="D175" s="167" t="s">
        <v>259</v>
      </c>
      <c r="E175" s="167" t="s">
        <v>700</v>
      </c>
      <c r="F175" s="187" t="s">
        <v>107</v>
      </c>
      <c r="G175" s="123">
        <v>16203.3</v>
      </c>
    </row>
    <row r="176" spans="1:7" s="68" customFormat="1" ht="15">
      <c r="A176" s="146" t="s">
        <v>481</v>
      </c>
      <c r="B176" s="170"/>
      <c r="C176" s="167" t="s">
        <v>109</v>
      </c>
      <c r="D176" s="167" t="s">
        <v>259</v>
      </c>
      <c r="E176" s="171" t="s">
        <v>116</v>
      </c>
      <c r="F176" s="188"/>
      <c r="G176" s="124">
        <f>SUM(G177)</f>
        <v>100.1</v>
      </c>
    </row>
    <row r="177" spans="1:7" s="68" customFormat="1" ht="28.5">
      <c r="A177" s="136" t="s">
        <v>1093</v>
      </c>
      <c r="B177" s="168"/>
      <c r="C177" s="167" t="s">
        <v>109</v>
      </c>
      <c r="D177" s="167" t="s">
        <v>259</v>
      </c>
      <c r="E177" s="171" t="s">
        <v>1094</v>
      </c>
      <c r="F177" s="187"/>
      <c r="G177" s="123">
        <f>SUM(G178:G179)</f>
        <v>100.1</v>
      </c>
    </row>
    <row r="178" spans="1:7" s="68" customFormat="1" ht="28.5">
      <c r="A178" s="136" t="s">
        <v>675</v>
      </c>
      <c r="B178" s="168"/>
      <c r="C178" s="167" t="s">
        <v>109</v>
      </c>
      <c r="D178" s="167" t="s">
        <v>259</v>
      </c>
      <c r="E178" s="171" t="s">
        <v>1094</v>
      </c>
      <c r="F178" s="187" t="s">
        <v>107</v>
      </c>
      <c r="G178" s="123">
        <v>5.1</v>
      </c>
    </row>
    <row r="179" spans="1:7" s="68" customFormat="1" ht="28.5">
      <c r="A179" s="109" t="s">
        <v>676</v>
      </c>
      <c r="B179" s="168"/>
      <c r="C179" s="167" t="s">
        <v>109</v>
      </c>
      <c r="D179" s="167" t="s">
        <v>259</v>
      </c>
      <c r="E179" s="171" t="s">
        <v>1094</v>
      </c>
      <c r="F179" s="187" t="s">
        <v>489</v>
      </c>
      <c r="G179" s="123">
        <v>95</v>
      </c>
    </row>
    <row r="180" spans="1:7" s="68" customFormat="1" ht="15">
      <c r="A180" s="109" t="s">
        <v>359</v>
      </c>
      <c r="B180" s="168"/>
      <c r="C180" s="167" t="s">
        <v>109</v>
      </c>
      <c r="D180" s="167" t="s">
        <v>349</v>
      </c>
      <c r="E180" s="167"/>
      <c r="F180" s="187"/>
      <c r="G180" s="123">
        <f>SUM(G181+G195+G198+G201)</f>
        <v>23068.4</v>
      </c>
    </row>
    <row r="181" spans="1:7" s="68" customFormat="1" ht="15">
      <c r="A181" s="109" t="s">
        <v>472</v>
      </c>
      <c r="B181" s="168"/>
      <c r="C181" s="167" t="s">
        <v>109</v>
      </c>
      <c r="D181" s="167" t="s">
        <v>349</v>
      </c>
      <c r="E181" s="167" t="s">
        <v>473</v>
      </c>
      <c r="F181" s="187"/>
      <c r="G181" s="123">
        <f>SUM(G182+G189)</f>
        <v>4549.4</v>
      </c>
    </row>
    <row r="182" spans="1:7" s="68" customFormat="1" ht="15">
      <c r="A182" s="109" t="s">
        <v>646</v>
      </c>
      <c r="B182" s="168"/>
      <c r="C182" s="167" t="s">
        <v>109</v>
      </c>
      <c r="D182" s="167" t="s">
        <v>349</v>
      </c>
      <c r="E182" s="167" t="s">
        <v>647</v>
      </c>
      <c r="F182" s="187"/>
      <c r="G182" s="123">
        <f>SUM(G183)</f>
        <v>331.70000000000005</v>
      </c>
    </row>
    <row r="183" spans="1:7" s="68" customFormat="1" ht="15">
      <c r="A183" s="109" t="s">
        <v>13</v>
      </c>
      <c r="B183" s="168"/>
      <c r="C183" s="167" t="s">
        <v>109</v>
      </c>
      <c r="D183" s="167" t="s">
        <v>349</v>
      </c>
      <c r="E183" s="167" t="s">
        <v>648</v>
      </c>
      <c r="F183" s="187"/>
      <c r="G183" s="123">
        <f>SUM(G184)+G186</f>
        <v>331.70000000000005</v>
      </c>
    </row>
    <row r="184" spans="1:7" s="68" customFormat="1" ht="28.5">
      <c r="A184" s="109" t="s">
        <v>175</v>
      </c>
      <c r="B184" s="168"/>
      <c r="C184" s="167" t="s">
        <v>109</v>
      </c>
      <c r="D184" s="167" t="s">
        <v>349</v>
      </c>
      <c r="E184" s="167" t="s">
        <v>649</v>
      </c>
      <c r="F184" s="187"/>
      <c r="G184" s="123">
        <f>SUM(G185)</f>
        <v>327.1</v>
      </c>
    </row>
    <row r="185" spans="1:7" s="68" customFormat="1" ht="28.5">
      <c r="A185" s="109" t="s">
        <v>454</v>
      </c>
      <c r="B185" s="168"/>
      <c r="C185" s="167" t="s">
        <v>109</v>
      </c>
      <c r="D185" s="167" t="s">
        <v>349</v>
      </c>
      <c r="E185" s="167" t="s">
        <v>649</v>
      </c>
      <c r="F185" s="187" t="s">
        <v>445</v>
      </c>
      <c r="G185" s="123">
        <v>327.1</v>
      </c>
    </row>
    <row r="186" spans="1:7" s="68" customFormat="1" ht="15">
      <c r="A186" s="376" t="s">
        <v>140</v>
      </c>
      <c r="B186" s="168"/>
      <c r="C186" s="356" t="s">
        <v>109</v>
      </c>
      <c r="D186" s="167" t="s">
        <v>349</v>
      </c>
      <c r="E186" s="112" t="s">
        <v>1109</v>
      </c>
      <c r="F186" s="114"/>
      <c r="G186" s="354">
        <f>SUM(G188)</f>
        <v>4.6</v>
      </c>
    </row>
    <row r="187" spans="1:7" s="68" customFormat="1" ht="15">
      <c r="A187" s="376" t="s">
        <v>137</v>
      </c>
      <c r="B187" s="168"/>
      <c r="C187" s="356" t="s">
        <v>109</v>
      </c>
      <c r="D187" s="167" t="s">
        <v>349</v>
      </c>
      <c r="E187" s="112" t="s">
        <v>1110</v>
      </c>
      <c r="F187" s="114"/>
      <c r="G187" s="354">
        <f>SUM(G188)</f>
        <v>4.6</v>
      </c>
    </row>
    <row r="188" spans="1:7" s="68" customFormat="1" ht="28.5">
      <c r="A188" s="294" t="s">
        <v>454</v>
      </c>
      <c r="B188" s="168"/>
      <c r="C188" s="356" t="s">
        <v>109</v>
      </c>
      <c r="D188" s="167" t="s">
        <v>349</v>
      </c>
      <c r="E188" s="112" t="s">
        <v>1110</v>
      </c>
      <c r="F188" s="95" t="s">
        <v>445</v>
      </c>
      <c r="G188" s="354">
        <v>4.6</v>
      </c>
    </row>
    <row r="189" spans="1:7" s="68" customFormat="1" ht="15">
      <c r="A189" s="109" t="s">
        <v>364</v>
      </c>
      <c r="B189" s="168"/>
      <c r="C189" s="167" t="s">
        <v>109</v>
      </c>
      <c r="D189" s="167" t="s">
        <v>349</v>
      </c>
      <c r="E189" s="167" t="s">
        <v>478</v>
      </c>
      <c r="F189" s="187"/>
      <c r="G189" s="123">
        <f>SUM(G190,G193)</f>
        <v>4217.7</v>
      </c>
    </row>
    <row r="190" spans="1:7" s="68" customFormat="1" ht="15">
      <c r="A190" s="109" t="s">
        <v>482</v>
      </c>
      <c r="B190" s="168"/>
      <c r="C190" s="167" t="s">
        <v>109</v>
      </c>
      <c r="D190" s="167" t="s">
        <v>349</v>
      </c>
      <c r="E190" s="141" t="s">
        <v>479</v>
      </c>
      <c r="F190" s="187"/>
      <c r="G190" s="123">
        <f>SUM(G191)</f>
        <v>589</v>
      </c>
    </row>
    <row r="191" spans="1:7" s="73" customFormat="1" ht="28.5">
      <c r="A191" s="136" t="s">
        <v>675</v>
      </c>
      <c r="B191" s="168"/>
      <c r="C191" s="167" t="s">
        <v>109</v>
      </c>
      <c r="D191" s="167" t="s">
        <v>349</v>
      </c>
      <c r="E191" s="141" t="s">
        <v>479</v>
      </c>
      <c r="F191" s="187" t="s">
        <v>107</v>
      </c>
      <c r="G191" s="123">
        <v>589</v>
      </c>
    </row>
    <row r="192" spans="1:7" s="68" customFormat="1" ht="15">
      <c r="A192" s="109" t="s">
        <v>13</v>
      </c>
      <c r="B192" s="168"/>
      <c r="C192" s="167" t="s">
        <v>109</v>
      </c>
      <c r="D192" s="167" t="s">
        <v>349</v>
      </c>
      <c r="E192" s="167" t="s">
        <v>483</v>
      </c>
      <c r="F192" s="187"/>
      <c r="G192" s="123">
        <f>SUM(G193)</f>
        <v>3628.7</v>
      </c>
    </row>
    <row r="193" spans="1:7" s="68" customFormat="1" ht="28.5">
      <c r="A193" s="109" t="s">
        <v>175</v>
      </c>
      <c r="B193" s="168"/>
      <c r="C193" s="167" t="s">
        <v>109</v>
      </c>
      <c r="D193" s="167" t="s">
        <v>349</v>
      </c>
      <c r="E193" s="167" t="s">
        <v>480</v>
      </c>
      <c r="F193" s="187"/>
      <c r="G193" s="123">
        <f>G194</f>
        <v>3628.7</v>
      </c>
    </row>
    <row r="194" spans="1:7" s="68" customFormat="1" ht="28.5">
      <c r="A194" s="109" t="s">
        <v>454</v>
      </c>
      <c r="B194" s="168"/>
      <c r="C194" s="167" t="s">
        <v>109</v>
      </c>
      <c r="D194" s="167" t="s">
        <v>349</v>
      </c>
      <c r="E194" s="167" t="s">
        <v>480</v>
      </c>
      <c r="F194" s="187" t="s">
        <v>445</v>
      </c>
      <c r="G194" s="123">
        <v>3628.7</v>
      </c>
    </row>
    <row r="195" spans="1:7" s="68" customFormat="1" ht="15">
      <c r="A195" s="109" t="s">
        <v>361</v>
      </c>
      <c r="B195" s="137"/>
      <c r="C195" s="167" t="s">
        <v>109</v>
      </c>
      <c r="D195" s="167" t="s">
        <v>349</v>
      </c>
      <c r="E195" s="141" t="s">
        <v>362</v>
      </c>
      <c r="F195" s="184"/>
      <c r="G195" s="118">
        <f>SUM(G196)</f>
        <v>4000</v>
      </c>
    </row>
    <row r="196" spans="1:7" s="68" customFormat="1" ht="42.75">
      <c r="A196" s="198" t="s">
        <v>1089</v>
      </c>
      <c r="B196" s="388"/>
      <c r="C196" s="349" t="s">
        <v>109</v>
      </c>
      <c r="D196" s="349" t="s">
        <v>349</v>
      </c>
      <c r="E196" s="350" t="s">
        <v>1090</v>
      </c>
      <c r="F196" s="375"/>
      <c r="G196" s="525">
        <f>G197</f>
        <v>4000</v>
      </c>
    </row>
    <row r="197" spans="1:7" s="68" customFormat="1" ht="28.5">
      <c r="A197" s="198" t="s">
        <v>510</v>
      </c>
      <c r="B197" s="388"/>
      <c r="C197" s="349" t="s">
        <v>109</v>
      </c>
      <c r="D197" s="349" t="s">
        <v>349</v>
      </c>
      <c r="E197" s="350" t="s">
        <v>1090</v>
      </c>
      <c r="F197" s="375">
        <v>600</v>
      </c>
      <c r="G197" s="525">
        <v>4000</v>
      </c>
    </row>
    <row r="198" spans="1:7" s="68" customFormat="1" ht="42.75">
      <c r="A198" s="198" t="s">
        <v>1207</v>
      </c>
      <c r="B198" s="388"/>
      <c r="C198" s="349" t="s">
        <v>109</v>
      </c>
      <c r="D198" s="349" t="s">
        <v>349</v>
      </c>
      <c r="E198" s="350" t="s">
        <v>1208</v>
      </c>
      <c r="F198" s="375"/>
      <c r="G198" s="525">
        <f>SUM(G199)</f>
        <v>8290</v>
      </c>
    </row>
    <row r="199" spans="1:7" s="68" customFormat="1" ht="71.25">
      <c r="A199" s="198" t="s">
        <v>1205</v>
      </c>
      <c r="B199" s="388"/>
      <c r="C199" s="349" t="s">
        <v>109</v>
      </c>
      <c r="D199" s="349" t="s">
        <v>349</v>
      </c>
      <c r="E199" s="350" t="s">
        <v>1206</v>
      </c>
      <c r="F199" s="375"/>
      <c r="G199" s="525">
        <f>SUM(G200)</f>
        <v>8290</v>
      </c>
    </row>
    <row r="200" spans="1:7" s="68" customFormat="1" ht="15">
      <c r="A200" s="294" t="s">
        <v>434</v>
      </c>
      <c r="B200" s="388"/>
      <c r="C200" s="349" t="s">
        <v>109</v>
      </c>
      <c r="D200" s="349" t="s">
        <v>349</v>
      </c>
      <c r="E200" s="350" t="s">
        <v>1206</v>
      </c>
      <c r="F200" s="375">
        <v>800</v>
      </c>
      <c r="G200" s="525">
        <v>8290</v>
      </c>
    </row>
    <row r="201" spans="1:7" s="75" customFormat="1" ht="15">
      <c r="A201" s="146" t="s">
        <v>481</v>
      </c>
      <c r="B201" s="170"/>
      <c r="C201" s="171" t="s">
        <v>109</v>
      </c>
      <c r="D201" s="171" t="s">
        <v>349</v>
      </c>
      <c r="E201" s="171" t="s">
        <v>116</v>
      </c>
      <c r="F201" s="188"/>
      <c r="G201" s="124">
        <f>G204+G203</f>
        <v>6229</v>
      </c>
    </row>
    <row r="202" spans="1:7" s="75" customFormat="1" ht="28.5">
      <c r="A202" s="292" t="s">
        <v>693</v>
      </c>
      <c r="B202" s="209"/>
      <c r="C202" s="210" t="s">
        <v>109</v>
      </c>
      <c r="D202" s="210" t="s">
        <v>349</v>
      </c>
      <c r="E202" s="210" t="s">
        <v>694</v>
      </c>
      <c r="F202" s="211"/>
      <c r="G202" s="293">
        <f>SUM(G203)</f>
        <v>560</v>
      </c>
    </row>
    <row r="203" spans="1:7" s="75" customFormat="1" ht="15">
      <c r="A203" s="294" t="s">
        <v>434</v>
      </c>
      <c r="B203" s="209"/>
      <c r="C203" s="210" t="s">
        <v>109</v>
      </c>
      <c r="D203" s="210" t="s">
        <v>349</v>
      </c>
      <c r="E203" s="210" t="s">
        <v>694</v>
      </c>
      <c r="F203" s="219" t="s">
        <v>152</v>
      </c>
      <c r="G203" s="293">
        <v>560</v>
      </c>
    </row>
    <row r="204" spans="1:7" s="76" customFormat="1" ht="28.5">
      <c r="A204" s="146" t="s">
        <v>717</v>
      </c>
      <c r="B204" s="170"/>
      <c r="C204" s="171" t="s">
        <v>109</v>
      </c>
      <c r="D204" s="171" t="s">
        <v>349</v>
      </c>
      <c r="E204" s="171" t="s">
        <v>48</v>
      </c>
      <c r="F204" s="188"/>
      <c r="G204" s="124">
        <f>SUM(G205)</f>
        <v>5669</v>
      </c>
    </row>
    <row r="205" spans="1:7" s="74" customFormat="1" ht="28.5">
      <c r="A205" s="85" t="s">
        <v>454</v>
      </c>
      <c r="B205" s="170"/>
      <c r="C205" s="171" t="s">
        <v>109</v>
      </c>
      <c r="D205" s="171" t="s">
        <v>349</v>
      </c>
      <c r="E205" s="171" t="s">
        <v>48</v>
      </c>
      <c r="F205" s="188" t="s">
        <v>445</v>
      </c>
      <c r="G205" s="124">
        <v>5669</v>
      </c>
    </row>
    <row r="206" spans="1:7" s="66" customFormat="1" ht="15">
      <c r="A206" s="109" t="s">
        <v>365</v>
      </c>
      <c r="B206" s="145"/>
      <c r="C206" s="141" t="s">
        <v>118</v>
      </c>
      <c r="D206" s="141"/>
      <c r="E206" s="141"/>
      <c r="F206" s="185"/>
      <c r="G206" s="125">
        <f>SUM(G260+G279+G296+G208)</f>
        <v>287319.4</v>
      </c>
    </row>
    <row r="207" spans="1:7" s="66" customFormat="1" ht="18.75" customHeight="1">
      <c r="A207" s="136" t="s">
        <v>366</v>
      </c>
      <c r="B207" s="137"/>
      <c r="C207" s="138" t="s">
        <v>118</v>
      </c>
      <c r="D207" s="138" t="s">
        <v>398</v>
      </c>
      <c r="E207" s="138"/>
      <c r="F207" s="183"/>
      <c r="G207" s="118">
        <f>SUM(G208)</f>
        <v>109822.4</v>
      </c>
    </row>
    <row r="208" spans="1:7" s="66" customFormat="1" ht="42.75">
      <c r="A208" s="109" t="s">
        <v>656</v>
      </c>
      <c r="B208" s="137"/>
      <c r="C208" s="138" t="s">
        <v>118</v>
      </c>
      <c r="D208" s="138" t="s">
        <v>398</v>
      </c>
      <c r="E208" s="138" t="s">
        <v>367</v>
      </c>
      <c r="F208" s="183"/>
      <c r="G208" s="118">
        <f>SUM(G209+G216)</f>
        <v>109822.4</v>
      </c>
    </row>
    <row r="209" spans="1:7" s="66" customFormat="1" ht="71.25">
      <c r="A209" s="109" t="s">
        <v>657</v>
      </c>
      <c r="B209" s="137"/>
      <c r="C209" s="138" t="s">
        <v>118</v>
      </c>
      <c r="D209" s="138" t="s">
        <v>398</v>
      </c>
      <c r="E209" s="138" t="s">
        <v>658</v>
      </c>
      <c r="F209" s="183"/>
      <c r="G209" s="118">
        <f>SUM(G210+G212+G214)</f>
        <v>109822.4</v>
      </c>
    </row>
    <row r="210" spans="1:7" s="66" customFormat="1" ht="28.5">
      <c r="A210" s="109" t="s">
        <v>659</v>
      </c>
      <c r="B210" s="137"/>
      <c r="C210" s="138" t="s">
        <v>118</v>
      </c>
      <c r="D210" s="138" t="s">
        <v>398</v>
      </c>
      <c r="E210" s="138" t="s">
        <v>660</v>
      </c>
      <c r="F210" s="183"/>
      <c r="G210" s="118">
        <f>SUM(G211)</f>
        <v>34985.7</v>
      </c>
    </row>
    <row r="211" spans="1:7" s="66" customFormat="1" ht="28.5">
      <c r="A211" s="109" t="s">
        <v>676</v>
      </c>
      <c r="B211" s="137"/>
      <c r="C211" s="138" t="s">
        <v>118</v>
      </c>
      <c r="D211" s="138" t="s">
        <v>398</v>
      </c>
      <c r="E211" s="138" t="s">
        <v>660</v>
      </c>
      <c r="F211" s="183" t="s">
        <v>489</v>
      </c>
      <c r="G211" s="118">
        <v>34985.7</v>
      </c>
    </row>
    <row r="212" spans="1:7" s="66" customFormat="1" ht="57">
      <c r="A212" s="109" t="s">
        <v>661</v>
      </c>
      <c r="B212" s="137"/>
      <c r="C212" s="138" t="s">
        <v>118</v>
      </c>
      <c r="D212" s="138" t="s">
        <v>398</v>
      </c>
      <c r="E212" s="138" t="s">
        <v>662</v>
      </c>
      <c r="F212" s="183"/>
      <c r="G212" s="118">
        <f>SUM(G213)</f>
        <v>74836.7</v>
      </c>
    </row>
    <row r="213" spans="1:7" s="66" customFormat="1" ht="28.5">
      <c r="A213" s="109" t="s">
        <v>676</v>
      </c>
      <c r="B213" s="137"/>
      <c r="C213" s="138" t="s">
        <v>118</v>
      </c>
      <c r="D213" s="138" t="s">
        <v>398</v>
      </c>
      <c r="E213" s="138" t="s">
        <v>663</v>
      </c>
      <c r="F213" s="183" t="s">
        <v>489</v>
      </c>
      <c r="G213" s="118">
        <v>74836.7</v>
      </c>
    </row>
    <row r="214" spans="1:7" s="66" customFormat="1" ht="71.25" customHeight="1" hidden="1">
      <c r="A214" s="109" t="s">
        <v>219</v>
      </c>
      <c r="B214" s="137"/>
      <c r="C214" s="138" t="s">
        <v>118</v>
      </c>
      <c r="D214" s="138" t="s">
        <v>398</v>
      </c>
      <c r="E214" s="138" t="s">
        <v>126</v>
      </c>
      <c r="F214" s="183"/>
      <c r="G214" s="118">
        <f>SUM(G215)</f>
        <v>0</v>
      </c>
    </row>
    <row r="215" spans="1:7" s="66" customFormat="1" ht="15" customHeight="1" hidden="1">
      <c r="A215" s="149" t="s">
        <v>121</v>
      </c>
      <c r="B215" s="137"/>
      <c r="C215" s="138" t="s">
        <v>118</v>
      </c>
      <c r="D215" s="138" t="s">
        <v>398</v>
      </c>
      <c r="E215" s="138" t="s">
        <v>126</v>
      </c>
      <c r="F215" s="183" t="s">
        <v>122</v>
      </c>
      <c r="G215" s="118"/>
    </row>
    <row r="216" spans="1:7" s="66" customFormat="1" ht="42.75" customHeight="1" hidden="1">
      <c r="A216" s="109" t="s">
        <v>368</v>
      </c>
      <c r="B216" s="137"/>
      <c r="C216" s="138" t="s">
        <v>118</v>
      </c>
      <c r="D216" s="138" t="s">
        <v>398</v>
      </c>
      <c r="E216" s="138" t="s">
        <v>369</v>
      </c>
      <c r="F216" s="183"/>
      <c r="G216" s="118">
        <f>SUM(G217)+G223+G226</f>
        <v>0</v>
      </c>
    </row>
    <row r="217" spans="1:7" s="66" customFormat="1" ht="28.5" customHeight="1" hidden="1">
      <c r="A217" s="109" t="s">
        <v>370</v>
      </c>
      <c r="B217" s="137"/>
      <c r="C217" s="138" t="s">
        <v>118</v>
      </c>
      <c r="D217" s="138" t="s">
        <v>398</v>
      </c>
      <c r="E217" s="138" t="s">
        <v>371</v>
      </c>
      <c r="F217" s="183"/>
      <c r="G217" s="118">
        <f>SUM(G218+G219)</f>
        <v>0</v>
      </c>
    </row>
    <row r="218" spans="1:7" s="66" customFormat="1" ht="15" customHeight="1" hidden="1">
      <c r="A218" s="109" t="s">
        <v>7</v>
      </c>
      <c r="B218" s="137"/>
      <c r="C218" s="138" t="s">
        <v>118</v>
      </c>
      <c r="D218" s="138" t="s">
        <v>398</v>
      </c>
      <c r="E218" s="138" t="s">
        <v>371</v>
      </c>
      <c r="F218" s="183" t="s">
        <v>8</v>
      </c>
      <c r="G218" s="118"/>
    </row>
    <row r="219" spans="1:7" s="66" customFormat="1" ht="28.5" customHeight="1" hidden="1">
      <c r="A219" s="109" t="s">
        <v>372</v>
      </c>
      <c r="B219" s="137"/>
      <c r="C219" s="138" t="s">
        <v>118</v>
      </c>
      <c r="D219" s="138" t="s">
        <v>398</v>
      </c>
      <c r="E219" s="138" t="s">
        <v>371</v>
      </c>
      <c r="F219" s="183" t="s">
        <v>373</v>
      </c>
      <c r="G219" s="118"/>
    </row>
    <row r="220" spans="1:7" s="66" customFormat="1" ht="28.5" customHeight="1" hidden="1">
      <c r="A220" s="109" t="s">
        <v>214</v>
      </c>
      <c r="B220" s="137"/>
      <c r="C220" s="138" t="s">
        <v>118</v>
      </c>
      <c r="D220" s="138" t="s">
        <v>398</v>
      </c>
      <c r="E220" s="138" t="s">
        <v>363</v>
      </c>
      <c r="F220" s="183"/>
      <c r="G220" s="118">
        <f>SUM(G221)</f>
        <v>0</v>
      </c>
    </row>
    <row r="221" spans="1:7" s="66" customFormat="1" ht="28.5" customHeight="1" hidden="1">
      <c r="A221" s="109" t="s">
        <v>119</v>
      </c>
      <c r="B221" s="137"/>
      <c r="C221" s="138" t="s">
        <v>118</v>
      </c>
      <c r="D221" s="138" t="s">
        <v>398</v>
      </c>
      <c r="E221" s="138" t="s">
        <v>120</v>
      </c>
      <c r="F221" s="183"/>
      <c r="G221" s="118">
        <f>SUM(G222)</f>
        <v>0</v>
      </c>
    </row>
    <row r="222" spans="1:7" s="66" customFormat="1" ht="15" customHeight="1" hidden="1">
      <c r="A222" s="109" t="s">
        <v>121</v>
      </c>
      <c r="B222" s="137"/>
      <c r="C222" s="138" t="s">
        <v>118</v>
      </c>
      <c r="D222" s="138" t="s">
        <v>398</v>
      </c>
      <c r="E222" s="138" t="s">
        <v>120</v>
      </c>
      <c r="F222" s="183" t="s">
        <v>122</v>
      </c>
      <c r="G222" s="118"/>
    </row>
    <row r="223" spans="1:7" s="66" customFormat="1" ht="28.5" customHeight="1" hidden="1">
      <c r="A223" s="109" t="s">
        <v>374</v>
      </c>
      <c r="B223" s="137"/>
      <c r="C223" s="138" t="s">
        <v>118</v>
      </c>
      <c r="D223" s="138" t="s">
        <v>398</v>
      </c>
      <c r="E223" s="138" t="s">
        <v>375</v>
      </c>
      <c r="F223" s="183"/>
      <c r="G223" s="118">
        <f>SUM(G224+G225)</f>
        <v>0</v>
      </c>
    </row>
    <row r="224" spans="1:7" s="66" customFormat="1" ht="42.75" customHeight="1" hidden="1">
      <c r="A224" s="136" t="s">
        <v>14</v>
      </c>
      <c r="B224" s="137"/>
      <c r="C224" s="138" t="s">
        <v>118</v>
      </c>
      <c r="D224" s="138" t="s">
        <v>398</v>
      </c>
      <c r="E224" s="138" t="s">
        <v>375</v>
      </c>
      <c r="F224" s="183" t="s">
        <v>52</v>
      </c>
      <c r="G224" s="118"/>
    </row>
    <row r="225" spans="1:7" s="66" customFormat="1" ht="15" customHeight="1" hidden="1">
      <c r="A225" s="149" t="s">
        <v>121</v>
      </c>
      <c r="B225" s="137"/>
      <c r="C225" s="138" t="s">
        <v>118</v>
      </c>
      <c r="D225" s="138" t="s">
        <v>398</v>
      </c>
      <c r="E225" s="138" t="s">
        <v>375</v>
      </c>
      <c r="F225" s="183" t="s">
        <v>122</v>
      </c>
      <c r="G225" s="118"/>
    </row>
    <row r="226" spans="1:7" s="66" customFormat="1" ht="42.75" customHeight="1" hidden="1">
      <c r="A226" s="109" t="s">
        <v>378</v>
      </c>
      <c r="B226" s="137"/>
      <c r="C226" s="138" t="s">
        <v>118</v>
      </c>
      <c r="D226" s="138" t="s">
        <v>398</v>
      </c>
      <c r="E226" s="138" t="s">
        <v>379</v>
      </c>
      <c r="F226" s="183"/>
      <c r="G226" s="118">
        <f>SUM(G227)</f>
        <v>0</v>
      </c>
    </row>
    <row r="227" spans="1:7" s="66" customFormat="1" ht="15" customHeight="1" hidden="1">
      <c r="A227" s="149" t="s">
        <v>121</v>
      </c>
      <c r="B227" s="137"/>
      <c r="C227" s="138" t="s">
        <v>118</v>
      </c>
      <c r="D227" s="138" t="s">
        <v>398</v>
      </c>
      <c r="E227" s="138" t="s">
        <v>379</v>
      </c>
      <c r="F227" s="183" t="s">
        <v>122</v>
      </c>
      <c r="G227" s="118"/>
    </row>
    <row r="228" spans="1:7" s="66" customFormat="1" ht="15" customHeight="1" hidden="1">
      <c r="A228" s="136" t="s">
        <v>380</v>
      </c>
      <c r="B228" s="137"/>
      <c r="C228" s="138" t="s">
        <v>118</v>
      </c>
      <c r="D228" s="138" t="s">
        <v>398</v>
      </c>
      <c r="E228" s="138" t="s">
        <v>381</v>
      </c>
      <c r="F228" s="183"/>
      <c r="G228" s="118">
        <f>SUM(G229+G231)</f>
        <v>0</v>
      </c>
    </row>
    <row r="229" spans="1:7" s="66" customFormat="1" ht="42.75" customHeight="1" hidden="1">
      <c r="A229" s="111" t="s">
        <v>382</v>
      </c>
      <c r="B229" s="137"/>
      <c r="C229" s="138" t="s">
        <v>118</v>
      </c>
      <c r="D229" s="138" t="s">
        <v>398</v>
      </c>
      <c r="E229" s="138" t="s">
        <v>383</v>
      </c>
      <c r="F229" s="183"/>
      <c r="G229" s="118">
        <f>SUM(G230)</f>
        <v>0</v>
      </c>
    </row>
    <row r="230" spans="1:7" s="66" customFormat="1" ht="15" customHeight="1" hidden="1">
      <c r="A230" s="136" t="s">
        <v>7</v>
      </c>
      <c r="B230" s="137"/>
      <c r="C230" s="138" t="s">
        <v>118</v>
      </c>
      <c r="D230" s="138" t="s">
        <v>398</v>
      </c>
      <c r="E230" s="138" t="s">
        <v>383</v>
      </c>
      <c r="F230" s="183" t="s">
        <v>8</v>
      </c>
      <c r="G230" s="118"/>
    </row>
    <row r="231" spans="1:7" s="66" customFormat="1" ht="28.5" customHeight="1" hidden="1">
      <c r="A231" s="111" t="s">
        <v>384</v>
      </c>
      <c r="B231" s="145"/>
      <c r="C231" s="138" t="s">
        <v>118</v>
      </c>
      <c r="D231" s="138" t="s">
        <v>398</v>
      </c>
      <c r="E231" s="138" t="s">
        <v>385</v>
      </c>
      <c r="F231" s="184"/>
      <c r="G231" s="118">
        <f>SUM(G232)</f>
        <v>0</v>
      </c>
    </row>
    <row r="232" spans="1:7" s="66" customFormat="1" ht="15" customHeight="1" hidden="1">
      <c r="A232" s="136" t="s">
        <v>92</v>
      </c>
      <c r="B232" s="150"/>
      <c r="C232" s="138" t="s">
        <v>118</v>
      </c>
      <c r="D232" s="138" t="s">
        <v>398</v>
      </c>
      <c r="E232" s="138" t="s">
        <v>385</v>
      </c>
      <c r="F232" s="183" t="s">
        <v>93</v>
      </c>
      <c r="G232" s="118"/>
    </row>
    <row r="233" spans="1:7" s="66" customFormat="1" ht="15" customHeight="1" hidden="1">
      <c r="A233" s="111" t="s">
        <v>3</v>
      </c>
      <c r="B233" s="137"/>
      <c r="C233" s="138" t="s">
        <v>118</v>
      </c>
      <c r="D233" s="138" t="s">
        <v>398</v>
      </c>
      <c r="E233" s="138" t="s">
        <v>4</v>
      </c>
      <c r="F233" s="183"/>
      <c r="G233" s="118">
        <f>SUM(G237)+G242+G234</f>
        <v>0</v>
      </c>
    </row>
    <row r="234" spans="1:7" s="66" customFormat="1" ht="28.5" customHeight="1" hidden="1">
      <c r="A234" s="111" t="s">
        <v>386</v>
      </c>
      <c r="B234" s="137"/>
      <c r="C234" s="138" t="s">
        <v>118</v>
      </c>
      <c r="D234" s="138" t="s">
        <v>398</v>
      </c>
      <c r="E234" s="138" t="s">
        <v>387</v>
      </c>
      <c r="F234" s="183"/>
      <c r="G234" s="118">
        <f>SUM(G235)</f>
        <v>0</v>
      </c>
    </row>
    <row r="235" spans="1:7" s="66" customFormat="1" ht="15" customHeight="1" hidden="1">
      <c r="A235" s="111" t="s">
        <v>121</v>
      </c>
      <c r="B235" s="137"/>
      <c r="C235" s="138" t="s">
        <v>118</v>
      </c>
      <c r="D235" s="138" t="s">
        <v>398</v>
      </c>
      <c r="E235" s="138" t="s">
        <v>387</v>
      </c>
      <c r="F235" s="183" t="s">
        <v>122</v>
      </c>
      <c r="G235" s="118"/>
    </row>
    <row r="236" spans="1:7" s="66" customFormat="1" ht="15" customHeight="1" hidden="1">
      <c r="A236" s="111"/>
      <c r="B236" s="137"/>
      <c r="C236" s="138"/>
      <c r="D236" s="138"/>
      <c r="E236" s="138"/>
      <c r="F236" s="183"/>
      <c r="G236" s="118"/>
    </row>
    <row r="237" spans="1:7" s="66" customFormat="1" ht="28.5" customHeight="1" hidden="1">
      <c r="A237" s="136" t="s">
        <v>388</v>
      </c>
      <c r="B237" s="137"/>
      <c r="C237" s="138" t="s">
        <v>118</v>
      </c>
      <c r="D237" s="138" t="s">
        <v>398</v>
      </c>
      <c r="E237" s="138" t="s">
        <v>389</v>
      </c>
      <c r="F237" s="183"/>
      <c r="G237" s="118">
        <f>SUM(G238+G240)</f>
        <v>0</v>
      </c>
    </row>
    <row r="238" spans="1:7" s="66" customFormat="1" ht="28.5" customHeight="1" hidden="1">
      <c r="A238" s="111" t="s">
        <v>390</v>
      </c>
      <c r="B238" s="137"/>
      <c r="C238" s="138" t="s">
        <v>118</v>
      </c>
      <c r="D238" s="138" t="s">
        <v>398</v>
      </c>
      <c r="E238" s="138" t="s">
        <v>391</v>
      </c>
      <c r="F238" s="183"/>
      <c r="G238" s="118">
        <f>SUM(G239)</f>
        <v>0</v>
      </c>
    </row>
    <row r="239" spans="1:7" s="66" customFormat="1" ht="15" customHeight="1" hidden="1">
      <c r="A239" s="109" t="s">
        <v>121</v>
      </c>
      <c r="B239" s="137"/>
      <c r="C239" s="138" t="s">
        <v>118</v>
      </c>
      <c r="D239" s="138" t="s">
        <v>398</v>
      </c>
      <c r="E239" s="138" t="s">
        <v>391</v>
      </c>
      <c r="F239" s="183" t="s">
        <v>122</v>
      </c>
      <c r="G239" s="118"/>
    </row>
    <row r="240" spans="1:7" s="66" customFormat="1" ht="15" customHeight="1" hidden="1">
      <c r="A240" s="109" t="s">
        <v>392</v>
      </c>
      <c r="B240" s="137"/>
      <c r="C240" s="138" t="s">
        <v>118</v>
      </c>
      <c r="D240" s="138" t="s">
        <v>398</v>
      </c>
      <c r="E240" s="138" t="s">
        <v>393</v>
      </c>
      <c r="F240" s="183"/>
      <c r="G240" s="118">
        <f>SUM(G241)</f>
        <v>0</v>
      </c>
    </row>
    <row r="241" spans="1:7" s="66" customFormat="1" ht="15" customHeight="1" hidden="1">
      <c r="A241" s="136" t="s">
        <v>92</v>
      </c>
      <c r="B241" s="150"/>
      <c r="C241" s="138" t="s">
        <v>118</v>
      </c>
      <c r="D241" s="138" t="s">
        <v>398</v>
      </c>
      <c r="E241" s="138" t="s">
        <v>393</v>
      </c>
      <c r="F241" s="183" t="s">
        <v>93</v>
      </c>
      <c r="G241" s="118"/>
    </row>
    <row r="242" spans="1:7" s="66" customFormat="1" ht="28.5" customHeight="1" hidden="1">
      <c r="A242" s="136" t="s">
        <v>394</v>
      </c>
      <c r="B242" s="150"/>
      <c r="C242" s="138" t="s">
        <v>118</v>
      </c>
      <c r="D242" s="138" t="s">
        <v>398</v>
      </c>
      <c r="E242" s="138" t="s">
        <v>395</v>
      </c>
      <c r="F242" s="183"/>
      <c r="G242" s="118"/>
    </row>
    <row r="243" spans="1:7" s="66" customFormat="1" ht="28.5" customHeight="1" hidden="1">
      <c r="A243" s="136" t="s">
        <v>38</v>
      </c>
      <c r="B243" s="150"/>
      <c r="C243" s="138" t="s">
        <v>118</v>
      </c>
      <c r="D243" s="138" t="s">
        <v>398</v>
      </c>
      <c r="E243" s="138" t="s">
        <v>39</v>
      </c>
      <c r="F243" s="183"/>
      <c r="G243" s="118">
        <f>SUM(G244)</f>
        <v>0</v>
      </c>
    </row>
    <row r="244" spans="1:7" s="66" customFormat="1" ht="15" customHeight="1" hidden="1">
      <c r="A244" s="136" t="s">
        <v>7</v>
      </c>
      <c r="B244" s="150"/>
      <c r="C244" s="138" t="s">
        <v>118</v>
      </c>
      <c r="D244" s="138" t="s">
        <v>398</v>
      </c>
      <c r="E244" s="138" t="s">
        <v>39</v>
      </c>
      <c r="F244" s="183" t="s">
        <v>8</v>
      </c>
      <c r="G244" s="118"/>
    </row>
    <row r="245" spans="1:7" s="66" customFormat="1" ht="28.5" customHeight="1" hidden="1">
      <c r="A245" s="136" t="s">
        <v>40</v>
      </c>
      <c r="B245" s="150"/>
      <c r="C245" s="138" t="s">
        <v>118</v>
      </c>
      <c r="D245" s="138" t="s">
        <v>398</v>
      </c>
      <c r="E245" s="138" t="s">
        <v>41</v>
      </c>
      <c r="F245" s="183"/>
      <c r="G245" s="118">
        <f>SUM(G246)</f>
        <v>0</v>
      </c>
    </row>
    <row r="246" spans="1:7" s="66" customFormat="1" ht="15" customHeight="1" hidden="1">
      <c r="A246" s="136" t="s">
        <v>7</v>
      </c>
      <c r="B246" s="150"/>
      <c r="C246" s="138" t="s">
        <v>118</v>
      </c>
      <c r="D246" s="138" t="s">
        <v>398</v>
      </c>
      <c r="E246" s="138" t="s">
        <v>41</v>
      </c>
      <c r="F246" s="183" t="s">
        <v>8</v>
      </c>
      <c r="G246" s="118"/>
    </row>
    <row r="247" spans="1:7" s="72" customFormat="1" ht="15" customHeight="1" hidden="1">
      <c r="A247" s="136" t="s">
        <v>380</v>
      </c>
      <c r="B247" s="150"/>
      <c r="C247" s="138" t="s">
        <v>118</v>
      </c>
      <c r="D247" s="138" t="s">
        <v>398</v>
      </c>
      <c r="E247" s="138" t="s">
        <v>381</v>
      </c>
      <c r="F247" s="183"/>
      <c r="G247" s="118">
        <f>SUM(G248)</f>
        <v>0</v>
      </c>
    </row>
    <row r="248" spans="1:7" s="72" customFormat="1" ht="28.5" customHeight="1" hidden="1">
      <c r="A248" s="136" t="s">
        <v>249</v>
      </c>
      <c r="B248" s="150"/>
      <c r="C248" s="138" t="s">
        <v>118</v>
      </c>
      <c r="D248" s="138" t="s">
        <v>398</v>
      </c>
      <c r="E248" s="138" t="s">
        <v>385</v>
      </c>
      <c r="F248" s="183"/>
      <c r="G248" s="118">
        <f>SUM(G249)</f>
        <v>0</v>
      </c>
    </row>
    <row r="249" spans="1:7" ht="15" customHeight="1" hidden="1">
      <c r="A249" s="136" t="s">
        <v>92</v>
      </c>
      <c r="B249" s="150"/>
      <c r="C249" s="138" t="s">
        <v>118</v>
      </c>
      <c r="D249" s="138" t="s">
        <v>398</v>
      </c>
      <c r="E249" s="138" t="s">
        <v>385</v>
      </c>
      <c r="F249" s="183" t="s">
        <v>93</v>
      </c>
      <c r="G249" s="118"/>
    </row>
    <row r="250" spans="1:7" ht="15" customHeight="1" hidden="1">
      <c r="A250" s="149" t="s">
        <v>115</v>
      </c>
      <c r="B250" s="137"/>
      <c r="C250" s="138" t="s">
        <v>118</v>
      </c>
      <c r="D250" s="138" t="s">
        <v>398</v>
      </c>
      <c r="E250" s="138" t="s">
        <v>116</v>
      </c>
      <c r="F250" s="183"/>
      <c r="G250" s="118">
        <f>SUM(G251+G254)+G258</f>
        <v>0</v>
      </c>
    </row>
    <row r="251" spans="1:7" s="66" customFormat="1" ht="42.75" customHeight="1" hidden="1">
      <c r="A251" s="149" t="s">
        <v>427</v>
      </c>
      <c r="B251" s="137"/>
      <c r="C251" s="138" t="s">
        <v>118</v>
      </c>
      <c r="D251" s="138" t="s">
        <v>398</v>
      </c>
      <c r="E251" s="138" t="s">
        <v>257</v>
      </c>
      <c r="F251" s="183"/>
      <c r="G251" s="366">
        <f>SUM(G252)</f>
        <v>0</v>
      </c>
    </row>
    <row r="252" spans="1:7" s="66" customFormat="1" ht="15" customHeight="1" hidden="1">
      <c r="A252" s="109" t="s">
        <v>7</v>
      </c>
      <c r="B252" s="137"/>
      <c r="C252" s="138" t="s">
        <v>118</v>
      </c>
      <c r="D252" s="138" t="s">
        <v>398</v>
      </c>
      <c r="E252" s="138" t="s">
        <v>257</v>
      </c>
      <c r="F252" s="183" t="s">
        <v>8</v>
      </c>
      <c r="G252" s="366"/>
    </row>
    <row r="253" spans="1:7" s="66" customFormat="1" ht="15" customHeight="1" hidden="1">
      <c r="A253" s="149" t="s">
        <v>42</v>
      </c>
      <c r="B253" s="137"/>
      <c r="C253" s="138" t="s">
        <v>118</v>
      </c>
      <c r="D253" s="138" t="s">
        <v>398</v>
      </c>
      <c r="E253" s="138" t="s">
        <v>43</v>
      </c>
      <c r="F253" s="183" t="s">
        <v>93</v>
      </c>
      <c r="G253" s="118"/>
    </row>
    <row r="254" spans="1:7" ht="15" customHeight="1" hidden="1">
      <c r="A254" s="149" t="s">
        <v>121</v>
      </c>
      <c r="B254" s="137"/>
      <c r="C254" s="138" t="s">
        <v>118</v>
      </c>
      <c r="D254" s="138" t="s">
        <v>398</v>
      </c>
      <c r="E254" s="138" t="s">
        <v>116</v>
      </c>
      <c r="F254" s="183" t="s">
        <v>122</v>
      </c>
      <c r="G254" s="118">
        <f>SUM(G255)</f>
        <v>0</v>
      </c>
    </row>
    <row r="255" spans="1:7" ht="28.5" customHeight="1" hidden="1">
      <c r="A255" s="109" t="s">
        <v>44</v>
      </c>
      <c r="B255" s="137"/>
      <c r="C255" s="138" t="s">
        <v>118</v>
      </c>
      <c r="D255" s="138" t="s">
        <v>398</v>
      </c>
      <c r="E255" s="138" t="s">
        <v>45</v>
      </c>
      <c r="F255" s="183" t="s">
        <v>122</v>
      </c>
      <c r="G255" s="118">
        <f>SUM(G257)</f>
        <v>0</v>
      </c>
    </row>
    <row r="256" spans="1:7" ht="28.5" customHeight="1" hidden="1">
      <c r="A256" s="109" t="s">
        <v>60</v>
      </c>
      <c r="B256" s="137"/>
      <c r="C256" s="138"/>
      <c r="D256" s="138"/>
      <c r="E256" s="138"/>
      <c r="F256" s="183"/>
      <c r="G256" s="118"/>
    </row>
    <row r="257" spans="1:7" ht="28.5" customHeight="1" hidden="1">
      <c r="A257" s="111" t="s">
        <v>390</v>
      </c>
      <c r="B257" s="137"/>
      <c r="C257" s="138" t="s">
        <v>118</v>
      </c>
      <c r="D257" s="138" t="s">
        <v>398</v>
      </c>
      <c r="E257" s="138" t="s">
        <v>46</v>
      </c>
      <c r="F257" s="183" t="s">
        <v>122</v>
      </c>
      <c r="G257" s="118"/>
    </row>
    <row r="258" spans="1:7" ht="28.5" customHeight="1" hidden="1">
      <c r="A258" s="136" t="s">
        <v>47</v>
      </c>
      <c r="B258" s="137"/>
      <c r="C258" s="138" t="s">
        <v>118</v>
      </c>
      <c r="D258" s="138" t="s">
        <v>398</v>
      </c>
      <c r="E258" s="138" t="s">
        <v>48</v>
      </c>
      <c r="F258" s="183"/>
      <c r="G258" s="118">
        <f>SUM(G259)</f>
        <v>0</v>
      </c>
    </row>
    <row r="259" spans="1:7" ht="15" customHeight="1" hidden="1">
      <c r="A259" s="149" t="s">
        <v>121</v>
      </c>
      <c r="B259" s="137"/>
      <c r="C259" s="138" t="s">
        <v>118</v>
      </c>
      <c r="D259" s="138" t="s">
        <v>398</v>
      </c>
      <c r="E259" s="138" t="s">
        <v>48</v>
      </c>
      <c r="F259" s="183" t="s">
        <v>122</v>
      </c>
      <c r="G259" s="118"/>
    </row>
    <row r="260" spans="1:7" ht="15">
      <c r="A260" s="109" t="s">
        <v>49</v>
      </c>
      <c r="B260" s="168"/>
      <c r="C260" s="167" t="s">
        <v>118</v>
      </c>
      <c r="D260" s="167" t="s">
        <v>400</v>
      </c>
      <c r="E260" s="167"/>
      <c r="F260" s="187"/>
      <c r="G260" s="123">
        <f>G267+G261+G264+G271</f>
        <v>80942.4</v>
      </c>
    </row>
    <row r="261" spans="1:7" ht="42.75">
      <c r="A261" s="109" t="s">
        <v>701</v>
      </c>
      <c r="B261" s="168"/>
      <c r="C261" s="167" t="s">
        <v>118</v>
      </c>
      <c r="D261" s="167" t="s">
        <v>400</v>
      </c>
      <c r="E261" s="167" t="s">
        <v>703</v>
      </c>
      <c r="F261" s="187"/>
      <c r="G261" s="123">
        <f>SUM(G262)</f>
        <v>10000</v>
      </c>
    </row>
    <row r="262" spans="1:7" ht="15">
      <c r="A262" s="109" t="s">
        <v>702</v>
      </c>
      <c r="B262" s="168"/>
      <c r="C262" s="167" t="s">
        <v>118</v>
      </c>
      <c r="D262" s="167" t="s">
        <v>400</v>
      </c>
      <c r="E262" s="167" t="s">
        <v>704</v>
      </c>
      <c r="F262" s="187"/>
      <c r="G262" s="123">
        <f>SUM(G263)</f>
        <v>10000</v>
      </c>
    </row>
    <row r="263" spans="1:7" ht="28.5">
      <c r="A263" s="136" t="s">
        <v>675</v>
      </c>
      <c r="B263" s="168"/>
      <c r="C263" s="167" t="s">
        <v>118</v>
      </c>
      <c r="D263" s="167" t="s">
        <v>400</v>
      </c>
      <c r="E263" s="167" t="s">
        <v>704</v>
      </c>
      <c r="F263" s="187" t="s">
        <v>107</v>
      </c>
      <c r="G263" s="123">
        <v>10000</v>
      </c>
    </row>
    <row r="264" spans="1:7" ht="27.75" customHeight="1">
      <c r="A264" s="136" t="s">
        <v>705</v>
      </c>
      <c r="B264" s="168"/>
      <c r="C264" s="167" t="s">
        <v>118</v>
      </c>
      <c r="D264" s="167" t="s">
        <v>400</v>
      </c>
      <c r="E264" s="167" t="s">
        <v>706</v>
      </c>
      <c r="F264" s="187"/>
      <c r="G264" s="123">
        <f>SUM(G265)+G266</f>
        <v>31846.8</v>
      </c>
    </row>
    <row r="265" spans="1:7" ht="28.5" customHeight="1" hidden="1">
      <c r="A265" s="136" t="s">
        <v>675</v>
      </c>
      <c r="B265" s="168"/>
      <c r="C265" s="167" t="s">
        <v>118</v>
      </c>
      <c r="D265" s="167" t="s">
        <v>400</v>
      </c>
      <c r="E265" s="167" t="s">
        <v>706</v>
      </c>
      <c r="F265" s="187" t="s">
        <v>107</v>
      </c>
      <c r="G265" s="123"/>
    </row>
    <row r="266" spans="1:7" ht="28.5">
      <c r="A266" s="109" t="s">
        <v>676</v>
      </c>
      <c r="B266" s="168"/>
      <c r="C266" s="167" t="s">
        <v>118</v>
      </c>
      <c r="D266" s="167" t="s">
        <v>400</v>
      </c>
      <c r="E266" s="167" t="s">
        <v>706</v>
      </c>
      <c r="F266" s="187" t="s">
        <v>489</v>
      </c>
      <c r="G266" s="123">
        <v>31846.8</v>
      </c>
    </row>
    <row r="267" spans="1:7" ht="15">
      <c r="A267" s="109" t="s">
        <v>254</v>
      </c>
      <c r="B267" s="168"/>
      <c r="C267" s="167" t="s">
        <v>118</v>
      </c>
      <c r="D267" s="167" t="s">
        <v>400</v>
      </c>
      <c r="E267" s="167" t="s">
        <v>484</v>
      </c>
      <c r="F267" s="187"/>
      <c r="G267" s="123">
        <f>G268</f>
        <v>9110.2</v>
      </c>
    </row>
    <row r="268" spans="1:7" ht="15">
      <c r="A268" s="109" t="s">
        <v>35</v>
      </c>
      <c r="B268" s="168"/>
      <c r="C268" s="167" t="s">
        <v>118</v>
      </c>
      <c r="D268" s="167" t="s">
        <v>400</v>
      </c>
      <c r="E268" s="167" t="s">
        <v>485</v>
      </c>
      <c r="F268" s="187"/>
      <c r="G268" s="123">
        <f>SUM(G269)+G270</f>
        <v>9110.2</v>
      </c>
    </row>
    <row r="269" spans="1:7" ht="28.5">
      <c r="A269" s="136" t="s">
        <v>675</v>
      </c>
      <c r="B269" s="168"/>
      <c r="C269" s="167" t="s">
        <v>118</v>
      </c>
      <c r="D269" s="167" t="s">
        <v>400</v>
      </c>
      <c r="E269" s="167" t="s">
        <v>485</v>
      </c>
      <c r="F269" s="187" t="s">
        <v>107</v>
      </c>
      <c r="G269" s="123">
        <f>5568.7+1541.5</f>
        <v>7110.2</v>
      </c>
    </row>
    <row r="270" spans="1:7" ht="33.75" customHeight="1">
      <c r="A270" s="109" t="s">
        <v>676</v>
      </c>
      <c r="B270" s="168"/>
      <c r="C270" s="167" t="s">
        <v>118</v>
      </c>
      <c r="D270" s="167" t="s">
        <v>400</v>
      </c>
      <c r="E270" s="167" t="s">
        <v>485</v>
      </c>
      <c r="F270" s="187" t="s">
        <v>489</v>
      </c>
      <c r="G270" s="123">
        <v>2000</v>
      </c>
    </row>
    <row r="271" spans="1:7" ht="24" customHeight="1">
      <c r="A271" s="109" t="s">
        <v>481</v>
      </c>
      <c r="B271" s="145"/>
      <c r="C271" s="167" t="s">
        <v>118</v>
      </c>
      <c r="D271" s="167" t="s">
        <v>400</v>
      </c>
      <c r="E271" s="148" t="s">
        <v>116</v>
      </c>
      <c r="F271" s="184"/>
      <c r="G271" s="123">
        <f>SUM(G276)+G272+G274</f>
        <v>29985.4</v>
      </c>
    </row>
    <row r="272" spans="1:7" ht="36.75" customHeight="1">
      <c r="A272" s="109" t="s">
        <v>1097</v>
      </c>
      <c r="B272" s="145"/>
      <c r="C272" s="167" t="s">
        <v>118</v>
      </c>
      <c r="D272" s="167" t="s">
        <v>400</v>
      </c>
      <c r="E272" s="141" t="s">
        <v>257</v>
      </c>
      <c r="F272" s="184"/>
      <c r="G272" s="123">
        <f>SUM(G273)</f>
        <v>1863.5</v>
      </c>
    </row>
    <row r="273" spans="1:7" ht="36.75" customHeight="1">
      <c r="A273" s="109" t="s">
        <v>676</v>
      </c>
      <c r="B273" s="145"/>
      <c r="C273" s="167" t="s">
        <v>118</v>
      </c>
      <c r="D273" s="167" t="s">
        <v>400</v>
      </c>
      <c r="E273" s="141" t="s">
        <v>257</v>
      </c>
      <c r="F273" s="184" t="s">
        <v>489</v>
      </c>
      <c r="G273" s="123">
        <v>1863.5</v>
      </c>
    </row>
    <row r="274" spans="1:7" ht="45.75" customHeight="1">
      <c r="A274" s="109" t="s">
        <v>1209</v>
      </c>
      <c r="B274" s="145"/>
      <c r="C274" s="167" t="s">
        <v>118</v>
      </c>
      <c r="D274" s="167" t="s">
        <v>400</v>
      </c>
      <c r="E274" s="141" t="s">
        <v>1210</v>
      </c>
      <c r="F274" s="184"/>
      <c r="G274" s="123">
        <f>SUM(G275)</f>
        <v>28091.9</v>
      </c>
    </row>
    <row r="275" spans="1:7" ht="21.75" customHeight="1">
      <c r="A275" s="109" t="s">
        <v>434</v>
      </c>
      <c r="B275" s="145"/>
      <c r="C275" s="167" t="s">
        <v>118</v>
      </c>
      <c r="D275" s="167" t="s">
        <v>400</v>
      </c>
      <c r="E275" s="141" t="s">
        <v>1210</v>
      </c>
      <c r="F275" s="184" t="s">
        <v>152</v>
      </c>
      <c r="G275" s="123">
        <v>28091.9</v>
      </c>
    </row>
    <row r="276" spans="1:7" ht="33.75" customHeight="1">
      <c r="A276" s="109" t="s">
        <v>1096</v>
      </c>
      <c r="B276" s="145"/>
      <c r="C276" s="167" t="s">
        <v>118</v>
      </c>
      <c r="D276" s="167" t="s">
        <v>400</v>
      </c>
      <c r="E276" s="141" t="s">
        <v>556</v>
      </c>
      <c r="F276" s="184"/>
      <c r="G276" s="123">
        <f>SUM(G277)</f>
        <v>30</v>
      </c>
    </row>
    <row r="277" spans="1:7" ht="27.75" customHeight="1">
      <c r="A277" s="109" t="s">
        <v>1095</v>
      </c>
      <c r="B277" s="145"/>
      <c r="C277" s="167" t="s">
        <v>118</v>
      </c>
      <c r="D277" s="167" t="s">
        <v>400</v>
      </c>
      <c r="E277" s="141" t="s">
        <v>36</v>
      </c>
      <c r="F277" s="184"/>
      <c r="G277" s="123">
        <f>G278</f>
        <v>30</v>
      </c>
    </row>
    <row r="278" spans="1:7" ht="33.75" customHeight="1">
      <c r="A278" s="109" t="s">
        <v>676</v>
      </c>
      <c r="B278" s="145"/>
      <c r="C278" s="167" t="s">
        <v>118</v>
      </c>
      <c r="D278" s="167" t="s">
        <v>400</v>
      </c>
      <c r="E278" s="141" t="s">
        <v>36</v>
      </c>
      <c r="F278" s="184" t="s">
        <v>489</v>
      </c>
      <c r="G278" s="123">
        <v>30</v>
      </c>
    </row>
    <row r="279" spans="1:7" ht="15">
      <c r="A279" s="109" t="s">
        <v>37</v>
      </c>
      <c r="B279" s="168"/>
      <c r="C279" s="167" t="s">
        <v>118</v>
      </c>
      <c r="D279" s="167" t="s">
        <v>95</v>
      </c>
      <c r="E279" s="167"/>
      <c r="F279" s="187"/>
      <c r="G279" s="123">
        <f>G280+G291</f>
        <v>64525.6</v>
      </c>
    </row>
    <row r="280" spans="1:7" s="77" customFormat="1" ht="15">
      <c r="A280" s="109" t="s">
        <v>37</v>
      </c>
      <c r="B280" s="145"/>
      <c r="C280" s="167" t="s">
        <v>118</v>
      </c>
      <c r="D280" s="167" t="s">
        <v>95</v>
      </c>
      <c r="E280" s="141" t="s">
        <v>65</v>
      </c>
      <c r="F280" s="184"/>
      <c r="G280" s="123">
        <f>G281+G285+G289+G283</f>
        <v>59827.1</v>
      </c>
    </row>
    <row r="281" spans="1:7" s="78" customFormat="1" ht="15.75">
      <c r="A281" s="147" t="s">
        <v>66</v>
      </c>
      <c r="B281" s="145"/>
      <c r="C281" s="167" t="s">
        <v>118</v>
      </c>
      <c r="D281" s="167" t="s">
        <v>95</v>
      </c>
      <c r="E281" s="141" t="s">
        <v>67</v>
      </c>
      <c r="F281" s="184"/>
      <c r="G281" s="123">
        <f>SUM(G282)</f>
        <v>39158.9</v>
      </c>
    </row>
    <row r="282" spans="1:7" s="78" customFormat="1" ht="28.5">
      <c r="A282" s="136" t="s">
        <v>675</v>
      </c>
      <c r="B282" s="145"/>
      <c r="C282" s="167" t="s">
        <v>118</v>
      </c>
      <c r="D282" s="167" t="s">
        <v>95</v>
      </c>
      <c r="E282" s="141" t="s">
        <v>67</v>
      </c>
      <c r="F282" s="184" t="s">
        <v>107</v>
      </c>
      <c r="G282" s="123">
        <v>39158.9</v>
      </c>
    </row>
    <row r="283" spans="1:7" s="78" customFormat="1" ht="15.75">
      <c r="A283" s="294" t="s">
        <v>1111</v>
      </c>
      <c r="B283" s="145"/>
      <c r="C283" s="355" t="s">
        <v>118</v>
      </c>
      <c r="D283" s="217" t="s">
        <v>95</v>
      </c>
      <c r="E283" s="89" t="s">
        <v>1112</v>
      </c>
      <c r="F283" s="95"/>
      <c r="G283" s="367">
        <f>SUM(G284)</f>
        <v>2601.7</v>
      </c>
    </row>
    <row r="284" spans="1:7" s="78" customFormat="1" ht="28.5">
      <c r="A284" s="294" t="s">
        <v>450</v>
      </c>
      <c r="B284" s="145"/>
      <c r="C284" s="355" t="s">
        <v>118</v>
      </c>
      <c r="D284" s="217" t="s">
        <v>95</v>
      </c>
      <c r="E284" s="89" t="s">
        <v>1112</v>
      </c>
      <c r="F284" s="95" t="s">
        <v>107</v>
      </c>
      <c r="G284" s="367">
        <f>2561.7+40</f>
        <v>2601.7</v>
      </c>
    </row>
    <row r="285" spans="1:7" s="78" customFormat="1" ht="28.5">
      <c r="A285" s="109" t="s">
        <v>524</v>
      </c>
      <c r="B285" s="145"/>
      <c r="C285" s="167" t="s">
        <v>118</v>
      </c>
      <c r="D285" s="167" t="s">
        <v>95</v>
      </c>
      <c r="E285" s="141" t="s">
        <v>34</v>
      </c>
      <c r="F285" s="184"/>
      <c r="G285" s="123">
        <f>G286</f>
        <v>17868.1</v>
      </c>
    </row>
    <row r="286" spans="1:7" s="78" customFormat="1" ht="28.5">
      <c r="A286" s="136" t="s">
        <v>675</v>
      </c>
      <c r="B286" s="145"/>
      <c r="C286" s="167" t="s">
        <v>118</v>
      </c>
      <c r="D286" s="167" t="s">
        <v>95</v>
      </c>
      <c r="E286" s="141" t="s">
        <v>34</v>
      </c>
      <c r="F286" s="184" t="s">
        <v>107</v>
      </c>
      <c r="G286" s="123">
        <v>17868.1</v>
      </c>
    </row>
    <row r="287" spans="1:7" s="78" customFormat="1" ht="15.75" customHeight="1" hidden="1">
      <c r="A287" s="109" t="s">
        <v>448</v>
      </c>
      <c r="B287" s="145"/>
      <c r="C287" s="167" t="s">
        <v>118</v>
      </c>
      <c r="D287" s="167" t="s">
        <v>95</v>
      </c>
      <c r="E287" s="141" t="s">
        <v>34</v>
      </c>
      <c r="F287" s="184" t="s">
        <v>449</v>
      </c>
      <c r="G287" s="123"/>
    </row>
    <row r="288" spans="1:7" s="78" customFormat="1" ht="28.5" customHeight="1" hidden="1">
      <c r="A288" s="109" t="s">
        <v>450</v>
      </c>
      <c r="B288" s="145"/>
      <c r="C288" s="167" t="s">
        <v>118</v>
      </c>
      <c r="D288" s="167" t="s">
        <v>95</v>
      </c>
      <c r="E288" s="141" t="s">
        <v>34</v>
      </c>
      <c r="F288" s="184" t="s">
        <v>451</v>
      </c>
      <c r="G288" s="123"/>
    </row>
    <row r="289" spans="1:7" s="78" customFormat="1" ht="42.75">
      <c r="A289" s="85" t="s">
        <v>522</v>
      </c>
      <c r="B289" s="170"/>
      <c r="C289" s="171" t="s">
        <v>118</v>
      </c>
      <c r="D289" s="171" t="s">
        <v>95</v>
      </c>
      <c r="E289" s="148" t="s">
        <v>523</v>
      </c>
      <c r="F289" s="188"/>
      <c r="G289" s="124">
        <f>SUM(G290)</f>
        <v>198.4</v>
      </c>
    </row>
    <row r="290" spans="1:7" s="78" customFormat="1" ht="28.5">
      <c r="A290" s="136" t="s">
        <v>675</v>
      </c>
      <c r="B290" s="145"/>
      <c r="C290" s="167" t="s">
        <v>118</v>
      </c>
      <c r="D290" s="167" t="s">
        <v>95</v>
      </c>
      <c r="E290" s="148" t="s">
        <v>523</v>
      </c>
      <c r="F290" s="184" t="s">
        <v>107</v>
      </c>
      <c r="G290" s="123">
        <v>198.4</v>
      </c>
    </row>
    <row r="291" spans="1:7" s="78" customFormat="1" ht="15.75">
      <c r="A291" s="109" t="s">
        <v>481</v>
      </c>
      <c r="B291" s="145"/>
      <c r="C291" s="167" t="s">
        <v>118</v>
      </c>
      <c r="D291" s="167" t="s">
        <v>95</v>
      </c>
      <c r="E291" s="148" t="s">
        <v>116</v>
      </c>
      <c r="F291" s="184"/>
      <c r="G291" s="123">
        <f>SUM(G294)+G292</f>
        <v>4698.5</v>
      </c>
    </row>
    <row r="292" spans="1:7" s="78" customFormat="1" ht="28.5">
      <c r="A292" s="109" t="s">
        <v>1101</v>
      </c>
      <c r="B292" s="145"/>
      <c r="C292" s="167" t="s">
        <v>118</v>
      </c>
      <c r="D292" s="167" t="s">
        <v>95</v>
      </c>
      <c r="E292" s="148" t="s">
        <v>1102</v>
      </c>
      <c r="F292" s="184"/>
      <c r="G292" s="123">
        <f>SUM(G293)</f>
        <v>4000</v>
      </c>
    </row>
    <row r="293" spans="1:7" s="78" customFormat="1" ht="28.5">
      <c r="A293" s="136" t="s">
        <v>675</v>
      </c>
      <c r="B293" s="145"/>
      <c r="C293" s="167" t="s">
        <v>118</v>
      </c>
      <c r="D293" s="167" t="s">
        <v>95</v>
      </c>
      <c r="E293" s="148" t="s">
        <v>1102</v>
      </c>
      <c r="F293" s="184" t="s">
        <v>107</v>
      </c>
      <c r="G293" s="123">
        <v>4000</v>
      </c>
    </row>
    <row r="294" spans="1:7" s="78" customFormat="1" ht="28.5">
      <c r="A294" s="109" t="s">
        <v>666</v>
      </c>
      <c r="B294" s="145"/>
      <c r="C294" s="167" t="s">
        <v>118</v>
      </c>
      <c r="D294" s="167" t="s">
        <v>95</v>
      </c>
      <c r="E294" s="148" t="s">
        <v>667</v>
      </c>
      <c r="F294" s="184"/>
      <c r="G294" s="123">
        <f>SUM(G295)</f>
        <v>698.5</v>
      </c>
    </row>
    <row r="295" spans="1:7" s="78" customFormat="1" ht="28.5">
      <c r="A295" s="136" t="s">
        <v>675</v>
      </c>
      <c r="B295" s="145"/>
      <c r="C295" s="167" t="s">
        <v>118</v>
      </c>
      <c r="D295" s="167" t="s">
        <v>95</v>
      </c>
      <c r="E295" s="148" t="s">
        <v>667</v>
      </c>
      <c r="F295" s="184" t="s">
        <v>107</v>
      </c>
      <c r="G295" s="123">
        <v>698.5</v>
      </c>
    </row>
    <row r="296" spans="1:7" s="78" customFormat="1" ht="15.75">
      <c r="A296" s="109" t="s">
        <v>58</v>
      </c>
      <c r="B296" s="145"/>
      <c r="C296" s="167" t="s">
        <v>118</v>
      </c>
      <c r="D296" s="167" t="s">
        <v>118</v>
      </c>
      <c r="E296" s="141"/>
      <c r="F296" s="184"/>
      <c r="G296" s="123">
        <f>G300+G297</f>
        <v>32029</v>
      </c>
    </row>
    <row r="297" spans="1:7" s="78" customFormat="1" ht="42.75">
      <c r="A297" s="109" t="s">
        <v>701</v>
      </c>
      <c r="B297" s="168"/>
      <c r="C297" s="167" t="s">
        <v>118</v>
      </c>
      <c r="D297" s="167" t="s">
        <v>118</v>
      </c>
      <c r="E297" s="167" t="s">
        <v>703</v>
      </c>
      <c r="F297" s="187"/>
      <c r="G297" s="123">
        <f>SUM(G298)</f>
        <v>22496.4</v>
      </c>
    </row>
    <row r="298" spans="1:7" s="78" customFormat="1" ht="15.75">
      <c r="A298" s="109" t="s">
        <v>702</v>
      </c>
      <c r="B298" s="168"/>
      <c r="C298" s="167" t="s">
        <v>118</v>
      </c>
      <c r="D298" s="167" t="s">
        <v>118</v>
      </c>
      <c r="E298" s="167" t="s">
        <v>704</v>
      </c>
      <c r="F298" s="187"/>
      <c r="G298" s="123">
        <f>SUM(G299)</f>
        <v>22496.4</v>
      </c>
    </row>
    <row r="299" spans="1:7" s="78" customFormat="1" ht="28.5">
      <c r="A299" s="109" t="s">
        <v>676</v>
      </c>
      <c r="B299" s="145"/>
      <c r="C299" s="167" t="s">
        <v>118</v>
      </c>
      <c r="D299" s="167" t="s">
        <v>118</v>
      </c>
      <c r="E299" s="167" t="s">
        <v>704</v>
      </c>
      <c r="F299" s="184" t="s">
        <v>489</v>
      </c>
      <c r="G299" s="123">
        <v>22496.4</v>
      </c>
    </row>
    <row r="300" spans="1:7" s="66" customFormat="1" ht="16.5" customHeight="1">
      <c r="A300" s="109" t="s">
        <v>481</v>
      </c>
      <c r="B300" s="145"/>
      <c r="C300" s="167" t="s">
        <v>118</v>
      </c>
      <c r="D300" s="167" t="s">
        <v>118</v>
      </c>
      <c r="E300" s="141" t="s">
        <v>116</v>
      </c>
      <c r="F300" s="184"/>
      <c r="G300" s="123">
        <f>G301+G303+G306+G310+G308</f>
        <v>9532.6</v>
      </c>
    </row>
    <row r="301" spans="1:7" s="78" customFormat="1" ht="26.25" customHeight="1" hidden="1">
      <c r="A301" s="147" t="s">
        <v>486</v>
      </c>
      <c r="B301" s="145"/>
      <c r="C301" s="167" t="s">
        <v>118</v>
      </c>
      <c r="D301" s="167" t="s">
        <v>118</v>
      </c>
      <c r="E301" s="141" t="s">
        <v>12</v>
      </c>
      <c r="F301" s="184"/>
      <c r="G301" s="123">
        <f>G302</f>
        <v>0</v>
      </c>
    </row>
    <row r="302" spans="1:7" ht="28.5" customHeight="1" hidden="1">
      <c r="A302" s="109" t="s">
        <v>454</v>
      </c>
      <c r="B302" s="145"/>
      <c r="C302" s="167" t="s">
        <v>118</v>
      </c>
      <c r="D302" s="167" t="s">
        <v>118</v>
      </c>
      <c r="E302" s="141" t="s">
        <v>12</v>
      </c>
      <c r="F302" s="184" t="s">
        <v>445</v>
      </c>
      <c r="G302" s="123"/>
    </row>
    <row r="303" spans="1:7" ht="28.5">
      <c r="A303" s="377" t="s">
        <v>1113</v>
      </c>
      <c r="B303" s="54"/>
      <c r="C303" s="355" t="s">
        <v>487</v>
      </c>
      <c r="D303" s="217" t="s">
        <v>118</v>
      </c>
      <c r="E303" s="89" t="s">
        <v>1114</v>
      </c>
      <c r="F303" s="95"/>
      <c r="G303" s="367">
        <f>G304</f>
        <v>228.9</v>
      </c>
    </row>
    <row r="304" spans="1:7" ht="28.5">
      <c r="A304" s="294" t="s">
        <v>488</v>
      </c>
      <c r="B304" s="54"/>
      <c r="C304" s="355" t="s">
        <v>487</v>
      </c>
      <c r="D304" s="217" t="s">
        <v>118</v>
      </c>
      <c r="E304" s="89" t="s">
        <v>1114</v>
      </c>
      <c r="F304" s="95" t="s">
        <v>489</v>
      </c>
      <c r="G304" s="367">
        <v>228.9</v>
      </c>
    </row>
    <row r="305" spans="1:7" ht="28.5">
      <c r="A305" s="109" t="s">
        <v>1096</v>
      </c>
      <c r="B305" s="145"/>
      <c r="C305" s="167" t="s">
        <v>118</v>
      </c>
      <c r="D305" s="167" t="s">
        <v>118</v>
      </c>
      <c r="E305" s="141" t="s">
        <v>556</v>
      </c>
      <c r="F305" s="184"/>
      <c r="G305" s="123">
        <f>SUM(G306)+G308</f>
        <v>4154.7</v>
      </c>
    </row>
    <row r="306" spans="1:7" ht="42.75">
      <c r="A306" s="109" t="s">
        <v>718</v>
      </c>
      <c r="B306" s="145"/>
      <c r="C306" s="167" t="s">
        <v>118</v>
      </c>
      <c r="D306" s="167" t="s">
        <v>118</v>
      </c>
      <c r="E306" s="141" t="s">
        <v>36</v>
      </c>
      <c r="F306" s="184"/>
      <c r="G306" s="123">
        <f>G307</f>
        <v>3449.7</v>
      </c>
    </row>
    <row r="307" spans="1:7" s="77" customFormat="1" ht="28.5">
      <c r="A307" s="109" t="s">
        <v>676</v>
      </c>
      <c r="B307" s="145"/>
      <c r="C307" s="167" t="s">
        <v>118</v>
      </c>
      <c r="D307" s="167" t="s">
        <v>118</v>
      </c>
      <c r="E307" s="141" t="s">
        <v>36</v>
      </c>
      <c r="F307" s="184" t="s">
        <v>489</v>
      </c>
      <c r="G307" s="123">
        <v>3449.7</v>
      </c>
    </row>
    <row r="308" spans="1:7" s="77" customFormat="1" ht="57">
      <c r="A308" s="109" t="s">
        <v>1115</v>
      </c>
      <c r="B308" s="145"/>
      <c r="C308" s="355" t="s">
        <v>118</v>
      </c>
      <c r="D308" s="217" t="s">
        <v>118</v>
      </c>
      <c r="E308" s="89" t="s">
        <v>1116</v>
      </c>
      <c r="F308" s="95"/>
      <c r="G308" s="367">
        <f>SUM(G309)</f>
        <v>705</v>
      </c>
    </row>
    <row r="309" spans="1:7" s="77" customFormat="1" ht="28.5">
      <c r="A309" s="109" t="s">
        <v>676</v>
      </c>
      <c r="B309" s="145"/>
      <c r="C309" s="355" t="s">
        <v>118</v>
      </c>
      <c r="D309" s="217" t="s">
        <v>118</v>
      </c>
      <c r="E309" s="89" t="s">
        <v>1116</v>
      </c>
      <c r="F309" s="95" t="s">
        <v>489</v>
      </c>
      <c r="G309" s="367">
        <v>705</v>
      </c>
    </row>
    <row r="310" spans="1:7" s="77" customFormat="1" ht="28.5">
      <c r="A310" s="147" t="s">
        <v>717</v>
      </c>
      <c r="B310" s="145"/>
      <c r="C310" s="167" t="s">
        <v>118</v>
      </c>
      <c r="D310" s="167" t="s">
        <v>118</v>
      </c>
      <c r="E310" s="141" t="s">
        <v>48</v>
      </c>
      <c r="F310" s="184"/>
      <c r="G310" s="123">
        <f>SUM(G311:G312)</f>
        <v>5149</v>
      </c>
    </row>
    <row r="311" spans="1:7" s="77" customFormat="1" ht="27.75" customHeight="1">
      <c r="A311" s="109" t="s">
        <v>676</v>
      </c>
      <c r="B311" s="145"/>
      <c r="C311" s="167" t="s">
        <v>118</v>
      </c>
      <c r="D311" s="167" t="s">
        <v>118</v>
      </c>
      <c r="E311" s="141" t="s">
        <v>48</v>
      </c>
      <c r="F311" s="184" t="s">
        <v>489</v>
      </c>
      <c r="G311" s="123">
        <v>4949</v>
      </c>
    </row>
    <row r="312" spans="1:7" ht="33.75" customHeight="1">
      <c r="A312" s="85" t="s">
        <v>454</v>
      </c>
      <c r="B312" s="137"/>
      <c r="C312" s="141" t="s">
        <v>118</v>
      </c>
      <c r="D312" s="141" t="s">
        <v>118</v>
      </c>
      <c r="E312" s="138" t="s">
        <v>48</v>
      </c>
      <c r="F312" s="184" t="s">
        <v>445</v>
      </c>
      <c r="G312" s="118">
        <v>200</v>
      </c>
    </row>
    <row r="313" spans="1:7" ht="15">
      <c r="A313" s="136" t="s">
        <v>61</v>
      </c>
      <c r="B313" s="137"/>
      <c r="C313" s="138" t="s">
        <v>334</v>
      </c>
      <c r="D313" s="138"/>
      <c r="E313" s="138"/>
      <c r="F313" s="183"/>
      <c r="G313" s="118">
        <f>SUM(G315)+G320</f>
        <v>6220.500000000001</v>
      </c>
    </row>
    <row r="314" spans="1:7" ht="15">
      <c r="A314" s="195" t="s">
        <v>543</v>
      </c>
      <c r="B314" s="137"/>
      <c r="C314" s="167" t="s">
        <v>334</v>
      </c>
      <c r="D314" s="167" t="s">
        <v>95</v>
      </c>
      <c r="E314" s="138"/>
      <c r="F314" s="183"/>
      <c r="G314" s="118">
        <f>SUM(G315)</f>
        <v>5351.500000000001</v>
      </c>
    </row>
    <row r="315" spans="1:7" ht="15">
      <c r="A315" s="109" t="s">
        <v>62</v>
      </c>
      <c r="B315" s="168"/>
      <c r="C315" s="167" t="s">
        <v>334</v>
      </c>
      <c r="D315" s="167" t="s">
        <v>95</v>
      </c>
      <c r="E315" s="167" t="s">
        <v>490</v>
      </c>
      <c r="F315" s="187"/>
      <c r="G315" s="123">
        <f>SUM(G316)</f>
        <v>5351.500000000001</v>
      </c>
    </row>
    <row r="316" spans="1:7" ht="28.5">
      <c r="A316" s="109" t="s">
        <v>50</v>
      </c>
      <c r="B316" s="168"/>
      <c r="C316" s="167" t="s">
        <v>334</v>
      </c>
      <c r="D316" s="167" t="s">
        <v>95</v>
      </c>
      <c r="E316" s="167" t="s">
        <v>491</v>
      </c>
      <c r="F316" s="187"/>
      <c r="G316" s="123">
        <f>SUM(G317:G319)</f>
        <v>5351.500000000001</v>
      </c>
    </row>
    <row r="317" spans="1:7" ht="28.5">
      <c r="A317" s="109" t="s">
        <v>428</v>
      </c>
      <c r="B317" s="168"/>
      <c r="C317" s="167" t="s">
        <v>334</v>
      </c>
      <c r="D317" s="167" t="s">
        <v>95</v>
      </c>
      <c r="E317" s="167" t="s">
        <v>491</v>
      </c>
      <c r="F317" s="187" t="s">
        <v>429</v>
      </c>
      <c r="G317" s="123">
        <v>4463.3</v>
      </c>
    </row>
    <row r="318" spans="1:7" ht="28.5">
      <c r="A318" s="136" t="s">
        <v>675</v>
      </c>
      <c r="B318" s="168"/>
      <c r="C318" s="167" t="s">
        <v>334</v>
      </c>
      <c r="D318" s="167" t="s">
        <v>95</v>
      </c>
      <c r="E318" s="167" t="s">
        <v>491</v>
      </c>
      <c r="F318" s="187" t="s">
        <v>107</v>
      </c>
      <c r="G318" s="123">
        <v>802.1</v>
      </c>
    </row>
    <row r="319" spans="1:7" ht="15">
      <c r="A319" s="109" t="s">
        <v>434</v>
      </c>
      <c r="B319" s="168"/>
      <c r="C319" s="167" t="s">
        <v>334</v>
      </c>
      <c r="D319" s="167" t="s">
        <v>95</v>
      </c>
      <c r="E319" s="167" t="s">
        <v>491</v>
      </c>
      <c r="F319" s="187" t="s">
        <v>152</v>
      </c>
      <c r="G319" s="123">
        <v>86.1</v>
      </c>
    </row>
    <row r="320" spans="1:7" ht="15">
      <c r="A320" s="109" t="s">
        <v>63</v>
      </c>
      <c r="B320" s="168"/>
      <c r="C320" s="167" t="s">
        <v>334</v>
      </c>
      <c r="D320" s="167" t="s">
        <v>118</v>
      </c>
      <c r="E320" s="174"/>
      <c r="F320" s="187"/>
      <c r="G320" s="123">
        <f>G322</f>
        <v>869</v>
      </c>
    </row>
    <row r="321" spans="1:7" ht="15">
      <c r="A321" s="109" t="s">
        <v>481</v>
      </c>
      <c r="B321" s="168"/>
      <c r="C321" s="167" t="s">
        <v>334</v>
      </c>
      <c r="D321" s="167" t="s">
        <v>118</v>
      </c>
      <c r="E321" s="141" t="s">
        <v>116</v>
      </c>
      <c r="F321" s="187"/>
      <c r="G321" s="123">
        <f>SUM(G322)</f>
        <v>869</v>
      </c>
    </row>
    <row r="322" spans="1:7" ht="15">
      <c r="A322" s="109" t="s">
        <v>546</v>
      </c>
      <c r="B322" s="172"/>
      <c r="C322" s="167" t="s">
        <v>334</v>
      </c>
      <c r="D322" s="167" t="s">
        <v>118</v>
      </c>
      <c r="E322" s="167" t="s">
        <v>64</v>
      </c>
      <c r="F322" s="187"/>
      <c r="G322" s="123">
        <f>SUM(G323:G324)</f>
        <v>869</v>
      </c>
    </row>
    <row r="323" spans="1:7" ht="28.5">
      <c r="A323" s="84" t="s">
        <v>428</v>
      </c>
      <c r="B323" s="172"/>
      <c r="C323" s="355" t="s">
        <v>334</v>
      </c>
      <c r="D323" s="217" t="s">
        <v>118</v>
      </c>
      <c r="E323" s="217" t="s">
        <v>64</v>
      </c>
      <c r="F323" s="219" t="s">
        <v>429</v>
      </c>
      <c r="G323" s="123">
        <v>50.2</v>
      </c>
    </row>
    <row r="324" spans="1:7" ht="27.75" customHeight="1">
      <c r="A324" s="136" t="s">
        <v>675</v>
      </c>
      <c r="B324" s="168"/>
      <c r="C324" s="167" t="s">
        <v>334</v>
      </c>
      <c r="D324" s="167" t="s">
        <v>118</v>
      </c>
      <c r="E324" s="167" t="s">
        <v>64</v>
      </c>
      <c r="F324" s="187" t="s">
        <v>107</v>
      </c>
      <c r="G324" s="123">
        <v>818.8</v>
      </c>
    </row>
    <row r="325" spans="1:7" ht="15">
      <c r="A325" s="109" t="s">
        <v>103</v>
      </c>
      <c r="B325" s="168"/>
      <c r="C325" s="167" t="s">
        <v>104</v>
      </c>
      <c r="D325" s="167"/>
      <c r="E325" s="167"/>
      <c r="F325" s="187"/>
      <c r="G325" s="123">
        <f>G326</f>
        <v>2079.8</v>
      </c>
    </row>
    <row r="326" spans="1:7" ht="15">
      <c r="A326" s="109" t="s">
        <v>199</v>
      </c>
      <c r="B326" s="168"/>
      <c r="C326" s="167" t="s">
        <v>104</v>
      </c>
      <c r="D326" s="167" t="s">
        <v>259</v>
      </c>
      <c r="E326" s="167"/>
      <c r="F326" s="187"/>
      <c r="G326" s="123">
        <f>G328</f>
        <v>2079.8</v>
      </c>
    </row>
    <row r="327" spans="1:7" ht="15">
      <c r="A327" s="109" t="s">
        <v>481</v>
      </c>
      <c r="B327" s="168"/>
      <c r="C327" s="167" t="s">
        <v>104</v>
      </c>
      <c r="D327" s="167" t="s">
        <v>259</v>
      </c>
      <c r="E327" s="141" t="s">
        <v>116</v>
      </c>
      <c r="F327" s="187"/>
      <c r="G327" s="123">
        <f>SUM(G328)</f>
        <v>2079.8</v>
      </c>
    </row>
    <row r="328" spans="1:7" ht="28.5">
      <c r="A328" s="147" t="s">
        <v>717</v>
      </c>
      <c r="B328" s="168"/>
      <c r="C328" s="167" t="s">
        <v>104</v>
      </c>
      <c r="D328" s="167" t="s">
        <v>259</v>
      </c>
      <c r="E328" s="167" t="s">
        <v>48</v>
      </c>
      <c r="F328" s="187"/>
      <c r="G328" s="123">
        <f>SUM(G329:G330)</f>
        <v>2079.8</v>
      </c>
    </row>
    <row r="329" spans="1:7" s="66" customFormat="1" ht="28.5">
      <c r="A329" s="109" t="s">
        <v>676</v>
      </c>
      <c r="B329" s="168"/>
      <c r="C329" s="167" t="s">
        <v>104</v>
      </c>
      <c r="D329" s="167" t="s">
        <v>259</v>
      </c>
      <c r="E329" s="167" t="s">
        <v>492</v>
      </c>
      <c r="F329" s="187" t="s">
        <v>489</v>
      </c>
      <c r="G329" s="123">
        <v>2077.8</v>
      </c>
    </row>
    <row r="330" spans="1:7" s="66" customFormat="1" ht="28.5">
      <c r="A330" s="85" t="s">
        <v>454</v>
      </c>
      <c r="B330" s="168"/>
      <c r="C330" s="167" t="s">
        <v>104</v>
      </c>
      <c r="D330" s="167" t="s">
        <v>259</v>
      </c>
      <c r="E330" s="167" t="s">
        <v>492</v>
      </c>
      <c r="F330" s="187" t="s">
        <v>445</v>
      </c>
      <c r="G330" s="123">
        <v>2</v>
      </c>
    </row>
    <row r="331" spans="1:7" ht="15">
      <c r="A331" s="136" t="s">
        <v>159</v>
      </c>
      <c r="B331" s="137"/>
      <c r="C331" s="138" t="s">
        <v>5</v>
      </c>
      <c r="D331" s="138"/>
      <c r="E331" s="138"/>
      <c r="F331" s="183"/>
      <c r="G331" s="118">
        <f>SUM(G344)+G332</f>
        <v>33102.5</v>
      </c>
    </row>
    <row r="332" spans="1:7" ht="15">
      <c r="A332" s="136" t="s">
        <v>23</v>
      </c>
      <c r="B332" s="137"/>
      <c r="C332" s="138" t="s">
        <v>5</v>
      </c>
      <c r="D332" s="138" t="s">
        <v>95</v>
      </c>
      <c r="E332" s="138"/>
      <c r="F332" s="183"/>
      <c r="G332" s="118">
        <f>SUM(G338)+G333</f>
        <v>1467</v>
      </c>
    </row>
    <row r="333" spans="1:7" ht="42.75">
      <c r="A333" s="136" t="s">
        <v>1211</v>
      </c>
      <c r="B333" s="137"/>
      <c r="C333" s="138" t="s">
        <v>5</v>
      </c>
      <c r="D333" s="138" t="s">
        <v>95</v>
      </c>
      <c r="E333" s="138" t="s">
        <v>703</v>
      </c>
      <c r="F333" s="183"/>
      <c r="G333" s="118">
        <f>SUM(G334)+G336</f>
        <v>1014.3</v>
      </c>
    </row>
    <row r="334" spans="1:7" ht="28.5">
      <c r="A334" s="136" t="s">
        <v>1212</v>
      </c>
      <c r="B334" s="137"/>
      <c r="C334" s="138" t="s">
        <v>5</v>
      </c>
      <c r="D334" s="138" t="s">
        <v>95</v>
      </c>
      <c r="E334" s="138" t="s">
        <v>1213</v>
      </c>
      <c r="F334" s="183"/>
      <c r="G334" s="118">
        <f>SUM(G335)</f>
        <v>427.5</v>
      </c>
    </row>
    <row r="335" spans="1:7" ht="15">
      <c r="A335" s="111" t="s">
        <v>438</v>
      </c>
      <c r="B335" s="137"/>
      <c r="C335" s="138" t="s">
        <v>5</v>
      </c>
      <c r="D335" s="138" t="s">
        <v>95</v>
      </c>
      <c r="E335" s="138" t="s">
        <v>1213</v>
      </c>
      <c r="F335" s="183" t="s">
        <v>439</v>
      </c>
      <c r="G335" s="118">
        <v>427.5</v>
      </c>
    </row>
    <row r="336" spans="1:7" ht="28.5">
      <c r="A336" s="111" t="s">
        <v>1214</v>
      </c>
      <c r="B336" s="137"/>
      <c r="C336" s="138" t="s">
        <v>5</v>
      </c>
      <c r="D336" s="138" t="s">
        <v>95</v>
      </c>
      <c r="E336" s="138" t="s">
        <v>1215</v>
      </c>
      <c r="F336" s="183"/>
      <c r="G336" s="118">
        <f>SUM(G337)</f>
        <v>586.8</v>
      </c>
    </row>
    <row r="337" spans="1:7" ht="15">
      <c r="A337" s="111" t="s">
        <v>438</v>
      </c>
      <c r="B337" s="137"/>
      <c r="C337" s="138" t="s">
        <v>5</v>
      </c>
      <c r="D337" s="138" t="s">
        <v>95</v>
      </c>
      <c r="E337" s="138" t="s">
        <v>1215</v>
      </c>
      <c r="F337" s="183" t="s">
        <v>439</v>
      </c>
      <c r="G337" s="118">
        <v>586.8</v>
      </c>
    </row>
    <row r="338" spans="1:7" ht="19.5" customHeight="1">
      <c r="A338" s="109" t="s">
        <v>481</v>
      </c>
      <c r="B338" s="137"/>
      <c r="C338" s="138" t="s">
        <v>5</v>
      </c>
      <c r="D338" s="138" t="s">
        <v>95</v>
      </c>
      <c r="E338" s="141" t="s">
        <v>116</v>
      </c>
      <c r="F338" s="183"/>
      <c r="G338" s="118">
        <f>SUM(G339)+G341</f>
        <v>452.7</v>
      </c>
    </row>
    <row r="339" spans="1:7" ht="0.75" customHeight="1" hidden="1">
      <c r="A339" s="109" t="s">
        <v>554</v>
      </c>
      <c r="B339" s="137"/>
      <c r="C339" s="138" t="s">
        <v>5</v>
      </c>
      <c r="D339" s="138" t="s">
        <v>95</v>
      </c>
      <c r="E339" s="141" t="s">
        <v>555</v>
      </c>
      <c r="F339" s="183"/>
      <c r="G339" s="118">
        <f>SUM(G340)</f>
        <v>0</v>
      </c>
    </row>
    <row r="340" spans="1:7" ht="15" customHeight="1" hidden="1">
      <c r="A340" s="136" t="s">
        <v>438</v>
      </c>
      <c r="B340" s="137"/>
      <c r="C340" s="138" t="s">
        <v>5</v>
      </c>
      <c r="D340" s="138" t="s">
        <v>95</v>
      </c>
      <c r="E340" s="141" t="s">
        <v>555</v>
      </c>
      <c r="F340" s="183" t="s">
        <v>439</v>
      </c>
      <c r="G340" s="118"/>
    </row>
    <row r="341" spans="1:7" ht="28.5">
      <c r="A341" s="151" t="s">
        <v>559</v>
      </c>
      <c r="B341" s="152"/>
      <c r="C341" s="153" t="s">
        <v>5</v>
      </c>
      <c r="D341" s="153" t="s">
        <v>95</v>
      </c>
      <c r="E341" s="153" t="s">
        <v>556</v>
      </c>
      <c r="F341" s="386"/>
      <c r="G341" s="118">
        <f>SUM(G342)</f>
        <v>452.7</v>
      </c>
    </row>
    <row r="342" spans="1:7" ht="28.5">
      <c r="A342" s="195" t="s">
        <v>557</v>
      </c>
      <c r="B342" s="154"/>
      <c r="C342" s="153" t="s">
        <v>5</v>
      </c>
      <c r="D342" s="153" t="s">
        <v>95</v>
      </c>
      <c r="E342" s="153" t="s">
        <v>558</v>
      </c>
      <c r="F342" s="386"/>
      <c r="G342" s="118">
        <f>SUM(G343)</f>
        <v>452.7</v>
      </c>
    </row>
    <row r="343" spans="1:7" ht="15">
      <c r="A343" s="111" t="s">
        <v>438</v>
      </c>
      <c r="B343" s="155"/>
      <c r="C343" s="153" t="s">
        <v>5</v>
      </c>
      <c r="D343" s="153" t="s">
        <v>95</v>
      </c>
      <c r="E343" s="153" t="s">
        <v>558</v>
      </c>
      <c r="F343" s="387" t="s">
        <v>439</v>
      </c>
      <c r="G343" s="118">
        <v>452.7</v>
      </c>
    </row>
    <row r="344" spans="1:7" s="66" customFormat="1" ht="15">
      <c r="A344" s="109" t="s">
        <v>141</v>
      </c>
      <c r="B344" s="168"/>
      <c r="C344" s="167" t="s">
        <v>5</v>
      </c>
      <c r="D344" s="167" t="s">
        <v>109</v>
      </c>
      <c r="E344" s="167"/>
      <c r="F344" s="187"/>
      <c r="G344" s="123">
        <f>SUM(G345)</f>
        <v>31635.5</v>
      </c>
    </row>
    <row r="345" spans="1:7" s="66" customFormat="1" ht="28.5">
      <c r="A345" s="136" t="s">
        <v>573</v>
      </c>
      <c r="B345" s="137"/>
      <c r="C345" s="167" t="s">
        <v>5</v>
      </c>
      <c r="D345" s="167" t="s">
        <v>109</v>
      </c>
      <c r="E345" s="138" t="s">
        <v>574</v>
      </c>
      <c r="F345" s="183"/>
      <c r="G345" s="123">
        <f>SUM(G351)+G347</f>
        <v>31635.5</v>
      </c>
    </row>
    <row r="346" spans="1:7" s="66" customFormat="1" ht="85.5">
      <c r="A346" s="378" t="s">
        <v>594</v>
      </c>
      <c r="B346" s="302"/>
      <c r="C346" s="230" t="s">
        <v>5</v>
      </c>
      <c r="D346" s="230" t="s">
        <v>109</v>
      </c>
      <c r="E346" s="230" t="s">
        <v>595</v>
      </c>
      <c r="F346" s="231"/>
      <c r="G346" s="123">
        <f>SUM(G347)</f>
        <v>21090.3</v>
      </c>
    </row>
    <row r="347" spans="1:7" ht="57">
      <c r="A347" s="109" t="s">
        <v>664</v>
      </c>
      <c r="B347" s="168"/>
      <c r="C347" s="167" t="s">
        <v>5</v>
      </c>
      <c r="D347" s="167" t="s">
        <v>109</v>
      </c>
      <c r="E347" s="138" t="s">
        <v>665</v>
      </c>
      <c r="F347" s="187"/>
      <c r="G347" s="123">
        <f>SUM(G348)</f>
        <v>21090.3</v>
      </c>
    </row>
    <row r="348" spans="1:7" ht="27" customHeight="1">
      <c r="A348" s="109" t="s">
        <v>676</v>
      </c>
      <c r="B348" s="168"/>
      <c r="C348" s="167" t="s">
        <v>5</v>
      </c>
      <c r="D348" s="167" t="s">
        <v>109</v>
      </c>
      <c r="E348" s="138" t="s">
        <v>665</v>
      </c>
      <c r="F348" s="187" t="s">
        <v>489</v>
      </c>
      <c r="G348" s="123">
        <v>21090.3</v>
      </c>
    </row>
    <row r="349" spans="1:7" s="66" customFormat="1" ht="15" customHeight="1" hidden="1">
      <c r="A349" s="109" t="s">
        <v>59</v>
      </c>
      <c r="B349" s="168"/>
      <c r="C349" s="167" t="s">
        <v>5</v>
      </c>
      <c r="D349" s="167" t="s">
        <v>109</v>
      </c>
      <c r="E349" s="167" t="s">
        <v>493</v>
      </c>
      <c r="F349" s="187" t="s">
        <v>495</v>
      </c>
      <c r="G349" s="123"/>
    </row>
    <row r="350" spans="1:7" ht="28.5" customHeight="1" hidden="1">
      <c r="A350" s="109" t="s">
        <v>496</v>
      </c>
      <c r="B350" s="168"/>
      <c r="C350" s="167" t="s">
        <v>5</v>
      </c>
      <c r="D350" s="167" t="s">
        <v>109</v>
      </c>
      <c r="E350" s="167" t="s">
        <v>493</v>
      </c>
      <c r="F350" s="187" t="s">
        <v>497</v>
      </c>
      <c r="G350" s="123"/>
    </row>
    <row r="351" spans="1:7" ht="42.75">
      <c r="A351" s="109" t="s">
        <v>544</v>
      </c>
      <c r="B351" s="168"/>
      <c r="C351" s="167" t="s">
        <v>5</v>
      </c>
      <c r="D351" s="167" t="s">
        <v>109</v>
      </c>
      <c r="E351" s="138" t="s">
        <v>577</v>
      </c>
      <c r="F351" s="187"/>
      <c r="G351" s="123">
        <f>SUM(G352)</f>
        <v>10545.2</v>
      </c>
    </row>
    <row r="352" spans="1:7" ht="30" customHeight="1">
      <c r="A352" s="109" t="s">
        <v>676</v>
      </c>
      <c r="B352" s="168"/>
      <c r="C352" s="167" t="s">
        <v>5</v>
      </c>
      <c r="D352" s="167" t="s">
        <v>109</v>
      </c>
      <c r="E352" s="138" t="s">
        <v>577</v>
      </c>
      <c r="F352" s="187" t="s">
        <v>489</v>
      </c>
      <c r="G352" s="123">
        <v>10545.2</v>
      </c>
    </row>
    <row r="353" spans="1:7" s="66" customFormat="1" ht="15" customHeight="1" hidden="1">
      <c r="A353" s="109" t="s">
        <v>59</v>
      </c>
      <c r="B353" s="168"/>
      <c r="C353" s="167" t="s">
        <v>5</v>
      </c>
      <c r="D353" s="167" t="s">
        <v>109</v>
      </c>
      <c r="E353" s="167" t="s">
        <v>404</v>
      </c>
      <c r="F353" s="187" t="s">
        <v>495</v>
      </c>
      <c r="G353" s="123"/>
    </row>
    <row r="354" spans="1:7" ht="4.5" customHeight="1" hidden="1">
      <c r="A354" s="109" t="s">
        <v>496</v>
      </c>
      <c r="B354" s="168"/>
      <c r="C354" s="167" t="s">
        <v>5</v>
      </c>
      <c r="D354" s="167" t="s">
        <v>109</v>
      </c>
      <c r="E354" s="167" t="s">
        <v>404</v>
      </c>
      <c r="F354" s="187" t="s">
        <v>497</v>
      </c>
      <c r="G354" s="123"/>
    </row>
    <row r="355" spans="1:7" ht="15">
      <c r="A355" s="136" t="s">
        <v>210</v>
      </c>
      <c r="B355" s="137"/>
      <c r="C355" s="141" t="s">
        <v>360</v>
      </c>
      <c r="D355" s="141"/>
      <c r="E355" s="141"/>
      <c r="F355" s="184"/>
      <c r="G355" s="366">
        <f>SUM(G356)</f>
        <v>473.6</v>
      </c>
    </row>
    <row r="356" spans="1:7" ht="15">
      <c r="A356" s="136" t="s">
        <v>206</v>
      </c>
      <c r="B356" s="137"/>
      <c r="C356" s="138" t="s">
        <v>360</v>
      </c>
      <c r="D356" s="138" t="s">
        <v>118</v>
      </c>
      <c r="E356" s="141"/>
      <c r="F356" s="184"/>
      <c r="G356" s="118">
        <f>SUM(G357)</f>
        <v>473.6</v>
      </c>
    </row>
    <row r="357" spans="1:7" ht="15">
      <c r="A357" s="85" t="s">
        <v>512</v>
      </c>
      <c r="B357" s="145"/>
      <c r="C357" s="138" t="s">
        <v>360</v>
      </c>
      <c r="D357" s="138" t="s">
        <v>118</v>
      </c>
      <c r="E357" s="141" t="s">
        <v>116</v>
      </c>
      <c r="F357" s="184"/>
      <c r="G357" s="118">
        <f>SUM(G358)</f>
        <v>473.6</v>
      </c>
    </row>
    <row r="358" spans="1:7" ht="28.5">
      <c r="A358" s="149" t="s">
        <v>1103</v>
      </c>
      <c r="B358" s="137"/>
      <c r="C358" s="138" t="s">
        <v>360</v>
      </c>
      <c r="D358" s="138" t="s">
        <v>118</v>
      </c>
      <c r="E358" s="141" t="s">
        <v>87</v>
      </c>
      <c r="F358" s="184"/>
      <c r="G358" s="118">
        <f>SUM(G359)</f>
        <v>473.6</v>
      </c>
    </row>
    <row r="359" spans="1:7" s="79" customFormat="1" ht="28.5">
      <c r="A359" s="109" t="s">
        <v>494</v>
      </c>
      <c r="B359" s="137"/>
      <c r="C359" s="138" t="s">
        <v>360</v>
      </c>
      <c r="D359" s="138" t="s">
        <v>118</v>
      </c>
      <c r="E359" s="141" t="s">
        <v>87</v>
      </c>
      <c r="F359" s="184" t="s">
        <v>489</v>
      </c>
      <c r="G359" s="118">
        <v>473.6</v>
      </c>
    </row>
    <row r="360" spans="1:7" s="79" customFormat="1" ht="15" customHeight="1">
      <c r="A360" s="142" t="s">
        <v>223</v>
      </c>
      <c r="B360" s="143" t="s">
        <v>224</v>
      </c>
      <c r="C360" s="144"/>
      <c r="D360" s="144"/>
      <c r="E360" s="144"/>
      <c r="F360" s="382"/>
      <c r="G360" s="371">
        <f>SUM(G361+G395+G401)+G384+G388</f>
        <v>54673.3</v>
      </c>
    </row>
    <row r="361" spans="1:7" s="79" customFormat="1" ht="15">
      <c r="A361" s="136" t="s">
        <v>397</v>
      </c>
      <c r="B361" s="137"/>
      <c r="C361" s="138" t="s">
        <v>398</v>
      </c>
      <c r="D361" s="138"/>
      <c r="E361" s="138"/>
      <c r="F361" s="183"/>
      <c r="G361" s="118">
        <f>SUM(G362+G369+G372)</f>
        <v>24170.7</v>
      </c>
    </row>
    <row r="362" spans="1:7" ht="28.5">
      <c r="A362" s="136" t="s">
        <v>333</v>
      </c>
      <c r="B362" s="137"/>
      <c r="C362" s="138" t="s">
        <v>398</v>
      </c>
      <c r="D362" s="138" t="s">
        <v>334</v>
      </c>
      <c r="E362" s="138"/>
      <c r="F362" s="183"/>
      <c r="G362" s="118">
        <f>SUM(G363)</f>
        <v>19104.5</v>
      </c>
    </row>
    <row r="363" spans="1:7" ht="28.5">
      <c r="A363" s="136" t="s">
        <v>88</v>
      </c>
      <c r="B363" s="137"/>
      <c r="C363" s="138" t="s">
        <v>398</v>
      </c>
      <c r="D363" s="138" t="s">
        <v>334</v>
      </c>
      <c r="E363" s="138" t="s">
        <v>89</v>
      </c>
      <c r="F363" s="183"/>
      <c r="G363" s="118">
        <f>SUM(G364)+G368</f>
        <v>19104.5</v>
      </c>
    </row>
    <row r="364" spans="1:7" ht="17.25" customHeight="1">
      <c r="A364" s="136" t="s">
        <v>96</v>
      </c>
      <c r="B364" s="137"/>
      <c r="C364" s="138" t="s">
        <v>398</v>
      </c>
      <c r="D364" s="138" t="s">
        <v>334</v>
      </c>
      <c r="E364" s="138" t="s">
        <v>98</v>
      </c>
      <c r="F364" s="183"/>
      <c r="G364" s="118">
        <f>SUM(G365+G366)</f>
        <v>19104.5</v>
      </c>
    </row>
    <row r="365" spans="1:7" ht="28.5">
      <c r="A365" s="136" t="s">
        <v>428</v>
      </c>
      <c r="B365" s="137"/>
      <c r="C365" s="138" t="s">
        <v>97</v>
      </c>
      <c r="D365" s="138" t="s">
        <v>334</v>
      </c>
      <c r="E365" s="138" t="s">
        <v>98</v>
      </c>
      <c r="F365" s="185" t="s">
        <v>429</v>
      </c>
      <c r="G365" s="118">
        <v>19096.7</v>
      </c>
    </row>
    <row r="366" spans="1:7" s="68" customFormat="1" ht="34.5" customHeight="1">
      <c r="A366" s="136" t="s">
        <v>675</v>
      </c>
      <c r="B366" s="137"/>
      <c r="C366" s="138" t="s">
        <v>398</v>
      </c>
      <c r="D366" s="138" t="s">
        <v>334</v>
      </c>
      <c r="E366" s="138" t="s">
        <v>98</v>
      </c>
      <c r="F366" s="183" t="s">
        <v>107</v>
      </c>
      <c r="G366" s="366">
        <v>7.8</v>
      </c>
    </row>
    <row r="367" spans="1:7" s="77" customFormat="1" ht="28.5" customHeight="1" hidden="1">
      <c r="A367" s="136" t="s">
        <v>335</v>
      </c>
      <c r="B367" s="137"/>
      <c r="C367" s="138" t="s">
        <v>97</v>
      </c>
      <c r="D367" s="138" t="s">
        <v>334</v>
      </c>
      <c r="E367" s="138" t="s">
        <v>336</v>
      </c>
      <c r="F367" s="183"/>
      <c r="G367" s="118">
        <f>SUM(G368)</f>
        <v>0</v>
      </c>
    </row>
    <row r="368" spans="1:7" ht="28.5" customHeight="1" hidden="1">
      <c r="A368" s="136" t="s">
        <v>428</v>
      </c>
      <c r="B368" s="137"/>
      <c r="C368" s="138" t="s">
        <v>97</v>
      </c>
      <c r="D368" s="138" t="s">
        <v>334</v>
      </c>
      <c r="E368" s="138" t="s">
        <v>336</v>
      </c>
      <c r="F368" s="185" t="s">
        <v>429</v>
      </c>
      <c r="G368" s="118"/>
    </row>
    <row r="369" spans="1:7" ht="15">
      <c r="A369" s="136" t="s">
        <v>348</v>
      </c>
      <c r="B369" s="137"/>
      <c r="C369" s="138" t="s">
        <v>398</v>
      </c>
      <c r="D369" s="138" t="s">
        <v>360</v>
      </c>
      <c r="E369" s="138"/>
      <c r="F369" s="183"/>
      <c r="G369" s="118">
        <f>SUM(G370)</f>
        <v>145.9000000000001</v>
      </c>
    </row>
    <row r="370" spans="1:7" ht="15">
      <c r="A370" s="136" t="s">
        <v>330</v>
      </c>
      <c r="B370" s="137"/>
      <c r="C370" s="138" t="s">
        <v>398</v>
      </c>
      <c r="D370" s="138" t="s">
        <v>360</v>
      </c>
      <c r="E370" s="138" t="s">
        <v>440</v>
      </c>
      <c r="F370" s="183"/>
      <c r="G370" s="118">
        <f>SUM(G371)</f>
        <v>145.9000000000001</v>
      </c>
    </row>
    <row r="371" spans="1:7" ht="15">
      <c r="A371" s="136" t="s">
        <v>434</v>
      </c>
      <c r="B371" s="137"/>
      <c r="C371" s="138" t="s">
        <v>398</v>
      </c>
      <c r="D371" s="138" t="s">
        <v>360</v>
      </c>
      <c r="E371" s="138" t="s">
        <v>440</v>
      </c>
      <c r="F371" s="183" t="s">
        <v>152</v>
      </c>
      <c r="G371" s="118">
        <f>4592-3946.1-500</f>
        <v>145.9000000000001</v>
      </c>
    </row>
    <row r="372" spans="1:7" ht="15">
      <c r="A372" s="136" t="s">
        <v>99</v>
      </c>
      <c r="B372" s="137"/>
      <c r="C372" s="138" t="s">
        <v>398</v>
      </c>
      <c r="D372" s="138" t="s">
        <v>203</v>
      </c>
      <c r="E372" s="138"/>
      <c r="F372" s="184"/>
      <c r="G372" s="118">
        <f>SUM(G373)</f>
        <v>4920.299999999999</v>
      </c>
    </row>
    <row r="373" spans="1:7" ht="28.5">
      <c r="A373" s="136" t="s">
        <v>430</v>
      </c>
      <c r="B373" s="137"/>
      <c r="C373" s="138" t="s">
        <v>398</v>
      </c>
      <c r="D373" s="138" t="s">
        <v>203</v>
      </c>
      <c r="E373" s="138" t="s">
        <v>431</v>
      </c>
      <c r="F373" s="184"/>
      <c r="G373" s="366">
        <f>SUM(G374+G377+G379)</f>
        <v>4920.299999999999</v>
      </c>
    </row>
    <row r="374" spans="1:7" ht="15">
      <c r="A374" s="136" t="s">
        <v>421</v>
      </c>
      <c r="B374" s="137"/>
      <c r="C374" s="138" t="s">
        <v>398</v>
      </c>
      <c r="D374" s="138" t="s">
        <v>203</v>
      </c>
      <c r="E374" s="138" t="s">
        <v>432</v>
      </c>
      <c r="F374" s="183"/>
      <c r="G374" s="366">
        <f>SUM(G375:G376)</f>
        <v>204.8</v>
      </c>
    </row>
    <row r="375" spans="1:7" ht="28.5">
      <c r="A375" s="136" t="s">
        <v>675</v>
      </c>
      <c r="B375" s="137"/>
      <c r="C375" s="138" t="s">
        <v>398</v>
      </c>
      <c r="D375" s="138" t="s">
        <v>203</v>
      </c>
      <c r="E375" s="138" t="s">
        <v>432</v>
      </c>
      <c r="F375" s="183" t="s">
        <v>107</v>
      </c>
      <c r="G375" s="366">
        <v>202.3</v>
      </c>
    </row>
    <row r="376" spans="1:7" ht="15">
      <c r="A376" s="136" t="s">
        <v>434</v>
      </c>
      <c r="B376" s="137"/>
      <c r="C376" s="138" t="s">
        <v>398</v>
      </c>
      <c r="D376" s="138" t="s">
        <v>203</v>
      </c>
      <c r="E376" s="138" t="s">
        <v>432</v>
      </c>
      <c r="F376" s="183" t="s">
        <v>152</v>
      </c>
      <c r="G376" s="366">
        <v>2.5</v>
      </c>
    </row>
    <row r="377" spans="1:7" s="80" customFormat="1" ht="28.5">
      <c r="A377" s="136" t="s">
        <v>422</v>
      </c>
      <c r="B377" s="137"/>
      <c r="C377" s="138" t="s">
        <v>398</v>
      </c>
      <c r="D377" s="138" t="s">
        <v>203</v>
      </c>
      <c r="E377" s="138" t="s">
        <v>435</v>
      </c>
      <c r="F377" s="183"/>
      <c r="G377" s="366">
        <f>SUM(G378:G378)</f>
        <v>204.6</v>
      </c>
    </row>
    <row r="378" spans="1:7" ht="28.5">
      <c r="A378" s="136" t="s">
        <v>675</v>
      </c>
      <c r="B378" s="137"/>
      <c r="C378" s="138" t="s">
        <v>398</v>
      </c>
      <c r="D378" s="138" t="s">
        <v>203</v>
      </c>
      <c r="E378" s="138" t="s">
        <v>435</v>
      </c>
      <c r="F378" s="183" t="s">
        <v>107</v>
      </c>
      <c r="G378" s="366">
        <v>204.6</v>
      </c>
    </row>
    <row r="379" spans="1:7" ht="28.5">
      <c r="A379" s="111" t="s">
        <v>436</v>
      </c>
      <c r="B379" s="137"/>
      <c r="C379" s="138" t="s">
        <v>398</v>
      </c>
      <c r="D379" s="138" t="s">
        <v>203</v>
      </c>
      <c r="E379" s="138" t="s">
        <v>437</v>
      </c>
      <c r="F379" s="185"/>
      <c r="G379" s="366">
        <f>SUM(G380+G381+G383)</f>
        <v>4510.9</v>
      </c>
    </row>
    <row r="380" spans="1:7" ht="27.75" customHeight="1">
      <c r="A380" s="136" t="s">
        <v>675</v>
      </c>
      <c r="B380" s="137"/>
      <c r="C380" s="138" t="s">
        <v>398</v>
      </c>
      <c r="D380" s="138" t="s">
        <v>203</v>
      </c>
      <c r="E380" s="138" t="s">
        <v>437</v>
      </c>
      <c r="F380" s="185" t="s">
        <v>107</v>
      </c>
      <c r="G380" s="118">
        <v>4510.9</v>
      </c>
    </row>
    <row r="381" spans="1:7" ht="0.75" customHeight="1" hidden="1">
      <c r="A381" s="136" t="s">
        <v>434</v>
      </c>
      <c r="B381" s="137"/>
      <c r="C381" s="138" t="s">
        <v>398</v>
      </c>
      <c r="D381" s="138" t="s">
        <v>203</v>
      </c>
      <c r="E381" s="138" t="s">
        <v>437</v>
      </c>
      <c r="F381" s="185" t="s">
        <v>152</v>
      </c>
      <c r="G381" s="118"/>
    </row>
    <row r="382" spans="1:7" ht="15" customHeight="1" hidden="1">
      <c r="A382" s="111" t="s">
        <v>443</v>
      </c>
      <c r="B382" s="137"/>
      <c r="C382" s="138" t="s">
        <v>398</v>
      </c>
      <c r="D382" s="138" t="s">
        <v>203</v>
      </c>
      <c r="E382" s="138" t="s">
        <v>444</v>
      </c>
      <c r="F382" s="183"/>
      <c r="G382" s="118">
        <f>SUM(G383)</f>
        <v>0</v>
      </c>
    </row>
    <row r="383" spans="1:7" ht="15" customHeight="1" hidden="1">
      <c r="A383" s="136" t="s">
        <v>434</v>
      </c>
      <c r="B383" s="137"/>
      <c r="C383" s="138" t="s">
        <v>398</v>
      </c>
      <c r="D383" s="138" t="s">
        <v>203</v>
      </c>
      <c r="E383" s="138" t="s">
        <v>444</v>
      </c>
      <c r="F383" s="183" t="s">
        <v>152</v>
      </c>
      <c r="G383" s="118"/>
    </row>
    <row r="384" spans="1:7" ht="15" customHeight="1" hidden="1">
      <c r="A384" s="136" t="s">
        <v>108</v>
      </c>
      <c r="B384" s="137"/>
      <c r="C384" s="167" t="s">
        <v>109</v>
      </c>
      <c r="D384" s="138"/>
      <c r="E384" s="138"/>
      <c r="F384" s="183"/>
      <c r="G384" s="118">
        <f>SUM(G385)</f>
        <v>0</v>
      </c>
    </row>
    <row r="385" spans="1:7" ht="15" customHeight="1" hidden="1">
      <c r="A385" s="109" t="s">
        <v>110</v>
      </c>
      <c r="B385" s="168"/>
      <c r="C385" s="167" t="s">
        <v>109</v>
      </c>
      <c r="D385" s="167" t="s">
        <v>111</v>
      </c>
      <c r="E385" s="138"/>
      <c r="F385" s="184"/>
      <c r="G385" s="118">
        <f>SUM(G386)</f>
        <v>0</v>
      </c>
    </row>
    <row r="386" spans="1:7" ht="15" customHeight="1" hidden="1">
      <c r="A386" s="111" t="s">
        <v>561</v>
      </c>
      <c r="B386" s="137"/>
      <c r="C386" s="167" t="s">
        <v>109</v>
      </c>
      <c r="D386" s="167" t="s">
        <v>349</v>
      </c>
      <c r="E386" s="138" t="s">
        <v>444</v>
      </c>
      <c r="F386" s="183"/>
      <c r="G386" s="118">
        <f>SUM(G387)</f>
        <v>0</v>
      </c>
    </row>
    <row r="387" spans="1:7" ht="14.25" customHeight="1" hidden="1">
      <c r="A387" s="136" t="s">
        <v>434</v>
      </c>
      <c r="B387" s="137"/>
      <c r="C387" s="167" t="s">
        <v>109</v>
      </c>
      <c r="D387" s="167" t="s">
        <v>349</v>
      </c>
      <c r="E387" s="138" t="s">
        <v>444</v>
      </c>
      <c r="F387" s="183" t="s">
        <v>152</v>
      </c>
      <c r="G387" s="118"/>
    </row>
    <row r="388" spans="1:7" ht="15" customHeight="1" hidden="1">
      <c r="A388" s="109" t="s">
        <v>365</v>
      </c>
      <c r="B388" s="145"/>
      <c r="C388" s="141" t="s">
        <v>118</v>
      </c>
      <c r="D388" s="141"/>
      <c r="E388" s="141"/>
      <c r="F388" s="185"/>
      <c r="G388" s="125">
        <f>SUM(G389)+G392</f>
        <v>0</v>
      </c>
    </row>
    <row r="389" spans="1:7" ht="15" customHeight="1" hidden="1">
      <c r="A389" s="109" t="s">
        <v>49</v>
      </c>
      <c r="B389" s="168"/>
      <c r="C389" s="167" t="s">
        <v>118</v>
      </c>
      <c r="D389" s="167" t="s">
        <v>400</v>
      </c>
      <c r="E389" s="167"/>
      <c r="F389" s="187"/>
      <c r="G389" s="123">
        <f>G390</f>
        <v>0</v>
      </c>
    </row>
    <row r="390" spans="1:7" ht="15" customHeight="1" hidden="1">
      <c r="A390" s="111" t="s">
        <v>443</v>
      </c>
      <c r="B390" s="137"/>
      <c r="C390" s="167" t="s">
        <v>118</v>
      </c>
      <c r="D390" s="167" t="s">
        <v>400</v>
      </c>
      <c r="E390" s="138" t="s">
        <v>444</v>
      </c>
      <c r="F390" s="183"/>
      <c r="G390" s="123">
        <f>G391</f>
        <v>0</v>
      </c>
    </row>
    <row r="391" spans="1:7" ht="15" customHeight="1" hidden="1">
      <c r="A391" s="136" t="s">
        <v>434</v>
      </c>
      <c r="B391" s="137"/>
      <c r="C391" s="167" t="s">
        <v>118</v>
      </c>
      <c r="D391" s="167" t="s">
        <v>400</v>
      </c>
      <c r="E391" s="138" t="s">
        <v>444</v>
      </c>
      <c r="F391" s="183" t="s">
        <v>152</v>
      </c>
      <c r="G391" s="118"/>
    </row>
    <row r="392" spans="1:7" ht="15" customHeight="1" hidden="1">
      <c r="A392" s="109" t="s">
        <v>58</v>
      </c>
      <c r="B392" s="145"/>
      <c r="C392" s="167" t="s">
        <v>118</v>
      </c>
      <c r="D392" s="167" t="s">
        <v>118</v>
      </c>
      <c r="E392" s="141"/>
      <c r="F392" s="184"/>
      <c r="G392" s="123">
        <f>G393</f>
        <v>0</v>
      </c>
    </row>
    <row r="393" spans="1:7" ht="15" customHeight="1" hidden="1">
      <c r="A393" s="111" t="s">
        <v>443</v>
      </c>
      <c r="B393" s="137"/>
      <c r="C393" s="167" t="s">
        <v>118</v>
      </c>
      <c r="D393" s="167" t="s">
        <v>118</v>
      </c>
      <c r="E393" s="138" t="s">
        <v>444</v>
      </c>
      <c r="F393" s="183"/>
      <c r="G393" s="123">
        <f>G394</f>
        <v>0</v>
      </c>
    </row>
    <row r="394" spans="1:7" ht="15" customHeight="1" hidden="1">
      <c r="A394" s="136" t="s">
        <v>434</v>
      </c>
      <c r="B394" s="137"/>
      <c r="C394" s="167" t="s">
        <v>118</v>
      </c>
      <c r="D394" s="167" t="s">
        <v>118</v>
      </c>
      <c r="E394" s="138" t="s">
        <v>444</v>
      </c>
      <c r="F394" s="183" t="s">
        <v>152</v>
      </c>
      <c r="G394" s="118"/>
    </row>
    <row r="395" spans="1:7" ht="15" customHeight="1" hidden="1">
      <c r="A395" s="136" t="s">
        <v>159</v>
      </c>
      <c r="B395" s="137"/>
      <c r="C395" s="138" t="s">
        <v>5</v>
      </c>
      <c r="D395" s="138" t="s">
        <v>160</v>
      </c>
      <c r="E395" s="138"/>
      <c r="F395" s="183"/>
      <c r="G395" s="118">
        <f>SUM(G396)</f>
        <v>0</v>
      </c>
    </row>
    <row r="396" spans="1:7" ht="15" customHeight="1" hidden="1">
      <c r="A396" s="136" t="s">
        <v>143</v>
      </c>
      <c r="B396" s="137"/>
      <c r="C396" s="138" t="s">
        <v>5</v>
      </c>
      <c r="D396" s="138" t="s">
        <v>334</v>
      </c>
      <c r="E396" s="138"/>
      <c r="F396" s="183"/>
      <c r="G396" s="118">
        <f>SUM(G399)+G397</f>
        <v>0</v>
      </c>
    </row>
    <row r="397" spans="1:7" ht="15" customHeight="1" hidden="1">
      <c r="A397" s="111" t="s">
        <v>561</v>
      </c>
      <c r="B397" s="137"/>
      <c r="C397" s="138" t="s">
        <v>5</v>
      </c>
      <c r="D397" s="138" t="s">
        <v>334</v>
      </c>
      <c r="E397" s="138" t="s">
        <v>444</v>
      </c>
      <c r="F397" s="183"/>
      <c r="G397" s="118">
        <f>SUM(G398)</f>
        <v>0</v>
      </c>
    </row>
    <row r="398" spans="1:7" ht="15" customHeight="1" hidden="1">
      <c r="A398" s="136" t="s">
        <v>434</v>
      </c>
      <c r="B398" s="137"/>
      <c r="C398" s="138" t="s">
        <v>5</v>
      </c>
      <c r="D398" s="138" t="s">
        <v>334</v>
      </c>
      <c r="E398" s="138" t="s">
        <v>444</v>
      </c>
      <c r="F398" s="183" t="s">
        <v>152</v>
      </c>
      <c r="G398" s="118"/>
    </row>
    <row r="399" spans="1:7" ht="28.5" customHeight="1" hidden="1">
      <c r="A399" s="111" t="s">
        <v>532</v>
      </c>
      <c r="B399" s="137"/>
      <c r="C399" s="138" t="s">
        <v>5</v>
      </c>
      <c r="D399" s="138" t="s">
        <v>334</v>
      </c>
      <c r="E399" s="138" t="s">
        <v>531</v>
      </c>
      <c r="F399" s="183"/>
      <c r="G399" s="118">
        <f>SUM(G400)</f>
        <v>0</v>
      </c>
    </row>
    <row r="400" spans="1:7" ht="15" customHeight="1" hidden="1">
      <c r="A400" s="136" t="s">
        <v>434</v>
      </c>
      <c r="B400" s="137"/>
      <c r="C400" s="138" t="s">
        <v>5</v>
      </c>
      <c r="D400" s="138" t="s">
        <v>334</v>
      </c>
      <c r="E400" s="138" t="s">
        <v>531</v>
      </c>
      <c r="F400" s="183" t="s">
        <v>152</v>
      </c>
      <c r="G400" s="118"/>
    </row>
    <row r="401" spans="1:7" ht="15">
      <c r="A401" s="136" t="s">
        <v>343</v>
      </c>
      <c r="B401" s="137"/>
      <c r="C401" s="138" t="s">
        <v>203</v>
      </c>
      <c r="D401" s="138" t="s">
        <v>160</v>
      </c>
      <c r="E401" s="138"/>
      <c r="F401" s="183"/>
      <c r="G401" s="118">
        <f>SUM(G402)</f>
        <v>30502.6</v>
      </c>
    </row>
    <row r="402" spans="1:7" ht="15">
      <c r="A402" s="136" t="s">
        <v>204</v>
      </c>
      <c r="B402" s="137"/>
      <c r="C402" s="138" t="s">
        <v>203</v>
      </c>
      <c r="D402" s="138" t="s">
        <v>398</v>
      </c>
      <c r="E402" s="138"/>
      <c r="F402" s="183"/>
      <c r="G402" s="118">
        <f>SUM(G403)</f>
        <v>30502.6</v>
      </c>
    </row>
    <row r="403" spans="1:7" ht="15">
      <c r="A403" s="136" t="s">
        <v>344</v>
      </c>
      <c r="B403" s="137"/>
      <c r="C403" s="138" t="s">
        <v>203</v>
      </c>
      <c r="D403" s="138" t="s">
        <v>398</v>
      </c>
      <c r="E403" s="138" t="s">
        <v>345</v>
      </c>
      <c r="F403" s="185"/>
      <c r="G403" s="118">
        <f>SUM(G405)</f>
        <v>30502.6</v>
      </c>
    </row>
    <row r="404" spans="1:7" ht="15">
      <c r="A404" s="136" t="s">
        <v>346</v>
      </c>
      <c r="B404" s="137"/>
      <c r="C404" s="138" t="s">
        <v>203</v>
      </c>
      <c r="D404" s="138" t="s">
        <v>398</v>
      </c>
      <c r="E404" s="138" t="s">
        <v>347</v>
      </c>
      <c r="F404" s="185"/>
      <c r="G404" s="118">
        <f>SUM(G405)</f>
        <v>30502.6</v>
      </c>
    </row>
    <row r="405" spans="1:7" ht="15">
      <c r="A405" s="136" t="s">
        <v>441</v>
      </c>
      <c r="B405" s="137"/>
      <c r="C405" s="138" t="s">
        <v>203</v>
      </c>
      <c r="D405" s="138" t="s">
        <v>398</v>
      </c>
      <c r="E405" s="138" t="s">
        <v>347</v>
      </c>
      <c r="F405" s="185" t="s">
        <v>151</v>
      </c>
      <c r="G405" s="118">
        <f>38000+9502.6-17000</f>
        <v>30502.6</v>
      </c>
    </row>
    <row r="406" spans="1:7" ht="30">
      <c r="A406" s="142" t="s">
        <v>225</v>
      </c>
      <c r="B406" s="143" t="s">
        <v>226</v>
      </c>
      <c r="C406" s="144"/>
      <c r="D406" s="144"/>
      <c r="E406" s="144"/>
      <c r="F406" s="382"/>
      <c r="G406" s="371">
        <f>SUM(G407+G422+G450)</f>
        <v>946804.8</v>
      </c>
    </row>
    <row r="407" spans="1:7" ht="15">
      <c r="A407" s="136" t="s">
        <v>108</v>
      </c>
      <c r="B407" s="137"/>
      <c r="C407" s="167" t="s">
        <v>109</v>
      </c>
      <c r="D407" s="138"/>
      <c r="E407" s="138"/>
      <c r="F407" s="183"/>
      <c r="G407" s="118">
        <f>SUM(G415)+G409</f>
        <v>24516</v>
      </c>
    </row>
    <row r="408" spans="1:7" ht="15">
      <c r="A408" s="109" t="s">
        <v>110</v>
      </c>
      <c r="B408" s="168"/>
      <c r="C408" s="167" t="s">
        <v>109</v>
      </c>
      <c r="D408" s="167" t="s">
        <v>111</v>
      </c>
      <c r="E408" s="167"/>
      <c r="F408" s="187"/>
      <c r="G408" s="123">
        <f>G409</f>
        <v>8567.7</v>
      </c>
    </row>
    <row r="409" spans="1:7" ht="15">
      <c r="A409" s="109" t="s">
        <v>472</v>
      </c>
      <c r="B409" s="168"/>
      <c r="C409" s="167" t="s">
        <v>109</v>
      </c>
      <c r="D409" s="167" t="s">
        <v>111</v>
      </c>
      <c r="E409" s="167" t="s">
        <v>473</v>
      </c>
      <c r="F409" s="187"/>
      <c r="G409" s="123">
        <f>G410</f>
        <v>8567.7</v>
      </c>
    </row>
    <row r="410" spans="1:7" ht="15">
      <c r="A410" s="109" t="s">
        <v>474</v>
      </c>
      <c r="B410" s="168"/>
      <c r="C410" s="167" t="s">
        <v>109</v>
      </c>
      <c r="D410" s="167" t="s">
        <v>111</v>
      </c>
      <c r="E410" s="167" t="s">
        <v>475</v>
      </c>
      <c r="F410" s="187"/>
      <c r="G410" s="123">
        <f>G411+G413</f>
        <v>8567.7</v>
      </c>
    </row>
    <row r="411" spans="1:7" ht="15">
      <c r="A411" s="109" t="s">
        <v>6</v>
      </c>
      <c r="B411" s="168"/>
      <c r="C411" s="167" t="s">
        <v>109</v>
      </c>
      <c r="D411" s="167" t="s">
        <v>111</v>
      </c>
      <c r="E411" s="167" t="s">
        <v>476</v>
      </c>
      <c r="F411" s="187"/>
      <c r="G411" s="123">
        <f>SUM(G412)</f>
        <v>4378.6</v>
      </c>
    </row>
    <row r="412" spans="1:7" ht="15">
      <c r="A412" s="109" t="s">
        <v>434</v>
      </c>
      <c r="B412" s="168"/>
      <c r="C412" s="167" t="s">
        <v>109</v>
      </c>
      <c r="D412" s="167" t="s">
        <v>111</v>
      </c>
      <c r="E412" s="167" t="s">
        <v>476</v>
      </c>
      <c r="F412" s="187" t="s">
        <v>152</v>
      </c>
      <c r="G412" s="123">
        <v>4378.6</v>
      </c>
    </row>
    <row r="413" spans="1:7" ht="57">
      <c r="A413" s="294" t="s">
        <v>1107</v>
      </c>
      <c r="B413" s="168"/>
      <c r="C413" s="355" t="s">
        <v>109</v>
      </c>
      <c r="D413" s="217" t="s">
        <v>111</v>
      </c>
      <c r="E413" s="217" t="s">
        <v>1108</v>
      </c>
      <c r="F413" s="219"/>
      <c r="G413" s="367">
        <f>SUM(G414)</f>
        <v>4189.1</v>
      </c>
    </row>
    <row r="414" spans="1:7" ht="15">
      <c r="A414" s="294" t="s">
        <v>434</v>
      </c>
      <c r="B414" s="168"/>
      <c r="C414" s="355" t="s">
        <v>109</v>
      </c>
      <c r="D414" s="217" t="s">
        <v>111</v>
      </c>
      <c r="E414" s="217" t="s">
        <v>1108</v>
      </c>
      <c r="F414" s="219" t="s">
        <v>152</v>
      </c>
      <c r="G414" s="367">
        <v>4189.1</v>
      </c>
    </row>
    <row r="415" spans="1:7" ht="15">
      <c r="A415" s="109" t="s">
        <v>359</v>
      </c>
      <c r="B415" s="168"/>
      <c r="C415" s="167" t="s">
        <v>109</v>
      </c>
      <c r="D415" s="167" t="s">
        <v>349</v>
      </c>
      <c r="E415" s="138"/>
      <c r="F415" s="184"/>
      <c r="G415" s="118">
        <f>SUM(G416)</f>
        <v>15948.3</v>
      </c>
    </row>
    <row r="416" spans="1:7" ht="15">
      <c r="A416" s="109" t="s">
        <v>361</v>
      </c>
      <c r="B416" s="137"/>
      <c r="C416" s="167" t="s">
        <v>109</v>
      </c>
      <c r="D416" s="167" t="s">
        <v>349</v>
      </c>
      <c r="E416" s="141" t="s">
        <v>362</v>
      </c>
      <c r="F416" s="184"/>
      <c r="G416" s="118">
        <f>SUM(G419)+G417</f>
        <v>15948.3</v>
      </c>
    </row>
    <row r="417" spans="1:7" ht="42.75">
      <c r="A417" s="198" t="s">
        <v>1089</v>
      </c>
      <c r="B417" s="388"/>
      <c r="C417" s="349" t="s">
        <v>109</v>
      </c>
      <c r="D417" s="349" t="s">
        <v>349</v>
      </c>
      <c r="E417" s="350" t="s">
        <v>1090</v>
      </c>
      <c r="F417" s="375"/>
      <c r="G417" s="525">
        <f>G418</f>
        <v>8400</v>
      </c>
    </row>
    <row r="418" spans="1:7" ht="28.5">
      <c r="A418" s="198" t="s">
        <v>510</v>
      </c>
      <c r="B418" s="388"/>
      <c r="C418" s="349" t="s">
        <v>109</v>
      </c>
      <c r="D418" s="349" t="s">
        <v>349</v>
      </c>
      <c r="E418" s="350" t="s">
        <v>1090</v>
      </c>
      <c r="F418" s="375">
        <v>600</v>
      </c>
      <c r="G418" s="525">
        <v>8400</v>
      </c>
    </row>
    <row r="419" spans="1:7" ht="15">
      <c r="A419" s="109" t="s">
        <v>13</v>
      </c>
      <c r="B419" s="168"/>
      <c r="C419" s="167" t="s">
        <v>109</v>
      </c>
      <c r="D419" s="167" t="s">
        <v>349</v>
      </c>
      <c r="E419" s="167" t="s">
        <v>529</v>
      </c>
      <c r="F419" s="187"/>
      <c r="G419" s="123">
        <f>SUM(G420)</f>
        <v>7548.3</v>
      </c>
    </row>
    <row r="420" spans="1:7" ht="28.5">
      <c r="A420" s="109" t="s">
        <v>175</v>
      </c>
      <c r="B420" s="168"/>
      <c r="C420" s="167" t="s">
        <v>109</v>
      </c>
      <c r="D420" s="167" t="s">
        <v>349</v>
      </c>
      <c r="E420" s="167" t="s">
        <v>530</v>
      </c>
      <c r="F420" s="187"/>
      <c r="G420" s="123">
        <f>G421</f>
        <v>7548.3</v>
      </c>
    </row>
    <row r="421" spans="1:7" ht="28.5">
      <c r="A421" s="109" t="s">
        <v>454</v>
      </c>
      <c r="B421" s="168"/>
      <c r="C421" s="167" t="s">
        <v>109</v>
      </c>
      <c r="D421" s="167" t="s">
        <v>349</v>
      </c>
      <c r="E421" s="167" t="s">
        <v>530</v>
      </c>
      <c r="F421" s="187" t="s">
        <v>445</v>
      </c>
      <c r="G421" s="123">
        <v>7548.3</v>
      </c>
    </row>
    <row r="422" spans="1:7" ht="15">
      <c r="A422" s="136" t="s">
        <v>103</v>
      </c>
      <c r="B422" s="137"/>
      <c r="C422" s="138" t="s">
        <v>104</v>
      </c>
      <c r="D422" s="138"/>
      <c r="E422" s="138"/>
      <c r="F422" s="183"/>
      <c r="G422" s="118">
        <f>SUM(G423+G443)</f>
        <v>63080.100000000006</v>
      </c>
    </row>
    <row r="423" spans="1:7" ht="18" customHeight="1">
      <c r="A423" s="136" t="s">
        <v>289</v>
      </c>
      <c r="B423" s="137"/>
      <c r="C423" s="141" t="s">
        <v>104</v>
      </c>
      <c r="D423" s="141" t="s">
        <v>400</v>
      </c>
      <c r="E423" s="138"/>
      <c r="F423" s="183"/>
      <c r="G423" s="118">
        <f>SUM(G424+G427+G430+G440)</f>
        <v>62978.8</v>
      </c>
    </row>
    <row r="424" spans="1:7" ht="15" customHeight="1" hidden="1">
      <c r="A424" s="136" t="s">
        <v>290</v>
      </c>
      <c r="B424" s="143"/>
      <c r="C424" s="141" t="s">
        <v>104</v>
      </c>
      <c r="D424" s="141" t="s">
        <v>400</v>
      </c>
      <c r="E424" s="141" t="s">
        <v>291</v>
      </c>
      <c r="F424" s="184"/>
      <c r="G424" s="118">
        <f>SUM(G425)</f>
        <v>0</v>
      </c>
    </row>
    <row r="425" spans="1:7" ht="28.5" customHeight="1" hidden="1">
      <c r="A425" s="136" t="s">
        <v>50</v>
      </c>
      <c r="B425" s="143"/>
      <c r="C425" s="141" t="s">
        <v>104</v>
      </c>
      <c r="D425" s="141" t="s">
        <v>400</v>
      </c>
      <c r="E425" s="141" t="s">
        <v>292</v>
      </c>
      <c r="F425" s="184"/>
      <c r="G425" s="118">
        <f>SUM(G426)</f>
        <v>0</v>
      </c>
    </row>
    <row r="426" spans="1:7" ht="15" customHeight="1" hidden="1">
      <c r="A426" s="85" t="s">
        <v>51</v>
      </c>
      <c r="B426" s="156"/>
      <c r="C426" s="141" t="s">
        <v>104</v>
      </c>
      <c r="D426" s="141" t="s">
        <v>400</v>
      </c>
      <c r="E426" s="141" t="s">
        <v>292</v>
      </c>
      <c r="F426" s="185" t="s">
        <v>212</v>
      </c>
      <c r="G426" s="118"/>
    </row>
    <row r="427" spans="1:7" ht="15" customHeight="1" hidden="1">
      <c r="A427" s="136" t="s">
        <v>275</v>
      </c>
      <c r="B427" s="137"/>
      <c r="C427" s="141" t="s">
        <v>104</v>
      </c>
      <c r="D427" s="141" t="s">
        <v>400</v>
      </c>
      <c r="E427" s="141" t="s">
        <v>276</v>
      </c>
      <c r="F427" s="184"/>
      <c r="G427" s="118">
        <f>SUM(G428)</f>
        <v>0</v>
      </c>
    </row>
    <row r="428" spans="1:7" ht="28.5" customHeight="1" hidden="1">
      <c r="A428" s="136" t="s">
        <v>50</v>
      </c>
      <c r="B428" s="143"/>
      <c r="C428" s="141" t="s">
        <v>104</v>
      </c>
      <c r="D428" s="141" t="s">
        <v>400</v>
      </c>
      <c r="E428" s="141" t="s">
        <v>277</v>
      </c>
      <c r="F428" s="184"/>
      <c r="G428" s="118">
        <f>SUM(G429)</f>
        <v>0</v>
      </c>
    </row>
    <row r="429" spans="1:7" ht="15" customHeight="1" hidden="1">
      <c r="A429" s="85" t="s">
        <v>51</v>
      </c>
      <c r="B429" s="156"/>
      <c r="C429" s="141" t="s">
        <v>104</v>
      </c>
      <c r="D429" s="141" t="s">
        <v>400</v>
      </c>
      <c r="E429" s="141" t="s">
        <v>277</v>
      </c>
      <c r="F429" s="185" t="s">
        <v>212</v>
      </c>
      <c r="G429" s="118"/>
    </row>
    <row r="430" spans="1:7" ht="32.25" customHeight="1">
      <c r="A430" s="136" t="s">
        <v>573</v>
      </c>
      <c r="B430" s="137"/>
      <c r="C430" s="141" t="s">
        <v>104</v>
      </c>
      <c r="D430" s="141" t="s">
        <v>400</v>
      </c>
      <c r="E430" s="141" t="s">
        <v>574</v>
      </c>
      <c r="F430" s="183"/>
      <c r="G430" s="118">
        <f>SUM(G431)</f>
        <v>62978.8</v>
      </c>
    </row>
    <row r="431" spans="1:7" ht="28.5">
      <c r="A431" s="136" t="s">
        <v>50</v>
      </c>
      <c r="B431" s="137"/>
      <c r="C431" s="141" t="s">
        <v>104</v>
      </c>
      <c r="D431" s="141" t="s">
        <v>400</v>
      </c>
      <c r="E431" s="141" t="s">
        <v>575</v>
      </c>
      <c r="F431" s="183"/>
      <c r="G431" s="118">
        <f>SUM(G435+G433+G432)</f>
        <v>62978.8</v>
      </c>
    </row>
    <row r="432" spans="1:7" ht="15" customHeight="1" hidden="1">
      <c r="A432" s="85" t="s">
        <v>51</v>
      </c>
      <c r="B432" s="137"/>
      <c r="C432" s="141" t="s">
        <v>104</v>
      </c>
      <c r="D432" s="141" t="s">
        <v>400</v>
      </c>
      <c r="E432" s="138" t="s">
        <v>278</v>
      </c>
      <c r="F432" s="184" t="s">
        <v>212</v>
      </c>
      <c r="G432" s="118"/>
    </row>
    <row r="433" spans="1:7" ht="42.75" customHeight="1" hidden="1">
      <c r="A433" s="85" t="s">
        <v>56</v>
      </c>
      <c r="B433" s="156"/>
      <c r="C433" s="141" t="s">
        <v>104</v>
      </c>
      <c r="D433" s="141" t="s">
        <v>400</v>
      </c>
      <c r="E433" s="141" t="s">
        <v>279</v>
      </c>
      <c r="F433" s="185"/>
      <c r="G433" s="118">
        <f>SUM(G434)</f>
        <v>0</v>
      </c>
    </row>
    <row r="434" spans="1:7" ht="15" customHeight="1" hidden="1">
      <c r="A434" s="85" t="s">
        <v>51</v>
      </c>
      <c r="B434" s="156"/>
      <c r="C434" s="141" t="s">
        <v>104</v>
      </c>
      <c r="D434" s="141" t="s">
        <v>400</v>
      </c>
      <c r="E434" s="141" t="s">
        <v>279</v>
      </c>
      <c r="F434" s="185" t="s">
        <v>212</v>
      </c>
      <c r="G434" s="118"/>
    </row>
    <row r="435" spans="1:7" ht="57">
      <c r="A435" s="136" t="s">
        <v>405</v>
      </c>
      <c r="B435" s="137"/>
      <c r="C435" s="141" t="s">
        <v>104</v>
      </c>
      <c r="D435" s="141" t="s">
        <v>400</v>
      </c>
      <c r="E435" s="141" t="s">
        <v>576</v>
      </c>
      <c r="F435" s="183"/>
      <c r="G435" s="118">
        <f>SUM(G436:G439)</f>
        <v>62978.8</v>
      </c>
    </row>
    <row r="436" spans="1:7" ht="28.5">
      <c r="A436" s="136" t="s">
        <v>428</v>
      </c>
      <c r="B436" s="137"/>
      <c r="C436" s="141" t="s">
        <v>104</v>
      </c>
      <c r="D436" s="141" t="s">
        <v>400</v>
      </c>
      <c r="E436" s="141" t="s">
        <v>576</v>
      </c>
      <c r="F436" s="183" t="s">
        <v>429</v>
      </c>
      <c r="G436" s="118">
        <v>44147.6</v>
      </c>
    </row>
    <row r="437" spans="1:7" ht="35.25" customHeight="1">
      <c r="A437" s="136" t="s">
        <v>675</v>
      </c>
      <c r="B437" s="137"/>
      <c r="C437" s="141" t="s">
        <v>104</v>
      </c>
      <c r="D437" s="141" t="s">
        <v>400</v>
      </c>
      <c r="E437" s="141" t="s">
        <v>576</v>
      </c>
      <c r="F437" s="183" t="s">
        <v>107</v>
      </c>
      <c r="G437" s="118">
        <v>18147</v>
      </c>
    </row>
    <row r="438" spans="1:7" ht="21" customHeight="1">
      <c r="A438" s="136" t="s">
        <v>438</v>
      </c>
      <c r="B438" s="137"/>
      <c r="C438" s="141" t="s">
        <v>104</v>
      </c>
      <c r="D438" s="141" t="s">
        <v>400</v>
      </c>
      <c r="E438" s="141" t="s">
        <v>576</v>
      </c>
      <c r="F438" s="183" t="s">
        <v>439</v>
      </c>
      <c r="G438" s="118">
        <v>37.3</v>
      </c>
    </row>
    <row r="439" spans="1:7" ht="19.5" customHeight="1">
      <c r="A439" s="136" t="s">
        <v>434</v>
      </c>
      <c r="B439" s="137"/>
      <c r="C439" s="141" t="s">
        <v>104</v>
      </c>
      <c r="D439" s="141" t="s">
        <v>400</v>
      </c>
      <c r="E439" s="141" t="s">
        <v>576</v>
      </c>
      <c r="F439" s="183" t="s">
        <v>152</v>
      </c>
      <c r="G439" s="118">
        <v>646.9</v>
      </c>
    </row>
    <row r="440" spans="1:7" ht="15" customHeight="1" hidden="1">
      <c r="A440" s="136" t="s">
        <v>282</v>
      </c>
      <c r="B440" s="145"/>
      <c r="C440" s="141" t="s">
        <v>104</v>
      </c>
      <c r="D440" s="141" t="s">
        <v>400</v>
      </c>
      <c r="E440" s="141" t="s">
        <v>283</v>
      </c>
      <c r="F440" s="184"/>
      <c r="G440" s="118">
        <f>SUM(G441)</f>
        <v>0</v>
      </c>
    </row>
    <row r="441" spans="1:7" ht="28.5" customHeight="1" hidden="1">
      <c r="A441" s="136" t="s">
        <v>50</v>
      </c>
      <c r="B441" s="143"/>
      <c r="C441" s="141" t="s">
        <v>104</v>
      </c>
      <c r="D441" s="141" t="s">
        <v>400</v>
      </c>
      <c r="E441" s="141" t="s">
        <v>284</v>
      </c>
      <c r="F441" s="184"/>
      <c r="G441" s="118">
        <f>SUM(G442)</f>
        <v>0</v>
      </c>
    </row>
    <row r="442" spans="1:7" ht="15" customHeight="1" hidden="1">
      <c r="A442" s="85" t="s">
        <v>51</v>
      </c>
      <c r="B442" s="137"/>
      <c r="C442" s="141" t="s">
        <v>104</v>
      </c>
      <c r="D442" s="141" t="s">
        <v>400</v>
      </c>
      <c r="E442" s="141" t="s">
        <v>284</v>
      </c>
      <c r="F442" s="183" t="s">
        <v>212</v>
      </c>
      <c r="G442" s="118"/>
    </row>
    <row r="443" spans="1:7" ht="18" customHeight="1">
      <c r="A443" s="136" t="s">
        <v>105</v>
      </c>
      <c r="B443" s="137"/>
      <c r="C443" s="138" t="s">
        <v>104</v>
      </c>
      <c r="D443" s="138" t="s">
        <v>104</v>
      </c>
      <c r="E443" s="141"/>
      <c r="F443" s="183"/>
      <c r="G443" s="118">
        <f>SUM(G444+G447)</f>
        <v>101.3</v>
      </c>
    </row>
    <row r="444" spans="1:7" ht="15" customHeight="1" hidden="1">
      <c r="A444" s="109" t="s">
        <v>193</v>
      </c>
      <c r="B444" s="145"/>
      <c r="C444" s="141" t="s">
        <v>104</v>
      </c>
      <c r="D444" s="141" t="s">
        <v>104</v>
      </c>
      <c r="E444" s="141" t="s">
        <v>194</v>
      </c>
      <c r="F444" s="184"/>
      <c r="G444" s="118">
        <f>SUM(G445)</f>
        <v>0</v>
      </c>
    </row>
    <row r="445" spans="1:7" s="80" customFormat="1" ht="28.5" customHeight="1" hidden="1">
      <c r="A445" s="136" t="s">
        <v>50</v>
      </c>
      <c r="B445" s="145"/>
      <c r="C445" s="141" t="s">
        <v>104</v>
      </c>
      <c r="D445" s="141" t="s">
        <v>104</v>
      </c>
      <c r="E445" s="141" t="s">
        <v>197</v>
      </c>
      <c r="F445" s="184"/>
      <c r="G445" s="118">
        <f>SUM(G446)</f>
        <v>0</v>
      </c>
    </row>
    <row r="446" spans="1:7" s="80" customFormat="1" ht="15" customHeight="1" hidden="1">
      <c r="A446" s="85" t="s">
        <v>51</v>
      </c>
      <c r="B446" s="145"/>
      <c r="C446" s="141" t="s">
        <v>104</v>
      </c>
      <c r="D446" s="141" t="s">
        <v>104</v>
      </c>
      <c r="E446" s="141" t="s">
        <v>197</v>
      </c>
      <c r="F446" s="184" t="s">
        <v>212</v>
      </c>
      <c r="G446" s="118"/>
    </row>
    <row r="447" spans="1:7" s="80" customFormat="1" ht="21.75" customHeight="1">
      <c r="A447" s="84" t="s">
        <v>512</v>
      </c>
      <c r="B447" s="389"/>
      <c r="C447" s="351" t="s">
        <v>104</v>
      </c>
      <c r="D447" s="351" t="s">
        <v>104</v>
      </c>
      <c r="E447" s="351" t="s">
        <v>116</v>
      </c>
      <c r="F447" s="390"/>
      <c r="G447" s="180">
        <f>G448</f>
        <v>101.3</v>
      </c>
    </row>
    <row r="448" spans="1:7" s="80" customFormat="1" ht="28.5">
      <c r="A448" s="84" t="s">
        <v>1092</v>
      </c>
      <c r="B448" s="389"/>
      <c r="C448" s="351" t="s">
        <v>104</v>
      </c>
      <c r="D448" s="351" t="s">
        <v>104</v>
      </c>
      <c r="E448" s="351" t="s">
        <v>86</v>
      </c>
      <c r="F448" s="390"/>
      <c r="G448" s="180">
        <f>G449</f>
        <v>101.3</v>
      </c>
    </row>
    <row r="449" spans="1:7" ht="28.5">
      <c r="A449" s="378" t="s">
        <v>675</v>
      </c>
      <c r="B449" s="389"/>
      <c r="C449" s="351" t="s">
        <v>104</v>
      </c>
      <c r="D449" s="351" t="s">
        <v>104</v>
      </c>
      <c r="E449" s="351" t="s">
        <v>86</v>
      </c>
      <c r="F449" s="390" t="s">
        <v>107</v>
      </c>
      <c r="G449" s="180">
        <v>101.3</v>
      </c>
    </row>
    <row r="450" spans="1:7" ht="18.75" customHeight="1">
      <c r="A450" s="136" t="s">
        <v>159</v>
      </c>
      <c r="B450" s="137"/>
      <c r="C450" s="138" t="s">
        <v>5</v>
      </c>
      <c r="D450" s="138"/>
      <c r="E450" s="138"/>
      <c r="F450" s="183"/>
      <c r="G450" s="118">
        <f>SUM(G451+G455+G469+G556+G571)</f>
        <v>859208.7000000001</v>
      </c>
    </row>
    <row r="451" spans="1:7" ht="15">
      <c r="A451" s="136" t="s">
        <v>161</v>
      </c>
      <c r="B451" s="137"/>
      <c r="C451" s="138" t="s">
        <v>5</v>
      </c>
      <c r="D451" s="138" t="s">
        <v>398</v>
      </c>
      <c r="E451" s="138"/>
      <c r="F451" s="183"/>
      <c r="G451" s="118">
        <f>SUM(G452)</f>
        <v>4735.1</v>
      </c>
    </row>
    <row r="452" spans="1:7" ht="15">
      <c r="A452" s="136" t="s">
        <v>162</v>
      </c>
      <c r="B452" s="137"/>
      <c r="C452" s="138" t="s">
        <v>5</v>
      </c>
      <c r="D452" s="138" t="s">
        <v>398</v>
      </c>
      <c r="E452" s="138" t="s">
        <v>163</v>
      </c>
      <c r="F452" s="183"/>
      <c r="G452" s="118">
        <f>SUM(G453)</f>
        <v>4735.1</v>
      </c>
    </row>
    <row r="453" spans="1:7" ht="28.5">
      <c r="A453" s="136" t="s">
        <v>164</v>
      </c>
      <c r="B453" s="137"/>
      <c r="C453" s="138" t="s">
        <v>5</v>
      </c>
      <c r="D453" s="138" t="s">
        <v>398</v>
      </c>
      <c r="E453" s="138" t="s">
        <v>165</v>
      </c>
      <c r="F453" s="183"/>
      <c r="G453" s="118">
        <f>SUM(G454)</f>
        <v>4735.1</v>
      </c>
    </row>
    <row r="454" spans="1:7" ht="15">
      <c r="A454" s="136" t="s">
        <v>438</v>
      </c>
      <c r="B454" s="137"/>
      <c r="C454" s="138" t="s">
        <v>5</v>
      </c>
      <c r="D454" s="138" t="s">
        <v>398</v>
      </c>
      <c r="E454" s="138" t="s">
        <v>165</v>
      </c>
      <c r="F454" s="183" t="s">
        <v>439</v>
      </c>
      <c r="G454" s="118">
        <v>4735.1</v>
      </c>
    </row>
    <row r="455" spans="1:7" ht="15">
      <c r="A455" s="136" t="s">
        <v>166</v>
      </c>
      <c r="B455" s="137"/>
      <c r="C455" s="141" t="s">
        <v>5</v>
      </c>
      <c r="D455" s="141" t="s">
        <v>400</v>
      </c>
      <c r="E455" s="138"/>
      <c r="F455" s="183"/>
      <c r="G455" s="118">
        <f>SUM(G456+G461)</f>
        <v>53878.5</v>
      </c>
    </row>
    <row r="456" spans="1:7" ht="15" customHeight="1" hidden="1">
      <c r="A456" s="158" t="s">
        <v>68</v>
      </c>
      <c r="B456" s="137"/>
      <c r="C456" s="141" t="s">
        <v>5</v>
      </c>
      <c r="D456" s="141" t="s">
        <v>400</v>
      </c>
      <c r="E456" s="141" t="s">
        <v>69</v>
      </c>
      <c r="F456" s="184"/>
      <c r="G456" s="118"/>
    </row>
    <row r="457" spans="1:7" ht="28.5" customHeight="1" hidden="1">
      <c r="A457" s="158" t="s">
        <v>15</v>
      </c>
      <c r="B457" s="137"/>
      <c r="C457" s="141" t="s">
        <v>5</v>
      </c>
      <c r="D457" s="141" t="s">
        <v>400</v>
      </c>
      <c r="E457" s="141" t="s">
        <v>16</v>
      </c>
      <c r="F457" s="184"/>
      <c r="G457" s="118">
        <f>SUM(G458+G459)</f>
        <v>0</v>
      </c>
    </row>
    <row r="458" spans="1:7" ht="15" customHeight="1" hidden="1">
      <c r="A458" s="109" t="s">
        <v>211</v>
      </c>
      <c r="B458" s="137"/>
      <c r="C458" s="141" t="s">
        <v>5</v>
      </c>
      <c r="D458" s="141" t="s">
        <v>400</v>
      </c>
      <c r="E458" s="141" t="s">
        <v>16</v>
      </c>
      <c r="F458" s="184" t="s">
        <v>212</v>
      </c>
      <c r="G458" s="118"/>
    </row>
    <row r="459" spans="1:7" ht="28.5" customHeight="1" hidden="1">
      <c r="A459" s="158" t="s">
        <v>17</v>
      </c>
      <c r="B459" s="137"/>
      <c r="C459" s="141" t="s">
        <v>5</v>
      </c>
      <c r="D459" s="141" t="s">
        <v>400</v>
      </c>
      <c r="E459" s="141" t="s">
        <v>18</v>
      </c>
      <c r="F459" s="184"/>
      <c r="G459" s="118">
        <f>SUM(G460)</f>
        <v>0</v>
      </c>
    </row>
    <row r="460" spans="1:7" ht="15" customHeight="1" hidden="1">
      <c r="A460" s="109" t="s">
        <v>211</v>
      </c>
      <c r="B460" s="137"/>
      <c r="C460" s="141" t="s">
        <v>5</v>
      </c>
      <c r="D460" s="141" t="s">
        <v>400</v>
      </c>
      <c r="E460" s="141" t="s">
        <v>18</v>
      </c>
      <c r="F460" s="184" t="s">
        <v>212</v>
      </c>
      <c r="G460" s="118"/>
    </row>
    <row r="461" spans="1:7" ht="15">
      <c r="A461" s="158" t="s">
        <v>68</v>
      </c>
      <c r="B461" s="137"/>
      <c r="C461" s="141" t="s">
        <v>5</v>
      </c>
      <c r="D461" s="141" t="s">
        <v>400</v>
      </c>
      <c r="E461" s="141" t="s">
        <v>19</v>
      </c>
      <c r="F461" s="184"/>
      <c r="G461" s="118">
        <f>SUM(G462+G465)</f>
        <v>53878.5</v>
      </c>
    </row>
    <row r="462" spans="1:7" ht="28.5">
      <c r="A462" s="109" t="s">
        <v>50</v>
      </c>
      <c r="B462" s="137"/>
      <c r="C462" s="141" t="s">
        <v>5</v>
      </c>
      <c r="D462" s="141" t="s">
        <v>400</v>
      </c>
      <c r="E462" s="141" t="s">
        <v>20</v>
      </c>
      <c r="F462" s="184"/>
      <c r="G462" s="118">
        <f>SUM(G463:G464)</f>
        <v>2225.1000000000004</v>
      </c>
    </row>
    <row r="463" spans="1:7" ht="28.5">
      <c r="A463" s="136" t="s">
        <v>428</v>
      </c>
      <c r="B463" s="137"/>
      <c r="C463" s="141" t="s">
        <v>5</v>
      </c>
      <c r="D463" s="141" t="s">
        <v>400</v>
      </c>
      <c r="E463" s="141" t="s">
        <v>20</v>
      </c>
      <c r="F463" s="183" t="s">
        <v>429</v>
      </c>
      <c r="G463" s="118">
        <v>1074.2</v>
      </c>
    </row>
    <row r="464" spans="1:7" ht="28.5">
      <c r="A464" s="136" t="s">
        <v>675</v>
      </c>
      <c r="B464" s="137"/>
      <c r="C464" s="141" t="s">
        <v>5</v>
      </c>
      <c r="D464" s="141" t="s">
        <v>400</v>
      </c>
      <c r="E464" s="141" t="s">
        <v>20</v>
      </c>
      <c r="F464" s="183" t="s">
        <v>107</v>
      </c>
      <c r="G464" s="118">
        <v>1150.9</v>
      </c>
    </row>
    <row r="465" spans="1:7" ht="28.5">
      <c r="A465" s="109" t="s">
        <v>21</v>
      </c>
      <c r="B465" s="137"/>
      <c r="C465" s="141" t="s">
        <v>5</v>
      </c>
      <c r="D465" s="141" t="s">
        <v>400</v>
      </c>
      <c r="E465" s="141" t="s">
        <v>22</v>
      </c>
      <c r="F465" s="184"/>
      <c r="G465" s="118">
        <f>SUM(G466:G468)</f>
        <v>51653.4</v>
      </c>
    </row>
    <row r="466" spans="1:7" ht="28.5">
      <c r="A466" s="136" t="s">
        <v>428</v>
      </c>
      <c r="B466" s="137"/>
      <c r="C466" s="141" t="s">
        <v>5</v>
      </c>
      <c r="D466" s="141" t="s">
        <v>400</v>
      </c>
      <c r="E466" s="141" t="s">
        <v>22</v>
      </c>
      <c r="F466" s="183" t="s">
        <v>429</v>
      </c>
      <c r="G466" s="118">
        <v>42556.3</v>
      </c>
    </row>
    <row r="467" spans="1:7" ht="28.5">
      <c r="A467" s="136" t="s">
        <v>675</v>
      </c>
      <c r="B467" s="137"/>
      <c r="C467" s="141" t="s">
        <v>5</v>
      </c>
      <c r="D467" s="141" t="s">
        <v>400</v>
      </c>
      <c r="E467" s="141" t="s">
        <v>22</v>
      </c>
      <c r="F467" s="183" t="s">
        <v>107</v>
      </c>
      <c r="G467" s="118">
        <v>8791.1</v>
      </c>
    </row>
    <row r="468" spans="1:7" ht="15">
      <c r="A468" s="136" t="s">
        <v>434</v>
      </c>
      <c r="B468" s="137"/>
      <c r="C468" s="141" t="s">
        <v>5</v>
      </c>
      <c r="D468" s="141" t="s">
        <v>400</v>
      </c>
      <c r="E468" s="141" t="s">
        <v>22</v>
      </c>
      <c r="F468" s="183" t="s">
        <v>152</v>
      </c>
      <c r="G468" s="118">
        <v>306</v>
      </c>
    </row>
    <row r="469" spans="1:7" ht="15">
      <c r="A469" s="136" t="s">
        <v>23</v>
      </c>
      <c r="B469" s="137"/>
      <c r="C469" s="138" t="s">
        <v>5</v>
      </c>
      <c r="D469" s="138" t="s">
        <v>95</v>
      </c>
      <c r="E469" s="138"/>
      <c r="F469" s="183"/>
      <c r="G469" s="118">
        <f>SUM(G473+G509+G553)+G513+G536</f>
        <v>721652.1000000001</v>
      </c>
    </row>
    <row r="470" spans="1:7" s="78" customFormat="1" ht="15.75" customHeight="1" hidden="1">
      <c r="A470" s="136" t="s">
        <v>348</v>
      </c>
      <c r="B470" s="137"/>
      <c r="C470" s="138" t="s">
        <v>5</v>
      </c>
      <c r="D470" s="138" t="s">
        <v>95</v>
      </c>
      <c r="E470" s="138" t="s">
        <v>350</v>
      </c>
      <c r="F470" s="183"/>
      <c r="G470" s="118">
        <f>SUM(G472)</f>
        <v>0</v>
      </c>
    </row>
    <row r="471" spans="1:7" s="78" customFormat="1" ht="15.75" customHeight="1" hidden="1">
      <c r="A471" s="136" t="s">
        <v>330</v>
      </c>
      <c r="B471" s="137"/>
      <c r="C471" s="138" t="s">
        <v>5</v>
      </c>
      <c r="D471" s="138" t="s">
        <v>95</v>
      </c>
      <c r="E471" s="138" t="s">
        <v>331</v>
      </c>
      <c r="F471" s="183"/>
      <c r="G471" s="118">
        <f>SUM(G472)</f>
        <v>0</v>
      </c>
    </row>
    <row r="472" spans="1:7" s="78" customFormat="1" ht="15.75" customHeight="1" hidden="1">
      <c r="A472" s="136" t="s">
        <v>255</v>
      </c>
      <c r="B472" s="145"/>
      <c r="C472" s="138" t="s">
        <v>5</v>
      </c>
      <c r="D472" s="138" t="s">
        <v>95</v>
      </c>
      <c r="E472" s="138" t="s">
        <v>331</v>
      </c>
      <c r="F472" s="184" t="s">
        <v>256</v>
      </c>
      <c r="G472" s="118"/>
    </row>
    <row r="473" spans="1:7" s="78" customFormat="1" ht="15.75">
      <c r="A473" s="136" t="s">
        <v>24</v>
      </c>
      <c r="B473" s="137"/>
      <c r="C473" s="138" t="s">
        <v>5</v>
      </c>
      <c r="D473" s="138" t="s">
        <v>95</v>
      </c>
      <c r="E473" s="138" t="s">
        <v>25</v>
      </c>
      <c r="F473" s="183"/>
      <c r="G473" s="118">
        <f>SUM(G474+G483+G486+G489+G492+G495)+G477+G480</f>
        <v>246045.99999999997</v>
      </c>
    </row>
    <row r="474" spans="1:7" ht="28.5">
      <c r="A474" s="136" t="s">
        <v>247</v>
      </c>
      <c r="B474" s="137"/>
      <c r="C474" s="141" t="s">
        <v>5</v>
      </c>
      <c r="D474" s="141" t="s">
        <v>95</v>
      </c>
      <c r="E474" s="141" t="s">
        <v>248</v>
      </c>
      <c r="F474" s="184"/>
      <c r="G474" s="118">
        <f>SUM(G475:G476)</f>
        <v>137842.7</v>
      </c>
    </row>
    <row r="475" spans="1:7" ht="28.5">
      <c r="A475" s="136" t="s">
        <v>675</v>
      </c>
      <c r="B475" s="137"/>
      <c r="C475" s="141" t="s">
        <v>5</v>
      </c>
      <c r="D475" s="141" t="s">
        <v>95</v>
      </c>
      <c r="E475" s="141" t="s">
        <v>248</v>
      </c>
      <c r="F475" s="184" t="s">
        <v>107</v>
      </c>
      <c r="G475" s="118">
        <v>2498.2</v>
      </c>
    </row>
    <row r="476" spans="1:7" ht="15">
      <c r="A476" s="136" t="s">
        <v>438</v>
      </c>
      <c r="B476" s="137"/>
      <c r="C476" s="141" t="s">
        <v>5</v>
      </c>
      <c r="D476" s="141" t="s">
        <v>95</v>
      </c>
      <c r="E476" s="141" t="s">
        <v>248</v>
      </c>
      <c r="F476" s="184" t="s">
        <v>439</v>
      </c>
      <c r="G476" s="118">
        <v>135344.5</v>
      </c>
    </row>
    <row r="477" spans="1:7" ht="42.75">
      <c r="A477" s="196" t="s">
        <v>578</v>
      </c>
      <c r="B477" s="190"/>
      <c r="C477" s="175" t="s">
        <v>5</v>
      </c>
      <c r="D477" s="175" t="s">
        <v>95</v>
      </c>
      <c r="E477" s="175" t="s">
        <v>579</v>
      </c>
      <c r="F477" s="191"/>
      <c r="G477" s="180">
        <f>G478+G479</f>
        <v>2057.4</v>
      </c>
    </row>
    <row r="478" spans="1:7" ht="28.5">
      <c r="A478" s="136" t="s">
        <v>675</v>
      </c>
      <c r="B478" s="190"/>
      <c r="C478" s="175" t="s">
        <v>5</v>
      </c>
      <c r="D478" s="175" t="s">
        <v>95</v>
      </c>
      <c r="E478" s="175" t="s">
        <v>579</v>
      </c>
      <c r="F478" s="191" t="s">
        <v>107</v>
      </c>
      <c r="G478" s="180">
        <v>30.3</v>
      </c>
    </row>
    <row r="479" spans="1:7" ht="15">
      <c r="A479" s="196" t="s">
        <v>438</v>
      </c>
      <c r="B479" s="190"/>
      <c r="C479" s="175" t="s">
        <v>5</v>
      </c>
      <c r="D479" s="175" t="s">
        <v>95</v>
      </c>
      <c r="E479" s="175" t="s">
        <v>579</v>
      </c>
      <c r="F479" s="191" t="s">
        <v>439</v>
      </c>
      <c r="G479" s="180">
        <v>2027.1</v>
      </c>
    </row>
    <row r="480" spans="1:7" ht="42.75">
      <c r="A480" s="196" t="s">
        <v>580</v>
      </c>
      <c r="B480" s="190"/>
      <c r="C480" s="175" t="s">
        <v>5</v>
      </c>
      <c r="D480" s="175" t="s">
        <v>95</v>
      </c>
      <c r="E480" s="175" t="s">
        <v>581</v>
      </c>
      <c r="F480" s="191"/>
      <c r="G480" s="180">
        <f>G481+G482</f>
        <v>12384.5</v>
      </c>
    </row>
    <row r="481" spans="1:7" ht="28.5">
      <c r="A481" s="136" t="s">
        <v>675</v>
      </c>
      <c r="B481" s="190"/>
      <c r="C481" s="175" t="s">
        <v>5</v>
      </c>
      <c r="D481" s="175" t="s">
        <v>95</v>
      </c>
      <c r="E481" s="175" t="s">
        <v>581</v>
      </c>
      <c r="F481" s="191" t="s">
        <v>107</v>
      </c>
      <c r="G481" s="180">
        <v>183.2</v>
      </c>
    </row>
    <row r="482" spans="1:7" ht="15">
      <c r="A482" s="196" t="s">
        <v>438</v>
      </c>
      <c r="B482" s="190"/>
      <c r="C482" s="175" t="s">
        <v>5</v>
      </c>
      <c r="D482" s="175" t="s">
        <v>95</v>
      </c>
      <c r="E482" s="175" t="s">
        <v>581</v>
      </c>
      <c r="F482" s="191" t="s">
        <v>439</v>
      </c>
      <c r="G482" s="180">
        <v>12201.3</v>
      </c>
    </row>
    <row r="483" spans="1:7" ht="15">
      <c r="A483" s="136" t="s">
        <v>246</v>
      </c>
      <c r="B483" s="137"/>
      <c r="C483" s="141" t="s">
        <v>5</v>
      </c>
      <c r="D483" s="141" t="s">
        <v>95</v>
      </c>
      <c r="E483" s="141" t="s">
        <v>499</v>
      </c>
      <c r="F483" s="184"/>
      <c r="G483" s="118">
        <f>SUM(G484:G485)</f>
        <v>82366.8</v>
      </c>
    </row>
    <row r="484" spans="1:7" ht="28.5">
      <c r="A484" s="136" t="s">
        <v>675</v>
      </c>
      <c r="B484" s="137"/>
      <c r="C484" s="141" t="s">
        <v>5</v>
      </c>
      <c r="D484" s="141" t="s">
        <v>95</v>
      </c>
      <c r="E484" s="141" t="s">
        <v>499</v>
      </c>
      <c r="F484" s="184" t="s">
        <v>107</v>
      </c>
      <c r="G484" s="118">
        <v>976.6</v>
      </c>
    </row>
    <row r="485" spans="1:7" ht="15">
      <c r="A485" s="136" t="s">
        <v>438</v>
      </c>
      <c r="B485" s="145"/>
      <c r="C485" s="141" t="s">
        <v>5</v>
      </c>
      <c r="D485" s="141" t="s">
        <v>95</v>
      </c>
      <c r="E485" s="141" t="s">
        <v>499</v>
      </c>
      <c r="F485" s="184" t="s">
        <v>439</v>
      </c>
      <c r="G485" s="118">
        <v>81390.2</v>
      </c>
    </row>
    <row r="486" spans="1:7" ht="42.75">
      <c r="A486" s="111" t="s">
        <v>245</v>
      </c>
      <c r="B486" s="137"/>
      <c r="C486" s="141" t="s">
        <v>5</v>
      </c>
      <c r="D486" s="141" t="s">
        <v>95</v>
      </c>
      <c r="E486" s="141" t="s">
        <v>500</v>
      </c>
      <c r="F486" s="184"/>
      <c r="G486" s="118">
        <f>SUM(G487:G488)</f>
        <v>50</v>
      </c>
    </row>
    <row r="487" spans="1:7" ht="28.5">
      <c r="A487" s="136" t="s">
        <v>675</v>
      </c>
      <c r="B487" s="137"/>
      <c r="C487" s="141" t="s">
        <v>5</v>
      </c>
      <c r="D487" s="141" t="s">
        <v>95</v>
      </c>
      <c r="E487" s="141" t="s">
        <v>500</v>
      </c>
      <c r="F487" s="184" t="s">
        <v>107</v>
      </c>
      <c r="G487" s="118">
        <v>0.8</v>
      </c>
    </row>
    <row r="488" spans="1:7" ht="13.5" customHeight="1">
      <c r="A488" s="136" t="s">
        <v>438</v>
      </c>
      <c r="B488" s="137"/>
      <c r="C488" s="141" t="s">
        <v>5</v>
      </c>
      <c r="D488" s="141" t="s">
        <v>95</v>
      </c>
      <c r="E488" s="141" t="s">
        <v>500</v>
      </c>
      <c r="F488" s="184" t="s">
        <v>439</v>
      </c>
      <c r="G488" s="118">
        <v>49.2</v>
      </c>
    </row>
    <row r="489" spans="1:7" ht="59.25" customHeight="1" hidden="1">
      <c r="A489" s="85" t="s">
        <v>502</v>
      </c>
      <c r="B489" s="170"/>
      <c r="C489" s="171" t="s">
        <v>5</v>
      </c>
      <c r="D489" s="171" t="s">
        <v>95</v>
      </c>
      <c r="E489" s="171" t="s">
        <v>501</v>
      </c>
      <c r="F489" s="188"/>
      <c r="G489" s="126">
        <f>SUM(G490:G491)</f>
        <v>0</v>
      </c>
    </row>
    <row r="490" spans="1:7" ht="21" customHeight="1" hidden="1">
      <c r="A490" s="136" t="s">
        <v>433</v>
      </c>
      <c r="B490" s="137"/>
      <c r="C490" s="141" t="s">
        <v>5</v>
      </c>
      <c r="D490" s="141" t="s">
        <v>95</v>
      </c>
      <c r="E490" s="171" t="s">
        <v>501</v>
      </c>
      <c r="F490" s="184" t="s">
        <v>107</v>
      </c>
      <c r="G490" s="126"/>
    </row>
    <row r="491" spans="1:7" ht="15" customHeight="1" hidden="1">
      <c r="A491" s="85" t="s">
        <v>438</v>
      </c>
      <c r="B491" s="170"/>
      <c r="C491" s="171" t="s">
        <v>5</v>
      </c>
      <c r="D491" s="171" t="s">
        <v>95</v>
      </c>
      <c r="E491" s="171" t="s">
        <v>501</v>
      </c>
      <c r="F491" s="188" t="s">
        <v>439</v>
      </c>
      <c r="G491" s="126"/>
    </row>
    <row r="492" spans="1:7" ht="15">
      <c r="A492" s="85" t="s">
        <v>190</v>
      </c>
      <c r="B492" s="170"/>
      <c r="C492" s="171" t="s">
        <v>5</v>
      </c>
      <c r="D492" s="171" t="s">
        <v>95</v>
      </c>
      <c r="E492" s="171" t="s">
        <v>503</v>
      </c>
      <c r="F492" s="188"/>
      <c r="G492" s="126">
        <f>G493+G494</f>
        <v>5362.3</v>
      </c>
    </row>
    <row r="493" spans="1:7" ht="28.5">
      <c r="A493" s="136" t="s">
        <v>675</v>
      </c>
      <c r="B493" s="170"/>
      <c r="C493" s="171" t="s">
        <v>5</v>
      </c>
      <c r="D493" s="171" t="s">
        <v>95</v>
      </c>
      <c r="E493" s="171" t="s">
        <v>503</v>
      </c>
      <c r="F493" s="188" t="s">
        <v>107</v>
      </c>
      <c r="G493" s="126">
        <v>3300.9</v>
      </c>
    </row>
    <row r="494" spans="1:7" ht="15">
      <c r="A494" s="85" t="s">
        <v>438</v>
      </c>
      <c r="B494" s="170"/>
      <c r="C494" s="171" t="s">
        <v>5</v>
      </c>
      <c r="D494" s="171" t="s">
        <v>95</v>
      </c>
      <c r="E494" s="171" t="s">
        <v>503</v>
      </c>
      <c r="F494" s="188" t="s">
        <v>439</v>
      </c>
      <c r="G494" s="126">
        <v>2061.4</v>
      </c>
    </row>
    <row r="495" spans="1:7" ht="15">
      <c r="A495" s="85" t="s">
        <v>250</v>
      </c>
      <c r="B495" s="170"/>
      <c r="C495" s="171" t="s">
        <v>5</v>
      </c>
      <c r="D495" s="171" t="s">
        <v>95</v>
      </c>
      <c r="E495" s="171" t="s">
        <v>504</v>
      </c>
      <c r="F495" s="188"/>
      <c r="G495" s="126">
        <f>SUM(G496+G499+G502)</f>
        <v>5982.3</v>
      </c>
    </row>
    <row r="496" spans="1:7" ht="42.75">
      <c r="A496" s="85" t="s">
        <v>413</v>
      </c>
      <c r="B496" s="170"/>
      <c r="C496" s="171" t="s">
        <v>5</v>
      </c>
      <c r="D496" s="171" t="s">
        <v>95</v>
      </c>
      <c r="E496" s="171" t="s">
        <v>507</v>
      </c>
      <c r="F496" s="188"/>
      <c r="G496" s="126">
        <f>SUM(G497:G498)</f>
        <v>3877.3</v>
      </c>
    </row>
    <row r="497" spans="1:7" ht="28.5">
      <c r="A497" s="136" t="s">
        <v>675</v>
      </c>
      <c r="B497" s="170"/>
      <c r="C497" s="171" t="s">
        <v>5</v>
      </c>
      <c r="D497" s="171" t="s">
        <v>95</v>
      </c>
      <c r="E497" s="171" t="s">
        <v>507</v>
      </c>
      <c r="F497" s="188" t="s">
        <v>107</v>
      </c>
      <c r="G497" s="126">
        <v>136.8</v>
      </c>
    </row>
    <row r="498" spans="1:7" ht="14.25" customHeight="1">
      <c r="A498" s="85" t="s">
        <v>438</v>
      </c>
      <c r="B498" s="170"/>
      <c r="C498" s="171" t="s">
        <v>5</v>
      </c>
      <c r="D498" s="171" t="s">
        <v>95</v>
      </c>
      <c r="E498" s="171" t="s">
        <v>507</v>
      </c>
      <c r="F498" s="188" t="s">
        <v>439</v>
      </c>
      <c r="G498" s="126">
        <v>3740.5</v>
      </c>
    </row>
    <row r="499" spans="1:7" ht="28.5" customHeight="1" hidden="1">
      <c r="A499" s="85" t="s">
        <v>414</v>
      </c>
      <c r="B499" s="170"/>
      <c r="C499" s="171" t="s">
        <v>5</v>
      </c>
      <c r="D499" s="171" t="s">
        <v>95</v>
      </c>
      <c r="E499" s="171" t="s">
        <v>508</v>
      </c>
      <c r="F499" s="188"/>
      <c r="G499" s="126">
        <f>SUM(G500:G501)</f>
        <v>0</v>
      </c>
    </row>
    <row r="500" spans="1:7" ht="15" customHeight="1" hidden="1">
      <c r="A500" s="136" t="s">
        <v>433</v>
      </c>
      <c r="B500" s="170"/>
      <c r="C500" s="171" t="s">
        <v>5</v>
      </c>
      <c r="D500" s="171" t="s">
        <v>95</v>
      </c>
      <c r="E500" s="171" t="s">
        <v>508</v>
      </c>
      <c r="F500" s="188" t="s">
        <v>107</v>
      </c>
      <c r="G500" s="126"/>
    </row>
    <row r="501" spans="1:7" ht="15" customHeight="1" hidden="1">
      <c r="A501" s="85" t="s">
        <v>438</v>
      </c>
      <c r="B501" s="170"/>
      <c r="C501" s="171" t="s">
        <v>5</v>
      </c>
      <c r="D501" s="171" t="s">
        <v>95</v>
      </c>
      <c r="E501" s="171" t="s">
        <v>508</v>
      </c>
      <c r="F501" s="188" t="s">
        <v>439</v>
      </c>
      <c r="G501" s="126"/>
    </row>
    <row r="502" spans="1:7" ht="42.75">
      <c r="A502" s="86" t="s">
        <v>415</v>
      </c>
      <c r="B502" s="170"/>
      <c r="C502" s="171" t="s">
        <v>5</v>
      </c>
      <c r="D502" s="171" t="s">
        <v>95</v>
      </c>
      <c r="E502" s="171" t="s">
        <v>509</v>
      </c>
      <c r="F502" s="188"/>
      <c r="G502" s="126">
        <f>SUM(G503:G505)</f>
        <v>2105</v>
      </c>
    </row>
    <row r="503" spans="1:7" ht="28.5">
      <c r="A503" s="136" t="s">
        <v>675</v>
      </c>
      <c r="B503" s="170"/>
      <c r="C503" s="171" t="s">
        <v>5</v>
      </c>
      <c r="D503" s="171" t="s">
        <v>95</v>
      </c>
      <c r="E503" s="171" t="s">
        <v>509</v>
      </c>
      <c r="F503" s="188" t="s">
        <v>107</v>
      </c>
      <c r="G503" s="126">
        <v>38.4</v>
      </c>
    </row>
    <row r="504" spans="1:7" ht="14.25" customHeight="1">
      <c r="A504" s="85" t="s">
        <v>438</v>
      </c>
      <c r="B504" s="170"/>
      <c r="C504" s="171" t="s">
        <v>5</v>
      </c>
      <c r="D504" s="171" t="s">
        <v>95</v>
      </c>
      <c r="E504" s="171" t="s">
        <v>509</v>
      </c>
      <c r="F504" s="188" t="s">
        <v>439</v>
      </c>
      <c r="G504" s="126">
        <v>2066.6</v>
      </c>
    </row>
    <row r="505" spans="1:7" ht="28.5" customHeight="1" hidden="1">
      <c r="A505" s="85" t="s">
        <v>510</v>
      </c>
      <c r="B505" s="170"/>
      <c r="C505" s="171" t="s">
        <v>5</v>
      </c>
      <c r="D505" s="171" t="s">
        <v>95</v>
      </c>
      <c r="E505" s="171" t="s">
        <v>509</v>
      </c>
      <c r="F505" s="188" t="s">
        <v>445</v>
      </c>
      <c r="G505" s="126"/>
    </row>
    <row r="506" spans="1:7" s="66" customFormat="1" ht="42.75" customHeight="1" hidden="1">
      <c r="A506" s="85" t="s">
        <v>416</v>
      </c>
      <c r="B506" s="170"/>
      <c r="C506" s="171" t="s">
        <v>5</v>
      </c>
      <c r="D506" s="171" t="s">
        <v>95</v>
      </c>
      <c r="E506" s="171" t="s">
        <v>511</v>
      </c>
      <c r="F506" s="188"/>
      <c r="G506" s="126">
        <f>SUM(G507:G508)</f>
        <v>0</v>
      </c>
    </row>
    <row r="507" spans="1:7" s="66" customFormat="1" ht="15" customHeight="1" hidden="1">
      <c r="A507" s="136" t="s">
        <v>433</v>
      </c>
      <c r="B507" s="170"/>
      <c r="C507" s="171" t="s">
        <v>5</v>
      </c>
      <c r="D507" s="171" t="s">
        <v>95</v>
      </c>
      <c r="E507" s="171" t="s">
        <v>511</v>
      </c>
      <c r="F507" s="188" t="s">
        <v>107</v>
      </c>
      <c r="G507" s="126"/>
    </row>
    <row r="508" spans="1:7" s="66" customFormat="1" ht="15" customHeight="1" hidden="1">
      <c r="A508" s="85" t="s">
        <v>438</v>
      </c>
      <c r="B508" s="170"/>
      <c r="C508" s="171" t="s">
        <v>5</v>
      </c>
      <c r="D508" s="171" t="s">
        <v>95</v>
      </c>
      <c r="E508" s="171" t="s">
        <v>511</v>
      </c>
      <c r="F508" s="188" t="s">
        <v>439</v>
      </c>
      <c r="G508" s="126"/>
    </row>
    <row r="509" spans="1:7" ht="15">
      <c r="A509" s="85" t="s">
        <v>155</v>
      </c>
      <c r="B509" s="170"/>
      <c r="C509" s="171" t="s">
        <v>5</v>
      </c>
      <c r="D509" s="171" t="s">
        <v>95</v>
      </c>
      <c r="E509" s="171" t="s">
        <v>156</v>
      </c>
      <c r="F509" s="188"/>
      <c r="G509" s="126">
        <f>SUM(G510)</f>
        <v>911.9</v>
      </c>
    </row>
    <row r="510" spans="1:7" ht="15">
      <c r="A510" s="85" t="s">
        <v>157</v>
      </c>
      <c r="B510" s="170"/>
      <c r="C510" s="171" t="s">
        <v>5</v>
      </c>
      <c r="D510" s="171" t="s">
        <v>95</v>
      </c>
      <c r="E510" s="171" t="s">
        <v>158</v>
      </c>
      <c r="F510" s="188"/>
      <c r="G510" s="126">
        <f>SUM(G511:G512)</f>
        <v>911.9</v>
      </c>
    </row>
    <row r="511" spans="1:7" ht="28.5">
      <c r="A511" s="136" t="s">
        <v>675</v>
      </c>
      <c r="B511" s="170"/>
      <c r="C511" s="171" t="s">
        <v>5</v>
      </c>
      <c r="D511" s="171" t="s">
        <v>95</v>
      </c>
      <c r="E511" s="171" t="s">
        <v>158</v>
      </c>
      <c r="F511" s="188" t="s">
        <v>107</v>
      </c>
      <c r="G511" s="126">
        <v>585.9</v>
      </c>
    </row>
    <row r="512" spans="1:7" ht="15">
      <c r="A512" s="85" t="s">
        <v>438</v>
      </c>
      <c r="B512" s="170"/>
      <c r="C512" s="171" t="s">
        <v>5</v>
      </c>
      <c r="D512" s="171" t="s">
        <v>95</v>
      </c>
      <c r="E512" s="171" t="s">
        <v>158</v>
      </c>
      <c r="F512" s="188" t="s">
        <v>439</v>
      </c>
      <c r="G512" s="126">
        <v>326</v>
      </c>
    </row>
    <row r="513" spans="1:7" ht="42.75">
      <c r="A513" s="196" t="s">
        <v>582</v>
      </c>
      <c r="B513" s="190"/>
      <c r="C513" s="175" t="s">
        <v>5</v>
      </c>
      <c r="D513" s="175" t="s">
        <v>95</v>
      </c>
      <c r="E513" s="175" t="s">
        <v>583</v>
      </c>
      <c r="F513" s="191"/>
      <c r="G513" s="180">
        <f>G514</f>
        <v>333117.9</v>
      </c>
    </row>
    <row r="514" spans="1:7" ht="99.75">
      <c r="A514" s="196" t="s">
        <v>584</v>
      </c>
      <c r="B514" s="190"/>
      <c r="C514" s="175" t="s">
        <v>5</v>
      </c>
      <c r="D514" s="175" t="s">
        <v>95</v>
      </c>
      <c r="E514" s="175" t="s">
        <v>585</v>
      </c>
      <c r="F514" s="191"/>
      <c r="G514" s="180">
        <f>G515+G518+G521+G524+G527+G530+G533</f>
        <v>333117.9</v>
      </c>
    </row>
    <row r="515" spans="1:7" ht="57">
      <c r="A515" s="197" t="s">
        <v>408</v>
      </c>
      <c r="B515" s="190"/>
      <c r="C515" s="175" t="s">
        <v>5</v>
      </c>
      <c r="D515" s="175" t="s">
        <v>95</v>
      </c>
      <c r="E515" s="175" t="s">
        <v>586</v>
      </c>
      <c r="F515" s="191"/>
      <c r="G515" s="180">
        <f>G516+G517</f>
        <v>109903.2</v>
      </c>
    </row>
    <row r="516" spans="1:7" ht="28.5">
      <c r="A516" s="136" t="s">
        <v>675</v>
      </c>
      <c r="B516" s="190"/>
      <c r="C516" s="175" t="s">
        <v>5</v>
      </c>
      <c r="D516" s="175" t="s">
        <v>95</v>
      </c>
      <c r="E516" s="175" t="s">
        <v>586</v>
      </c>
      <c r="F516" s="191" t="s">
        <v>107</v>
      </c>
      <c r="G516" s="180">
        <v>1707.2</v>
      </c>
    </row>
    <row r="517" spans="1:7" ht="15">
      <c r="A517" s="196" t="s">
        <v>438</v>
      </c>
      <c r="B517" s="190"/>
      <c r="C517" s="175" t="s">
        <v>5</v>
      </c>
      <c r="D517" s="175" t="s">
        <v>95</v>
      </c>
      <c r="E517" s="175" t="s">
        <v>586</v>
      </c>
      <c r="F517" s="191" t="s">
        <v>439</v>
      </c>
      <c r="G517" s="180">
        <v>108196</v>
      </c>
    </row>
    <row r="518" spans="1:7" ht="71.25">
      <c r="A518" s="197" t="s">
        <v>505</v>
      </c>
      <c r="B518" s="190"/>
      <c r="C518" s="175" t="s">
        <v>5</v>
      </c>
      <c r="D518" s="175" t="s">
        <v>95</v>
      </c>
      <c r="E518" s="175" t="s">
        <v>587</v>
      </c>
      <c r="F518" s="191"/>
      <c r="G518" s="180">
        <f>G519+G520</f>
        <v>98885.6</v>
      </c>
    </row>
    <row r="519" spans="1:7" ht="28.5">
      <c r="A519" s="136" t="s">
        <v>675</v>
      </c>
      <c r="B519" s="190"/>
      <c r="C519" s="175" t="s">
        <v>5</v>
      </c>
      <c r="D519" s="175" t="s">
        <v>95</v>
      </c>
      <c r="E519" s="175" t="s">
        <v>587</v>
      </c>
      <c r="F519" s="191" t="s">
        <v>107</v>
      </c>
      <c r="G519" s="180">
        <v>4379.3</v>
      </c>
    </row>
    <row r="520" spans="1:7" ht="15">
      <c r="A520" s="196" t="s">
        <v>438</v>
      </c>
      <c r="B520" s="190"/>
      <c r="C520" s="175" t="s">
        <v>5</v>
      </c>
      <c r="D520" s="175" t="s">
        <v>95</v>
      </c>
      <c r="E520" s="175" t="s">
        <v>587</v>
      </c>
      <c r="F520" s="191" t="s">
        <v>439</v>
      </c>
      <c r="G520" s="180">
        <v>94506.3</v>
      </c>
    </row>
    <row r="521" spans="1:7" ht="71.25">
      <c r="A521" s="86" t="s">
        <v>409</v>
      </c>
      <c r="B521" s="190"/>
      <c r="C521" s="175" t="s">
        <v>5</v>
      </c>
      <c r="D521" s="175" t="s">
        <v>95</v>
      </c>
      <c r="E521" s="175" t="s">
        <v>588</v>
      </c>
      <c r="F521" s="191"/>
      <c r="G521" s="180">
        <f>SUM(G522)+G523</f>
        <v>5169.4</v>
      </c>
    </row>
    <row r="522" spans="1:7" ht="28.5">
      <c r="A522" s="136" t="s">
        <v>675</v>
      </c>
      <c r="B522" s="190"/>
      <c r="C522" s="175" t="s">
        <v>5</v>
      </c>
      <c r="D522" s="175" t="s">
        <v>95</v>
      </c>
      <c r="E522" s="175" t="s">
        <v>588</v>
      </c>
      <c r="F522" s="191" t="s">
        <v>107</v>
      </c>
      <c r="G522" s="180">
        <v>88.2</v>
      </c>
    </row>
    <row r="523" spans="1:7" ht="15">
      <c r="A523" s="196" t="s">
        <v>438</v>
      </c>
      <c r="B523" s="190"/>
      <c r="C523" s="175" t="s">
        <v>5</v>
      </c>
      <c r="D523" s="175" t="s">
        <v>95</v>
      </c>
      <c r="E523" s="175" t="s">
        <v>588</v>
      </c>
      <c r="F523" s="191" t="s">
        <v>439</v>
      </c>
      <c r="G523" s="180">
        <v>5081.2</v>
      </c>
    </row>
    <row r="524" spans="1:7" ht="85.5">
      <c r="A524" s="86" t="s">
        <v>410</v>
      </c>
      <c r="B524" s="190"/>
      <c r="C524" s="175" t="s">
        <v>5</v>
      </c>
      <c r="D524" s="175" t="s">
        <v>95</v>
      </c>
      <c r="E524" s="175" t="s">
        <v>589</v>
      </c>
      <c r="F524" s="191"/>
      <c r="G524" s="180">
        <f>G525+G526</f>
        <v>4801.2</v>
      </c>
    </row>
    <row r="525" spans="1:7" ht="28.5">
      <c r="A525" s="136" t="s">
        <v>675</v>
      </c>
      <c r="B525" s="190"/>
      <c r="C525" s="175" t="s">
        <v>5</v>
      </c>
      <c r="D525" s="175" t="s">
        <v>95</v>
      </c>
      <c r="E525" s="175" t="s">
        <v>589</v>
      </c>
      <c r="F525" s="191" t="s">
        <v>107</v>
      </c>
      <c r="G525" s="180">
        <v>215.7</v>
      </c>
    </row>
    <row r="526" spans="1:7" ht="15">
      <c r="A526" s="196" t="s">
        <v>438</v>
      </c>
      <c r="B526" s="190"/>
      <c r="C526" s="175" t="s">
        <v>5</v>
      </c>
      <c r="D526" s="175" t="s">
        <v>95</v>
      </c>
      <c r="E526" s="175" t="s">
        <v>589</v>
      </c>
      <c r="F526" s="191" t="s">
        <v>439</v>
      </c>
      <c r="G526" s="180">
        <v>4585.5</v>
      </c>
    </row>
    <row r="527" spans="1:7" ht="42.75">
      <c r="A527" s="196" t="s">
        <v>411</v>
      </c>
      <c r="B527" s="190"/>
      <c r="C527" s="175" t="s">
        <v>5</v>
      </c>
      <c r="D527" s="175" t="s">
        <v>95</v>
      </c>
      <c r="E527" s="175" t="s">
        <v>590</v>
      </c>
      <c r="F527" s="191"/>
      <c r="G527" s="180">
        <f>SUM(G529)+G528</f>
        <v>113453.1</v>
      </c>
    </row>
    <row r="528" spans="1:7" ht="28.5">
      <c r="A528" s="136" t="s">
        <v>675</v>
      </c>
      <c r="B528" s="190"/>
      <c r="C528" s="175" t="s">
        <v>5</v>
      </c>
      <c r="D528" s="175" t="s">
        <v>95</v>
      </c>
      <c r="E528" s="175" t="s">
        <v>590</v>
      </c>
      <c r="F528" s="191" t="s">
        <v>107</v>
      </c>
      <c r="G528" s="180">
        <v>1732.1</v>
      </c>
    </row>
    <row r="529" spans="1:7" ht="15">
      <c r="A529" s="196" t="s">
        <v>438</v>
      </c>
      <c r="B529" s="190"/>
      <c r="C529" s="175" t="s">
        <v>5</v>
      </c>
      <c r="D529" s="175" t="s">
        <v>95</v>
      </c>
      <c r="E529" s="175" t="s">
        <v>590</v>
      </c>
      <c r="F529" s="191" t="s">
        <v>439</v>
      </c>
      <c r="G529" s="180">
        <v>111721</v>
      </c>
    </row>
    <row r="530" spans="1:7" ht="71.25">
      <c r="A530" s="196" t="s">
        <v>412</v>
      </c>
      <c r="B530" s="190"/>
      <c r="C530" s="175" t="s">
        <v>5</v>
      </c>
      <c r="D530" s="175" t="s">
        <v>95</v>
      </c>
      <c r="E530" s="175" t="s">
        <v>591</v>
      </c>
      <c r="F530" s="191"/>
      <c r="G530" s="180">
        <f>G532+G531</f>
        <v>774.2</v>
      </c>
    </row>
    <row r="531" spans="1:7" ht="28.5">
      <c r="A531" s="136" t="s">
        <v>675</v>
      </c>
      <c r="B531" s="190"/>
      <c r="C531" s="175" t="s">
        <v>5</v>
      </c>
      <c r="D531" s="175" t="s">
        <v>95</v>
      </c>
      <c r="E531" s="175" t="s">
        <v>591</v>
      </c>
      <c r="F531" s="191" t="s">
        <v>107</v>
      </c>
      <c r="G531" s="180">
        <v>30.5</v>
      </c>
    </row>
    <row r="532" spans="1:7" ht="15">
      <c r="A532" s="196" t="s">
        <v>438</v>
      </c>
      <c r="B532" s="190"/>
      <c r="C532" s="175" t="s">
        <v>5</v>
      </c>
      <c r="D532" s="175" t="s">
        <v>95</v>
      </c>
      <c r="E532" s="175" t="s">
        <v>591</v>
      </c>
      <c r="F532" s="191" t="s">
        <v>439</v>
      </c>
      <c r="G532" s="180">
        <v>743.7</v>
      </c>
    </row>
    <row r="533" spans="1:7" ht="57" customHeight="1">
      <c r="A533" s="196" t="s">
        <v>506</v>
      </c>
      <c r="B533" s="190"/>
      <c r="C533" s="175" t="s">
        <v>5</v>
      </c>
      <c r="D533" s="175" t="s">
        <v>95</v>
      </c>
      <c r="E533" s="175" t="s">
        <v>592</v>
      </c>
      <c r="F533" s="191"/>
      <c r="G533" s="180">
        <f>SUM(G535)+G534</f>
        <v>131.20000000000002</v>
      </c>
    </row>
    <row r="534" spans="1:7" ht="28.5">
      <c r="A534" s="136" t="s">
        <v>675</v>
      </c>
      <c r="B534" s="190"/>
      <c r="C534" s="175" t="s">
        <v>5</v>
      </c>
      <c r="D534" s="175" t="s">
        <v>95</v>
      </c>
      <c r="E534" s="175" t="s">
        <v>592</v>
      </c>
      <c r="F534" s="191" t="s">
        <v>107</v>
      </c>
      <c r="G534" s="180">
        <v>1.9</v>
      </c>
    </row>
    <row r="535" spans="1:7" ht="15">
      <c r="A535" s="196" t="s">
        <v>438</v>
      </c>
      <c r="B535" s="190"/>
      <c r="C535" s="175" t="s">
        <v>5</v>
      </c>
      <c r="D535" s="175" t="s">
        <v>95</v>
      </c>
      <c r="E535" s="175" t="s">
        <v>592</v>
      </c>
      <c r="F535" s="191" t="s">
        <v>439</v>
      </c>
      <c r="G535" s="180">
        <v>129.3</v>
      </c>
    </row>
    <row r="536" spans="1:7" ht="28.5">
      <c r="A536" s="196" t="s">
        <v>593</v>
      </c>
      <c r="B536" s="190"/>
      <c r="C536" s="175" t="s">
        <v>5</v>
      </c>
      <c r="D536" s="175" t="s">
        <v>95</v>
      </c>
      <c r="E536" s="175" t="s">
        <v>574</v>
      </c>
      <c r="F536" s="191"/>
      <c r="G536" s="180">
        <f>G537+G550</f>
        <v>141267.3</v>
      </c>
    </row>
    <row r="537" spans="1:7" ht="84" customHeight="1">
      <c r="A537" s="196" t="s">
        <v>594</v>
      </c>
      <c r="B537" s="190"/>
      <c r="C537" s="175" t="s">
        <v>5</v>
      </c>
      <c r="D537" s="175" t="s">
        <v>95</v>
      </c>
      <c r="E537" s="175" t="s">
        <v>595</v>
      </c>
      <c r="F537" s="191"/>
      <c r="G537" s="180">
        <f>G538+G541+G544+G547</f>
        <v>61777</v>
      </c>
    </row>
    <row r="538" spans="1:7" ht="42.75" customHeight="1" hidden="1">
      <c r="A538" s="196" t="s">
        <v>406</v>
      </c>
      <c r="B538" s="190"/>
      <c r="C538" s="175" t="s">
        <v>5</v>
      </c>
      <c r="D538" s="175" t="s">
        <v>95</v>
      </c>
      <c r="E538" s="175" t="s">
        <v>596</v>
      </c>
      <c r="F538" s="191"/>
      <c r="G538" s="180">
        <f>G539+G540</f>
        <v>0</v>
      </c>
    </row>
    <row r="539" spans="1:7" ht="28.5" customHeight="1" hidden="1">
      <c r="A539" s="136" t="s">
        <v>675</v>
      </c>
      <c r="B539" s="190"/>
      <c r="C539" s="175" t="s">
        <v>5</v>
      </c>
      <c r="D539" s="175" t="s">
        <v>95</v>
      </c>
      <c r="E539" s="175" t="s">
        <v>596</v>
      </c>
      <c r="F539" s="191" t="s">
        <v>107</v>
      </c>
      <c r="G539" s="180"/>
    </row>
    <row r="540" spans="1:7" ht="15" customHeight="1" hidden="1">
      <c r="A540" s="196" t="s">
        <v>438</v>
      </c>
      <c r="B540" s="190"/>
      <c r="C540" s="175" t="s">
        <v>5</v>
      </c>
      <c r="D540" s="175" t="s">
        <v>95</v>
      </c>
      <c r="E540" s="175" t="s">
        <v>596</v>
      </c>
      <c r="F540" s="191" t="s">
        <v>439</v>
      </c>
      <c r="G540" s="180"/>
    </row>
    <row r="541" spans="1:7" ht="28.5">
      <c r="A541" s="86" t="s">
        <v>407</v>
      </c>
      <c r="B541" s="190"/>
      <c r="C541" s="175" t="s">
        <v>5</v>
      </c>
      <c r="D541" s="175" t="s">
        <v>95</v>
      </c>
      <c r="E541" s="175" t="s">
        <v>597</v>
      </c>
      <c r="F541" s="191"/>
      <c r="G541" s="180">
        <f>SUM(G542)+G543</f>
        <v>45564.6</v>
      </c>
    </row>
    <row r="542" spans="1:7" ht="28.5">
      <c r="A542" s="136" t="s">
        <v>675</v>
      </c>
      <c r="B542" s="190"/>
      <c r="C542" s="175" t="s">
        <v>5</v>
      </c>
      <c r="D542" s="175" t="s">
        <v>95</v>
      </c>
      <c r="E542" s="175" t="s">
        <v>597</v>
      </c>
      <c r="F542" s="191" t="s">
        <v>107</v>
      </c>
      <c r="G542" s="180">
        <v>691</v>
      </c>
    </row>
    <row r="543" spans="1:7" ht="15">
      <c r="A543" s="196" t="s">
        <v>438</v>
      </c>
      <c r="B543" s="190"/>
      <c r="C543" s="175" t="s">
        <v>5</v>
      </c>
      <c r="D543" s="175" t="s">
        <v>95</v>
      </c>
      <c r="E543" s="175" t="s">
        <v>597</v>
      </c>
      <c r="F543" s="191" t="s">
        <v>439</v>
      </c>
      <c r="G543" s="180">
        <v>44873.6</v>
      </c>
    </row>
    <row r="544" spans="1:7" ht="28.5">
      <c r="A544" s="196" t="s">
        <v>414</v>
      </c>
      <c r="B544" s="190"/>
      <c r="C544" s="175" t="s">
        <v>5</v>
      </c>
      <c r="D544" s="175" t="s">
        <v>95</v>
      </c>
      <c r="E544" s="175" t="s">
        <v>598</v>
      </c>
      <c r="F544" s="191"/>
      <c r="G544" s="180">
        <f>SUM(G546)+G545</f>
        <v>5487.2</v>
      </c>
    </row>
    <row r="545" spans="1:7" ht="28.5">
      <c r="A545" s="136" t="s">
        <v>675</v>
      </c>
      <c r="B545" s="190"/>
      <c r="C545" s="175" t="s">
        <v>5</v>
      </c>
      <c r="D545" s="175" t="s">
        <v>95</v>
      </c>
      <c r="E545" s="175" t="s">
        <v>598</v>
      </c>
      <c r="F545" s="191" t="s">
        <v>107</v>
      </c>
      <c r="G545" s="180">
        <v>79.2</v>
      </c>
    </row>
    <row r="546" spans="1:7" ht="15">
      <c r="A546" s="196" t="s">
        <v>438</v>
      </c>
      <c r="B546" s="190"/>
      <c r="C546" s="175" t="s">
        <v>5</v>
      </c>
      <c r="D546" s="175" t="s">
        <v>95</v>
      </c>
      <c r="E546" s="175" t="s">
        <v>598</v>
      </c>
      <c r="F546" s="191" t="s">
        <v>439</v>
      </c>
      <c r="G546" s="180">
        <v>5408</v>
      </c>
    </row>
    <row r="547" spans="1:7" ht="42.75">
      <c r="A547" s="196" t="s">
        <v>416</v>
      </c>
      <c r="B547" s="190"/>
      <c r="C547" s="175" t="s">
        <v>5</v>
      </c>
      <c r="D547" s="175" t="s">
        <v>95</v>
      </c>
      <c r="E547" s="175" t="s">
        <v>599</v>
      </c>
      <c r="F547" s="191"/>
      <c r="G547" s="180">
        <f>SUM(G549)+G548</f>
        <v>10725.2</v>
      </c>
    </row>
    <row r="548" spans="1:7" ht="28.5">
      <c r="A548" s="136" t="s">
        <v>675</v>
      </c>
      <c r="B548" s="190"/>
      <c r="C548" s="175" t="s">
        <v>5</v>
      </c>
      <c r="D548" s="175" t="s">
        <v>95</v>
      </c>
      <c r="E548" s="175" t="s">
        <v>599</v>
      </c>
      <c r="F548" s="191" t="s">
        <v>107</v>
      </c>
      <c r="G548" s="180">
        <v>158.5</v>
      </c>
    </row>
    <row r="549" spans="1:7" ht="15">
      <c r="A549" s="196" t="s">
        <v>438</v>
      </c>
      <c r="B549" s="190"/>
      <c r="C549" s="175" t="s">
        <v>5</v>
      </c>
      <c r="D549" s="175" t="s">
        <v>95</v>
      </c>
      <c r="E549" s="175" t="s">
        <v>599</v>
      </c>
      <c r="F549" s="191" t="s">
        <v>439</v>
      </c>
      <c r="G549" s="180">
        <v>10566.7</v>
      </c>
    </row>
    <row r="550" spans="1:7" ht="99.75">
      <c r="A550" s="85" t="s">
        <v>600</v>
      </c>
      <c r="B550" s="190"/>
      <c r="C550" s="175" t="s">
        <v>5</v>
      </c>
      <c r="D550" s="175" t="s">
        <v>95</v>
      </c>
      <c r="E550" s="175" t="s">
        <v>601</v>
      </c>
      <c r="F550" s="191"/>
      <c r="G550" s="180">
        <f>SUM(G551:G552)</f>
        <v>79490.29999999999</v>
      </c>
    </row>
    <row r="551" spans="1:7" ht="28.5">
      <c r="A551" s="136" t="s">
        <v>675</v>
      </c>
      <c r="B551" s="190"/>
      <c r="C551" s="175" t="s">
        <v>5</v>
      </c>
      <c r="D551" s="175" t="s">
        <v>95</v>
      </c>
      <c r="E551" s="175" t="s">
        <v>601</v>
      </c>
      <c r="F551" s="191" t="s">
        <v>107</v>
      </c>
      <c r="G551" s="180">
        <v>12.9</v>
      </c>
    </row>
    <row r="552" spans="1:7" ht="15">
      <c r="A552" s="196" t="s">
        <v>438</v>
      </c>
      <c r="B552" s="190"/>
      <c r="C552" s="175" t="s">
        <v>5</v>
      </c>
      <c r="D552" s="175" t="s">
        <v>95</v>
      </c>
      <c r="E552" s="175" t="s">
        <v>601</v>
      </c>
      <c r="F552" s="191" t="s">
        <v>439</v>
      </c>
      <c r="G552" s="180">
        <v>79477.4</v>
      </c>
    </row>
    <row r="553" spans="1:7" ht="15">
      <c r="A553" s="85" t="s">
        <v>512</v>
      </c>
      <c r="B553" s="170"/>
      <c r="C553" s="171" t="s">
        <v>5</v>
      </c>
      <c r="D553" s="171" t="s">
        <v>95</v>
      </c>
      <c r="E553" s="171" t="s">
        <v>116</v>
      </c>
      <c r="F553" s="188"/>
      <c r="G553" s="126">
        <f>G554</f>
        <v>309</v>
      </c>
    </row>
    <row r="554" spans="1:7" ht="15">
      <c r="A554" s="85" t="s">
        <v>602</v>
      </c>
      <c r="B554" s="170"/>
      <c r="C554" s="171" t="s">
        <v>5</v>
      </c>
      <c r="D554" s="171" t="s">
        <v>95</v>
      </c>
      <c r="E554" s="171" t="s">
        <v>514</v>
      </c>
      <c r="F554" s="188"/>
      <c r="G554" s="126">
        <f>G555</f>
        <v>309</v>
      </c>
    </row>
    <row r="555" spans="1:7" ht="28.5">
      <c r="A555" s="85" t="s">
        <v>447</v>
      </c>
      <c r="B555" s="170"/>
      <c r="C555" s="171" t="s">
        <v>5</v>
      </c>
      <c r="D555" s="171" t="s">
        <v>95</v>
      </c>
      <c r="E555" s="171" t="s">
        <v>514</v>
      </c>
      <c r="F555" s="188" t="s">
        <v>445</v>
      </c>
      <c r="G555" s="126">
        <v>309</v>
      </c>
    </row>
    <row r="556" spans="1:7" ht="15">
      <c r="A556" s="86" t="s">
        <v>141</v>
      </c>
      <c r="B556" s="170"/>
      <c r="C556" s="171" t="s">
        <v>5</v>
      </c>
      <c r="D556" s="171" t="s">
        <v>109</v>
      </c>
      <c r="E556" s="171"/>
      <c r="F556" s="188"/>
      <c r="G556" s="126">
        <f>SUM(G557)</f>
        <v>47951.7</v>
      </c>
    </row>
    <row r="557" spans="1:7" ht="28.5">
      <c r="A557" s="196" t="s">
        <v>573</v>
      </c>
      <c r="B557" s="190"/>
      <c r="C557" s="176" t="s">
        <v>5</v>
      </c>
      <c r="D557" s="176" t="s">
        <v>109</v>
      </c>
      <c r="E557" s="176" t="s">
        <v>574</v>
      </c>
      <c r="F557" s="391"/>
      <c r="G557" s="525">
        <f>G558</f>
        <v>47951.7</v>
      </c>
    </row>
    <row r="558" spans="1:7" ht="85.5">
      <c r="A558" s="196" t="s">
        <v>594</v>
      </c>
      <c r="B558" s="190"/>
      <c r="C558" s="176" t="s">
        <v>5</v>
      </c>
      <c r="D558" s="176" t="s">
        <v>109</v>
      </c>
      <c r="E558" s="176" t="s">
        <v>595</v>
      </c>
      <c r="F558" s="391"/>
      <c r="G558" s="525">
        <f>G562+G565+G568+G559</f>
        <v>47951.7</v>
      </c>
    </row>
    <row r="559" spans="1:7" ht="42.75">
      <c r="A559" s="196" t="s">
        <v>406</v>
      </c>
      <c r="B559" s="190"/>
      <c r="C559" s="176" t="s">
        <v>5</v>
      </c>
      <c r="D559" s="176" t="s">
        <v>109</v>
      </c>
      <c r="E559" s="175" t="s">
        <v>596</v>
      </c>
      <c r="F559" s="191"/>
      <c r="G559" s="180">
        <f>G560+G561</f>
        <v>11300.2</v>
      </c>
    </row>
    <row r="560" spans="1:7" ht="28.5">
      <c r="A560" s="136" t="s">
        <v>675</v>
      </c>
      <c r="B560" s="190"/>
      <c r="C560" s="176" t="s">
        <v>5</v>
      </c>
      <c r="D560" s="176" t="s">
        <v>109</v>
      </c>
      <c r="E560" s="175" t="s">
        <v>596</v>
      </c>
      <c r="F560" s="191" t="s">
        <v>107</v>
      </c>
      <c r="G560" s="180">
        <v>174.7</v>
      </c>
    </row>
    <row r="561" spans="1:7" ht="15">
      <c r="A561" s="196" t="s">
        <v>438</v>
      </c>
      <c r="B561" s="190"/>
      <c r="C561" s="176" t="s">
        <v>5</v>
      </c>
      <c r="D561" s="176" t="s">
        <v>109</v>
      </c>
      <c r="E561" s="175" t="s">
        <v>596</v>
      </c>
      <c r="F561" s="191" t="s">
        <v>439</v>
      </c>
      <c r="G561" s="180">
        <v>11125.5</v>
      </c>
    </row>
    <row r="562" spans="1:7" ht="15">
      <c r="A562" s="196" t="s">
        <v>142</v>
      </c>
      <c r="B562" s="190"/>
      <c r="C562" s="176" t="s">
        <v>5</v>
      </c>
      <c r="D562" s="176" t="s">
        <v>109</v>
      </c>
      <c r="E562" s="176" t="s">
        <v>603</v>
      </c>
      <c r="F562" s="391"/>
      <c r="G562" s="180">
        <f>G563+G564</f>
        <v>6566.4</v>
      </c>
    </row>
    <row r="563" spans="1:7" ht="28.5">
      <c r="A563" s="136" t="s">
        <v>675</v>
      </c>
      <c r="B563" s="190"/>
      <c r="C563" s="176" t="s">
        <v>5</v>
      </c>
      <c r="D563" s="176" t="s">
        <v>109</v>
      </c>
      <c r="E563" s="176" t="s">
        <v>603</v>
      </c>
      <c r="F563" s="391" t="s">
        <v>107</v>
      </c>
      <c r="G563" s="180">
        <v>94.7</v>
      </c>
    </row>
    <row r="564" spans="1:7" ht="15">
      <c r="A564" s="196" t="s">
        <v>438</v>
      </c>
      <c r="B564" s="190"/>
      <c r="C564" s="176" t="s">
        <v>5</v>
      </c>
      <c r="D564" s="176" t="s">
        <v>109</v>
      </c>
      <c r="E564" s="176" t="s">
        <v>603</v>
      </c>
      <c r="F564" s="391" t="s">
        <v>439</v>
      </c>
      <c r="G564" s="180">
        <v>6471.7</v>
      </c>
    </row>
    <row r="565" spans="1:7" ht="15">
      <c r="A565" s="196" t="s">
        <v>417</v>
      </c>
      <c r="B565" s="190"/>
      <c r="C565" s="176" t="s">
        <v>5</v>
      </c>
      <c r="D565" s="176" t="s">
        <v>109</v>
      </c>
      <c r="E565" s="176" t="s">
        <v>604</v>
      </c>
      <c r="F565" s="391"/>
      <c r="G565" s="180">
        <f>G566+G567</f>
        <v>6056.1</v>
      </c>
    </row>
    <row r="566" spans="1:7" ht="28.5">
      <c r="A566" s="136" t="s">
        <v>675</v>
      </c>
      <c r="B566" s="190"/>
      <c r="C566" s="176" t="s">
        <v>5</v>
      </c>
      <c r="D566" s="176" t="s">
        <v>109</v>
      </c>
      <c r="E566" s="176" t="s">
        <v>604</v>
      </c>
      <c r="F566" s="391" t="s">
        <v>107</v>
      </c>
      <c r="G566" s="180">
        <v>61.5</v>
      </c>
    </row>
    <row r="567" spans="1:7" ht="15">
      <c r="A567" s="196" t="s">
        <v>438</v>
      </c>
      <c r="B567" s="190"/>
      <c r="C567" s="176" t="s">
        <v>5</v>
      </c>
      <c r="D567" s="176" t="s">
        <v>109</v>
      </c>
      <c r="E567" s="176" t="s">
        <v>604</v>
      </c>
      <c r="F567" s="391" t="s">
        <v>439</v>
      </c>
      <c r="G567" s="525">
        <v>5994.6</v>
      </c>
    </row>
    <row r="568" spans="1:7" ht="15">
      <c r="A568" s="196" t="s">
        <v>418</v>
      </c>
      <c r="B568" s="190"/>
      <c r="C568" s="176" t="s">
        <v>5</v>
      </c>
      <c r="D568" s="176" t="s">
        <v>109</v>
      </c>
      <c r="E568" s="176" t="s">
        <v>605</v>
      </c>
      <c r="F568" s="391"/>
      <c r="G568" s="180">
        <f>SUM(G570)+G569</f>
        <v>24029</v>
      </c>
    </row>
    <row r="569" spans="1:7" ht="28.5">
      <c r="A569" s="136" t="s">
        <v>675</v>
      </c>
      <c r="B569" s="190"/>
      <c r="C569" s="176" t="s">
        <v>5</v>
      </c>
      <c r="D569" s="176" t="s">
        <v>109</v>
      </c>
      <c r="E569" s="176" t="s">
        <v>605</v>
      </c>
      <c r="F569" s="391" t="s">
        <v>107</v>
      </c>
      <c r="G569" s="180">
        <v>382.1</v>
      </c>
    </row>
    <row r="570" spans="1:7" ht="15">
      <c r="A570" s="196" t="s">
        <v>438</v>
      </c>
      <c r="B570" s="190"/>
      <c r="C570" s="176" t="s">
        <v>5</v>
      </c>
      <c r="D570" s="176" t="s">
        <v>109</v>
      </c>
      <c r="E570" s="176" t="s">
        <v>605</v>
      </c>
      <c r="F570" s="391" t="s">
        <v>439</v>
      </c>
      <c r="G570" s="180">
        <v>23646.9</v>
      </c>
    </row>
    <row r="571" spans="1:7" ht="15">
      <c r="A571" s="85" t="s">
        <v>143</v>
      </c>
      <c r="B571" s="170"/>
      <c r="C571" s="171" t="s">
        <v>5</v>
      </c>
      <c r="D571" s="171" t="s">
        <v>334</v>
      </c>
      <c r="E571" s="171"/>
      <c r="F571" s="188"/>
      <c r="G571" s="126">
        <f>G572+G585+G600+G595</f>
        <v>30991.3</v>
      </c>
    </row>
    <row r="572" spans="1:7" ht="28.5">
      <c r="A572" s="85" t="s">
        <v>88</v>
      </c>
      <c r="B572" s="170"/>
      <c r="C572" s="171" t="s">
        <v>5</v>
      </c>
      <c r="D572" s="171" t="s">
        <v>334</v>
      </c>
      <c r="E572" s="171" t="s">
        <v>89</v>
      </c>
      <c r="F572" s="188"/>
      <c r="G572" s="126">
        <f>G573+G576+G580+G582</f>
        <v>22769.4</v>
      </c>
    </row>
    <row r="573" spans="1:7" ht="15">
      <c r="A573" s="85" t="s">
        <v>96</v>
      </c>
      <c r="B573" s="170"/>
      <c r="C573" s="171" t="s">
        <v>5</v>
      </c>
      <c r="D573" s="171" t="s">
        <v>334</v>
      </c>
      <c r="E573" s="171" t="s">
        <v>98</v>
      </c>
      <c r="F573" s="188"/>
      <c r="G573" s="126">
        <f>G574+G575</f>
        <v>3963.3</v>
      </c>
    </row>
    <row r="574" spans="1:7" ht="28.5">
      <c r="A574" s="85" t="s">
        <v>515</v>
      </c>
      <c r="B574" s="170"/>
      <c r="C574" s="171" t="s">
        <v>5</v>
      </c>
      <c r="D574" s="171" t="s">
        <v>334</v>
      </c>
      <c r="E574" s="171" t="s">
        <v>98</v>
      </c>
      <c r="F574" s="188" t="s">
        <v>429</v>
      </c>
      <c r="G574" s="126">
        <v>3957.9</v>
      </c>
    </row>
    <row r="575" spans="1:7" ht="28.5">
      <c r="A575" s="136" t="s">
        <v>675</v>
      </c>
      <c r="B575" s="170"/>
      <c r="C575" s="171" t="s">
        <v>5</v>
      </c>
      <c r="D575" s="171" t="s">
        <v>334</v>
      </c>
      <c r="E575" s="171" t="s">
        <v>98</v>
      </c>
      <c r="F575" s="188" t="s">
        <v>107</v>
      </c>
      <c r="G575" s="126">
        <v>5.4</v>
      </c>
    </row>
    <row r="576" spans="1:7" ht="42.75">
      <c r="A576" s="85" t="s">
        <v>516</v>
      </c>
      <c r="B576" s="170"/>
      <c r="C576" s="171" t="s">
        <v>5</v>
      </c>
      <c r="D576" s="171" t="s">
        <v>334</v>
      </c>
      <c r="E576" s="171" t="s">
        <v>146</v>
      </c>
      <c r="F576" s="188"/>
      <c r="G576" s="126">
        <f>SUM(G577:G579)</f>
        <v>4233.2</v>
      </c>
    </row>
    <row r="577" spans="1:7" ht="28.5">
      <c r="A577" s="85" t="s">
        <v>515</v>
      </c>
      <c r="B577" s="170"/>
      <c r="C577" s="171" t="s">
        <v>5</v>
      </c>
      <c r="D577" s="171" t="s">
        <v>334</v>
      </c>
      <c r="E577" s="171" t="s">
        <v>146</v>
      </c>
      <c r="F577" s="188" t="s">
        <v>429</v>
      </c>
      <c r="G577" s="126">
        <v>3613.4</v>
      </c>
    </row>
    <row r="578" spans="1:7" s="76" customFormat="1" ht="28.5">
      <c r="A578" s="136" t="s">
        <v>675</v>
      </c>
      <c r="B578" s="177"/>
      <c r="C578" s="171" t="s">
        <v>5</v>
      </c>
      <c r="D578" s="171" t="s">
        <v>334</v>
      </c>
      <c r="E578" s="171" t="s">
        <v>146</v>
      </c>
      <c r="F578" s="188" t="s">
        <v>107</v>
      </c>
      <c r="G578" s="126">
        <v>561.6</v>
      </c>
    </row>
    <row r="579" spans="1:7" s="76" customFormat="1" ht="15">
      <c r="A579" s="136" t="s">
        <v>434</v>
      </c>
      <c r="B579" s="177"/>
      <c r="C579" s="171" t="s">
        <v>5</v>
      </c>
      <c r="D579" s="171" t="s">
        <v>334</v>
      </c>
      <c r="E579" s="171" t="s">
        <v>146</v>
      </c>
      <c r="F579" s="188" t="s">
        <v>152</v>
      </c>
      <c r="G579" s="126">
        <v>58.2</v>
      </c>
    </row>
    <row r="580" spans="1:7" s="76" customFormat="1" ht="28.5">
      <c r="A580" s="85" t="s">
        <v>144</v>
      </c>
      <c r="B580" s="170"/>
      <c r="C580" s="171" t="s">
        <v>5</v>
      </c>
      <c r="D580" s="171" t="s">
        <v>334</v>
      </c>
      <c r="E580" s="171" t="s">
        <v>145</v>
      </c>
      <c r="F580" s="188"/>
      <c r="G580" s="126">
        <f>SUM(G581)</f>
        <v>14572.9</v>
      </c>
    </row>
    <row r="581" spans="1:7" s="76" customFormat="1" ht="42" customHeight="1">
      <c r="A581" s="85" t="s">
        <v>515</v>
      </c>
      <c r="B581" s="170"/>
      <c r="C581" s="171" t="s">
        <v>5</v>
      </c>
      <c r="D581" s="171" t="s">
        <v>334</v>
      </c>
      <c r="E581" s="171" t="s">
        <v>145</v>
      </c>
      <c r="F581" s="188" t="s">
        <v>429</v>
      </c>
      <c r="G581" s="126">
        <v>14572.9</v>
      </c>
    </row>
    <row r="582" spans="1:7" ht="28.5" customHeight="1" hidden="1">
      <c r="A582" s="85" t="s">
        <v>147</v>
      </c>
      <c r="B582" s="177"/>
      <c r="C582" s="171" t="s">
        <v>5</v>
      </c>
      <c r="D582" s="171" t="s">
        <v>334</v>
      </c>
      <c r="E582" s="171" t="s">
        <v>148</v>
      </c>
      <c r="F582" s="188"/>
      <c r="G582" s="126">
        <f>G583+G584</f>
        <v>0</v>
      </c>
    </row>
    <row r="583" spans="1:7" ht="28.5" customHeight="1" hidden="1">
      <c r="A583" s="85" t="s">
        <v>515</v>
      </c>
      <c r="B583" s="170"/>
      <c r="C583" s="171" t="s">
        <v>5</v>
      </c>
      <c r="D583" s="171" t="s">
        <v>334</v>
      </c>
      <c r="E583" s="171" t="s">
        <v>148</v>
      </c>
      <c r="F583" s="188" t="s">
        <v>429</v>
      </c>
      <c r="G583" s="126"/>
    </row>
    <row r="584" spans="1:7" ht="15" customHeight="1" hidden="1">
      <c r="A584" s="85" t="s">
        <v>433</v>
      </c>
      <c r="B584" s="170"/>
      <c r="C584" s="171" t="s">
        <v>5</v>
      </c>
      <c r="D584" s="171" t="s">
        <v>334</v>
      </c>
      <c r="E584" s="171" t="s">
        <v>148</v>
      </c>
      <c r="F584" s="188" t="s">
        <v>107</v>
      </c>
      <c r="G584" s="126"/>
    </row>
    <row r="585" spans="1:7" s="76" customFormat="1" ht="28.5">
      <c r="A585" s="85" t="s">
        <v>430</v>
      </c>
      <c r="B585" s="170"/>
      <c r="C585" s="171" t="s">
        <v>5</v>
      </c>
      <c r="D585" s="171" t="s">
        <v>334</v>
      </c>
      <c r="E585" s="171" t="s">
        <v>431</v>
      </c>
      <c r="F585" s="188"/>
      <c r="G585" s="126">
        <f>G586+G589+G592</f>
        <v>2625.1</v>
      </c>
    </row>
    <row r="586" spans="1:7" ht="15">
      <c r="A586" s="85" t="s">
        <v>421</v>
      </c>
      <c r="B586" s="177"/>
      <c r="C586" s="171" t="s">
        <v>5</v>
      </c>
      <c r="D586" s="171" t="s">
        <v>334</v>
      </c>
      <c r="E586" s="171" t="s">
        <v>432</v>
      </c>
      <c r="F586" s="188"/>
      <c r="G586" s="126">
        <f>SUM(G587)+G588</f>
        <v>230.7</v>
      </c>
    </row>
    <row r="587" spans="1:7" s="66" customFormat="1" ht="28.5">
      <c r="A587" s="136" t="s">
        <v>675</v>
      </c>
      <c r="B587" s="170"/>
      <c r="C587" s="171" t="s">
        <v>5</v>
      </c>
      <c r="D587" s="171" t="s">
        <v>334</v>
      </c>
      <c r="E587" s="171" t="s">
        <v>432</v>
      </c>
      <c r="F587" s="188" t="s">
        <v>107</v>
      </c>
      <c r="G587" s="126">
        <v>230</v>
      </c>
    </row>
    <row r="588" spans="1:7" s="66" customFormat="1" ht="15">
      <c r="A588" s="136" t="s">
        <v>434</v>
      </c>
      <c r="B588" s="170"/>
      <c r="C588" s="171" t="s">
        <v>5</v>
      </c>
      <c r="D588" s="171" t="s">
        <v>334</v>
      </c>
      <c r="E588" s="171" t="s">
        <v>432</v>
      </c>
      <c r="F588" s="188" t="s">
        <v>152</v>
      </c>
      <c r="G588" s="126">
        <v>0.7</v>
      </c>
    </row>
    <row r="589" spans="1:7" s="66" customFormat="1" ht="28.5">
      <c r="A589" s="85" t="s">
        <v>422</v>
      </c>
      <c r="B589" s="177"/>
      <c r="C589" s="171" t="s">
        <v>5</v>
      </c>
      <c r="D589" s="171" t="s">
        <v>334</v>
      </c>
      <c r="E589" s="171" t="s">
        <v>435</v>
      </c>
      <c r="F589" s="188"/>
      <c r="G589" s="126">
        <f>SUM(G590)+G591</f>
        <v>1377.8999999999999</v>
      </c>
    </row>
    <row r="590" spans="1:7" s="66" customFormat="1" ht="28.5">
      <c r="A590" s="136" t="s">
        <v>675</v>
      </c>
      <c r="B590" s="170"/>
      <c r="C590" s="171" t="s">
        <v>5</v>
      </c>
      <c r="D590" s="171" t="s">
        <v>334</v>
      </c>
      <c r="E590" s="171" t="s">
        <v>435</v>
      </c>
      <c r="F590" s="188" t="s">
        <v>107</v>
      </c>
      <c r="G590" s="126">
        <v>1356.3</v>
      </c>
    </row>
    <row r="591" spans="1:7" s="66" customFormat="1" ht="15">
      <c r="A591" s="136" t="s">
        <v>434</v>
      </c>
      <c r="B591" s="170"/>
      <c r="C591" s="171" t="s">
        <v>5</v>
      </c>
      <c r="D591" s="171" t="s">
        <v>334</v>
      </c>
      <c r="E591" s="171" t="s">
        <v>435</v>
      </c>
      <c r="F591" s="188" t="s">
        <v>152</v>
      </c>
      <c r="G591" s="126">
        <v>21.6</v>
      </c>
    </row>
    <row r="592" spans="1:7" s="66" customFormat="1" ht="27" customHeight="1">
      <c r="A592" s="85" t="s">
        <v>436</v>
      </c>
      <c r="B592" s="177"/>
      <c r="C592" s="171" t="s">
        <v>5</v>
      </c>
      <c r="D592" s="171" t="s">
        <v>334</v>
      </c>
      <c r="E592" s="171" t="s">
        <v>437</v>
      </c>
      <c r="F592" s="188"/>
      <c r="G592" s="126">
        <f>G593+G594</f>
        <v>1016.5</v>
      </c>
    </row>
    <row r="593" spans="1:7" s="66" customFormat="1" ht="28.5" customHeight="1" hidden="1">
      <c r="A593" s="85" t="s">
        <v>515</v>
      </c>
      <c r="B593" s="170"/>
      <c r="C593" s="171" t="s">
        <v>5</v>
      </c>
      <c r="D593" s="171" t="s">
        <v>334</v>
      </c>
      <c r="E593" s="171" t="s">
        <v>437</v>
      </c>
      <c r="F593" s="188" t="s">
        <v>429</v>
      </c>
      <c r="G593" s="126"/>
    </row>
    <row r="594" spans="1:7" s="66" customFormat="1" ht="28.5">
      <c r="A594" s="136" t="s">
        <v>675</v>
      </c>
      <c r="B594" s="170"/>
      <c r="C594" s="171" t="s">
        <v>5</v>
      </c>
      <c r="D594" s="171" t="s">
        <v>334</v>
      </c>
      <c r="E594" s="171" t="s">
        <v>437</v>
      </c>
      <c r="F594" s="188" t="s">
        <v>107</v>
      </c>
      <c r="G594" s="126">
        <v>1016.5</v>
      </c>
    </row>
    <row r="595" spans="1:7" s="66" customFormat="1" ht="28.5">
      <c r="A595" s="196" t="s">
        <v>573</v>
      </c>
      <c r="B595" s="190"/>
      <c r="C595" s="175" t="s">
        <v>5</v>
      </c>
      <c r="D595" s="175" t="s">
        <v>334</v>
      </c>
      <c r="E595" s="175" t="s">
        <v>574</v>
      </c>
      <c r="F595" s="188"/>
      <c r="G595" s="180">
        <f>G596</f>
        <v>5521.8</v>
      </c>
    </row>
    <row r="596" spans="1:7" s="66" customFormat="1" ht="85.5">
      <c r="A596" s="196" t="s">
        <v>594</v>
      </c>
      <c r="B596" s="190"/>
      <c r="C596" s="175" t="s">
        <v>5</v>
      </c>
      <c r="D596" s="175" t="s">
        <v>334</v>
      </c>
      <c r="E596" s="175" t="s">
        <v>595</v>
      </c>
      <c r="F596" s="188"/>
      <c r="G596" s="180">
        <f>G597</f>
        <v>5521.8</v>
      </c>
    </row>
    <row r="597" spans="1:7" s="66" customFormat="1" ht="28.5">
      <c r="A597" s="198" t="s">
        <v>147</v>
      </c>
      <c r="B597" s="190"/>
      <c r="C597" s="175" t="s">
        <v>5</v>
      </c>
      <c r="D597" s="175" t="s">
        <v>334</v>
      </c>
      <c r="E597" s="175" t="s">
        <v>606</v>
      </c>
      <c r="F597" s="188"/>
      <c r="G597" s="180">
        <f>G598+G599</f>
        <v>5521.8</v>
      </c>
    </row>
    <row r="598" spans="1:7" s="66" customFormat="1" ht="28.5">
      <c r="A598" s="196" t="s">
        <v>515</v>
      </c>
      <c r="B598" s="190"/>
      <c r="C598" s="175" t="s">
        <v>5</v>
      </c>
      <c r="D598" s="175" t="s">
        <v>334</v>
      </c>
      <c r="E598" s="175" t="s">
        <v>606</v>
      </c>
      <c r="F598" s="188" t="s">
        <v>429</v>
      </c>
      <c r="G598" s="180">
        <v>4948.6</v>
      </c>
    </row>
    <row r="599" spans="1:7" s="66" customFormat="1" ht="28.5">
      <c r="A599" s="136" t="s">
        <v>675</v>
      </c>
      <c r="B599" s="190"/>
      <c r="C599" s="175" t="s">
        <v>5</v>
      </c>
      <c r="D599" s="175" t="s">
        <v>334</v>
      </c>
      <c r="E599" s="175" t="s">
        <v>606</v>
      </c>
      <c r="F599" s="188" t="s">
        <v>107</v>
      </c>
      <c r="G599" s="180">
        <v>573.2</v>
      </c>
    </row>
    <row r="600" spans="1:7" s="66" customFormat="1" ht="15">
      <c r="A600" s="85" t="s">
        <v>512</v>
      </c>
      <c r="B600" s="170"/>
      <c r="C600" s="171" t="s">
        <v>5</v>
      </c>
      <c r="D600" s="171" t="s">
        <v>334</v>
      </c>
      <c r="E600" s="171" t="s">
        <v>116</v>
      </c>
      <c r="F600" s="188"/>
      <c r="G600" s="126">
        <f>G601</f>
        <v>75</v>
      </c>
    </row>
    <row r="601" spans="1:7" s="66" customFormat="1" ht="42.75">
      <c r="A601" s="85" t="s">
        <v>517</v>
      </c>
      <c r="B601" s="170"/>
      <c r="C601" s="171" t="s">
        <v>5</v>
      </c>
      <c r="D601" s="171" t="s">
        <v>334</v>
      </c>
      <c r="E601" s="171" t="s">
        <v>311</v>
      </c>
      <c r="F601" s="188"/>
      <c r="G601" s="126">
        <f>G602</f>
        <v>75</v>
      </c>
    </row>
    <row r="602" spans="1:7" ht="28.5">
      <c r="A602" s="85" t="s">
        <v>510</v>
      </c>
      <c r="B602" s="170"/>
      <c r="C602" s="171" t="s">
        <v>5</v>
      </c>
      <c r="D602" s="171" t="s">
        <v>334</v>
      </c>
      <c r="E602" s="171" t="s">
        <v>311</v>
      </c>
      <c r="F602" s="188" t="s">
        <v>445</v>
      </c>
      <c r="G602" s="126">
        <v>75</v>
      </c>
    </row>
    <row r="603" spans="1:7" ht="30">
      <c r="A603" s="142" t="s">
        <v>423</v>
      </c>
      <c r="B603" s="143" t="s">
        <v>173</v>
      </c>
      <c r="C603" s="144"/>
      <c r="D603" s="144"/>
      <c r="E603" s="144"/>
      <c r="F603" s="382"/>
      <c r="G603" s="541">
        <f>SUM(G604+G617)</f>
        <v>75305.9</v>
      </c>
    </row>
    <row r="604" spans="1:7" ht="15">
      <c r="A604" s="136" t="s">
        <v>103</v>
      </c>
      <c r="B604" s="137"/>
      <c r="C604" s="141" t="s">
        <v>104</v>
      </c>
      <c r="D604" s="141"/>
      <c r="E604" s="141"/>
      <c r="F604" s="184"/>
      <c r="G604" s="118">
        <f>SUM(G605)+G613</f>
        <v>62906.7</v>
      </c>
    </row>
    <row r="605" spans="1:7" ht="15">
      <c r="A605" s="136" t="s">
        <v>289</v>
      </c>
      <c r="B605" s="143"/>
      <c r="C605" s="141" t="s">
        <v>104</v>
      </c>
      <c r="D605" s="141" t="s">
        <v>400</v>
      </c>
      <c r="E605" s="141"/>
      <c r="F605" s="184"/>
      <c r="G605" s="118">
        <f>SUM(G606)</f>
        <v>62803.5</v>
      </c>
    </row>
    <row r="606" spans="1:7" ht="15">
      <c r="A606" s="136" t="s">
        <v>542</v>
      </c>
      <c r="B606" s="137"/>
      <c r="C606" s="141" t="s">
        <v>104</v>
      </c>
      <c r="D606" s="141" t="s">
        <v>400</v>
      </c>
      <c r="E606" s="141" t="s">
        <v>276</v>
      </c>
      <c r="F606" s="184"/>
      <c r="G606" s="118">
        <f>SUM(G607)</f>
        <v>62803.5</v>
      </c>
    </row>
    <row r="607" spans="1:7" ht="15">
      <c r="A607" s="136" t="s">
        <v>525</v>
      </c>
      <c r="B607" s="143"/>
      <c r="C607" s="141" t="s">
        <v>104</v>
      </c>
      <c r="D607" s="141" t="s">
        <v>400</v>
      </c>
      <c r="E607" s="141" t="s">
        <v>72</v>
      </c>
      <c r="F607" s="184"/>
      <c r="G607" s="118">
        <f>SUM(G608)+G610</f>
        <v>62803.5</v>
      </c>
    </row>
    <row r="608" spans="1:7" ht="28.5">
      <c r="A608" s="136" t="s">
        <v>84</v>
      </c>
      <c r="B608" s="143"/>
      <c r="C608" s="141" t="s">
        <v>104</v>
      </c>
      <c r="D608" s="141" t="s">
        <v>400</v>
      </c>
      <c r="E608" s="141" t="s">
        <v>73</v>
      </c>
      <c r="F608" s="184"/>
      <c r="G608" s="118">
        <f>SUM(G609)</f>
        <v>62703.5</v>
      </c>
    </row>
    <row r="609" spans="1:7" ht="28.5">
      <c r="A609" s="85" t="s">
        <v>454</v>
      </c>
      <c r="B609" s="156"/>
      <c r="C609" s="141" t="s">
        <v>104</v>
      </c>
      <c r="D609" s="141" t="s">
        <v>400</v>
      </c>
      <c r="E609" s="141" t="s">
        <v>73</v>
      </c>
      <c r="F609" s="185" t="s">
        <v>445</v>
      </c>
      <c r="G609" s="118">
        <v>62703.5</v>
      </c>
    </row>
    <row r="610" spans="1:7" ht="15">
      <c r="A610" s="194" t="s">
        <v>140</v>
      </c>
      <c r="B610" s="156"/>
      <c r="C610" s="141" t="s">
        <v>104</v>
      </c>
      <c r="D610" s="141" t="s">
        <v>400</v>
      </c>
      <c r="E610" s="141" t="s">
        <v>134</v>
      </c>
      <c r="F610" s="185"/>
      <c r="G610" s="118">
        <f>SUM(G611)</f>
        <v>100</v>
      </c>
    </row>
    <row r="611" spans="1:7" ht="28.5">
      <c r="A611" s="85" t="s">
        <v>128</v>
      </c>
      <c r="B611" s="156"/>
      <c r="C611" s="141" t="s">
        <v>104</v>
      </c>
      <c r="D611" s="141" t="s">
        <v>400</v>
      </c>
      <c r="E611" s="141" t="s">
        <v>402</v>
      </c>
      <c r="F611" s="185"/>
      <c r="G611" s="118">
        <f>SUM(G612)</f>
        <v>100</v>
      </c>
    </row>
    <row r="612" spans="1:7" ht="28.5">
      <c r="A612" s="85" t="s">
        <v>454</v>
      </c>
      <c r="B612" s="156"/>
      <c r="C612" s="141" t="s">
        <v>104</v>
      </c>
      <c r="D612" s="141" t="s">
        <v>400</v>
      </c>
      <c r="E612" s="141" t="s">
        <v>402</v>
      </c>
      <c r="F612" s="185" t="s">
        <v>445</v>
      </c>
      <c r="G612" s="118">
        <v>100</v>
      </c>
    </row>
    <row r="613" spans="1:7" ht="15">
      <c r="A613" s="85" t="s">
        <v>105</v>
      </c>
      <c r="B613" s="161"/>
      <c r="C613" s="148" t="s">
        <v>104</v>
      </c>
      <c r="D613" s="148" t="s">
        <v>104</v>
      </c>
      <c r="E613" s="148"/>
      <c r="F613" s="192"/>
      <c r="G613" s="118">
        <f>SUM(G614)</f>
        <v>103.2</v>
      </c>
    </row>
    <row r="614" spans="1:7" ht="15">
      <c r="A614" s="85" t="s">
        <v>512</v>
      </c>
      <c r="B614" s="156"/>
      <c r="C614" s="148" t="s">
        <v>104</v>
      </c>
      <c r="D614" s="148" t="s">
        <v>104</v>
      </c>
      <c r="E614" s="141" t="s">
        <v>116</v>
      </c>
      <c r="F614" s="185"/>
      <c r="G614" s="118">
        <f>SUM(G615)</f>
        <v>103.2</v>
      </c>
    </row>
    <row r="615" spans="1:7" ht="28.5">
      <c r="A615" s="85" t="s">
        <v>1069</v>
      </c>
      <c r="B615" s="156"/>
      <c r="C615" s="148" t="s">
        <v>104</v>
      </c>
      <c r="D615" s="148" t="s">
        <v>104</v>
      </c>
      <c r="E615" s="141" t="s">
        <v>86</v>
      </c>
      <c r="F615" s="185"/>
      <c r="G615" s="118">
        <f>SUM(G616)</f>
        <v>103.2</v>
      </c>
    </row>
    <row r="616" spans="1:7" ht="28.5">
      <c r="A616" s="85" t="s">
        <v>454</v>
      </c>
      <c r="B616" s="156"/>
      <c r="C616" s="148" t="s">
        <v>104</v>
      </c>
      <c r="D616" s="148" t="s">
        <v>104</v>
      </c>
      <c r="E616" s="141" t="s">
        <v>86</v>
      </c>
      <c r="F616" s="185" t="s">
        <v>445</v>
      </c>
      <c r="G616" s="118">
        <v>103.2</v>
      </c>
    </row>
    <row r="617" spans="1:7" ht="15">
      <c r="A617" s="136" t="s">
        <v>210</v>
      </c>
      <c r="B617" s="137"/>
      <c r="C617" s="141" t="s">
        <v>360</v>
      </c>
      <c r="D617" s="141"/>
      <c r="E617" s="141"/>
      <c r="F617" s="184"/>
      <c r="G617" s="118">
        <f>SUM(G618+G648+G634)</f>
        <v>12399.2</v>
      </c>
    </row>
    <row r="618" spans="1:7" ht="15">
      <c r="A618" s="136" t="s">
        <v>205</v>
      </c>
      <c r="B618" s="137"/>
      <c r="C618" s="138" t="s">
        <v>360</v>
      </c>
      <c r="D618" s="138" t="s">
        <v>398</v>
      </c>
      <c r="E618" s="138"/>
      <c r="F618" s="183"/>
      <c r="G618" s="118">
        <f>SUM(G619,G621,G627)</f>
        <v>7267.8</v>
      </c>
    </row>
    <row r="619" spans="1:7" ht="15" customHeight="1" hidden="1">
      <c r="A619" s="85" t="s">
        <v>330</v>
      </c>
      <c r="B619" s="137"/>
      <c r="C619" s="138" t="s">
        <v>259</v>
      </c>
      <c r="D619" s="138" t="s">
        <v>111</v>
      </c>
      <c r="E619" s="141" t="s">
        <v>331</v>
      </c>
      <c r="F619" s="184"/>
      <c r="G619" s="118">
        <f>SUM(G620)</f>
        <v>0</v>
      </c>
    </row>
    <row r="620" spans="1:7" ht="15" customHeight="1" hidden="1">
      <c r="A620" s="136" t="s">
        <v>92</v>
      </c>
      <c r="B620" s="137"/>
      <c r="C620" s="138" t="s">
        <v>259</v>
      </c>
      <c r="D620" s="138" t="s">
        <v>111</v>
      </c>
      <c r="E620" s="141" t="s">
        <v>331</v>
      </c>
      <c r="F620" s="184" t="s">
        <v>93</v>
      </c>
      <c r="G620" s="118">
        <f>50.3-50.3</f>
        <v>0</v>
      </c>
    </row>
    <row r="621" spans="1:7" ht="28.5">
      <c r="A621" s="136" t="s">
        <v>424</v>
      </c>
      <c r="B621" s="137"/>
      <c r="C621" s="138" t="s">
        <v>360</v>
      </c>
      <c r="D621" s="138" t="s">
        <v>398</v>
      </c>
      <c r="E621" s="138" t="s">
        <v>425</v>
      </c>
      <c r="F621" s="184"/>
      <c r="G621" s="118">
        <f>SUM(G622)</f>
        <v>3935</v>
      </c>
    </row>
    <row r="622" spans="1:7" ht="28.5">
      <c r="A622" s="136" t="s">
        <v>50</v>
      </c>
      <c r="B622" s="137"/>
      <c r="C622" s="138" t="s">
        <v>360</v>
      </c>
      <c r="D622" s="138" t="s">
        <v>398</v>
      </c>
      <c r="E622" s="138" t="s">
        <v>426</v>
      </c>
      <c r="F622" s="184"/>
      <c r="G622" s="118">
        <f>SUM(G623)</f>
        <v>3935</v>
      </c>
    </row>
    <row r="623" spans="1:7" ht="28.5">
      <c r="A623" s="136" t="s">
        <v>670</v>
      </c>
      <c r="B623" s="137"/>
      <c r="C623" s="138" t="s">
        <v>360</v>
      </c>
      <c r="D623" s="138" t="s">
        <v>398</v>
      </c>
      <c r="E623" s="138" t="s">
        <v>498</v>
      </c>
      <c r="F623" s="184"/>
      <c r="G623" s="118">
        <f>SUM(G624:G626)</f>
        <v>3935</v>
      </c>
    </row>
    <row r="624" spans="1:7" ht="28.5">
      <c r="A624" s="136" t="s">
        <v>428</v>
      </c>
      <c r="B624" s="137"/>
      <c r="C624" s="138" t="s">
        <v>360</v>
      </c>
      <c r="D624" s="138" t="s">
        <v>398</v>
      </c>
      <c r="E624" s="138" t="s">
        <v>498</v>
      </c>
      <c r="F624" s="183" t="s">
        <v>429</v>
      </c>
      <c r="G624" s="118">
        <v>3309.6</v>
      </c>
    </row>
    <row r="625" spans="1:7" ht="28.5">
      <c r="A625" s="136" t="s">
        <v>675</v>
      </c>
      <c r="B625" s="137"/>
      <c r="C625" s="138" t="s">
        <v>360</v>
      </c>
      <c r="D625" s="138" t="s">
        <v>398</v>
      </c>
      <c r="E625" s="138" t="s">
        <v>498</v>
      </c>
      <c r="F625" s="183" t="s">
        <v>107</v>
      </c>
      <c r="G625" s="366">
        <v>619.4</v>
      </c>
    </row>
    <row r="626" spans="1:7" ht="15">
      <c r="A626" s="136" t="s">
        <v>434</v>
      </c>
      <c r="B626" s="137"/>
      <c r="C626" s="138" t="s">
        <v>360</v>
      </c>
      <c r="D626" s="138" t="s">
        <v>398</v>
      </c>
      <c r="E626" s="138" t="s">
        <v>498</v>
      </c>
      <c r="F626" s="184" t="s">
        <v>152</v>
      </c>
      <c r="G626" s="118">
        <v>6</v>
      </c>
    </row>
    <row r="627" spans="1:7" ht="15">
      <c r="A627" s="85" t="s">
        <v>512</v>
      </c>
      <c r="B627" s="137"/>
      <c r="C627" s="138" t="s">
        <v>360</v>
      </c>
      <c r="D627" s="138" t="s">
        <v>398</v>
      </c>
      <c r="E627" s="144" t="s">
        <v>116</v>
      </c>
      <c r="F627" s="183"/>
      <c r="G627" s="118">
        <f>SUM(G628)</f>
        <v>3332.8</v>
      </c>
    </row>
    <row r="628" spans="1:7" ht="28.5">
      <c r="A628" s="136" t="s">
        <v>719</v>
      </c>
      <c r="B628" s="137"/>
      <c r="C628" s="138" t="s">
        <v>360</v>
      </c>
      <c r="D628" s="138" t="s">
        <v>398</v>
      </c>
      <c r="E628" s="144" t="s">
        <v>87</v>
      </c>
      <c r="F628" s="183"/>
      <c r="G628" s="118">
        <f>SUM(G629:G631)</f>
        <v>3332.8</v>
      </c>
    </row>
    <row r="629" spans="1:7" ht="28.5">
      <c r="A629" s="136" t="s">
        <v>428</v>
      </c>
      <c r="B629" s="137"/>
      <c r="C629" s="138" t="s">
        <v>360</v>
      </c>
      <c r="D629" s="138" t="s">
        <v>398</v>
      </c>
      <c r="E629" s="144" t="s">
        <v>87</v>
      </c>
      <c r="F629" s="183" t="s">
        <v>429</v>
      </c>
      <c r="G629" s="118">
        <v>489</v>
      </c>
    </row>
    <row r="630" spans="1:7" ht="28.5">
      <c r="A630" s="136" t="s">
        <v>675</v>
      </c>
      <c r="B630" s="137"/>
      <c r="C630" s="138" t="s">
        <v>360</v>
      </c>
      <c r="D630" s="138" t="s">
        <v>398</v>
      </c>
      <c r="E630" s="144" t="s">
        <v>87</v>
      </c>
      <c r="F630" s="183" t="s">
        <v>107</v>
      </c>
      <c r="G630" s="118">
        <v>1417.4</v>
      </c>
    </row>
    <row r="631" spans="1:7" ht="27.75" customHeight="1">
      <c r="A631" s="85" t="s">
        <v>454</v>
      </c>
      <c r="B631" s="137"/>
      <c r="C631" s="138" t="s">
        <v>360</v>
      </c>
      <c r="D631" s="138" t="s">
        <v>398</v>
      </c>
      <c r="E631" s="144" t="s">
        <v>87</v>
      </c>
      <c r="F631" s="183" t="s">
        <v>445</v>
      </c>
      <c r="G631" s="118">
        <v>1426.4</v>
      </c>
    </row>
    <row r="632" spans="1:7" ht="28.5" customHeight="1" hidden="1">
      <c r="A632" s="136" t="s">
        <v>135</v>
      </c>
      <c r="B632" s="137"/>
      <c r="C632" s="138" t="s">
        <v>360</v>
      </c>
      <c r="D632" s="138" t="s">
        <v>398</v>
      </c>
      <c r="E632" s="144" t="s">
        <v>353</v>
      </c>
      <c r="F632" s="183"/>
      <c r="G632" s="118">
        <f>SUM(G633)</f>
        <v>0</v>
      </c>
    </row>
    <row r="633" spans="1:7" ht="15" customHeight="1" hidden="1">
      <c r="A633" s="85" t="s">
        <v>127</v>
      </c>
      <c r="B633" s="137"/>
      <c r="C633" s="138" t="s">
        <v>360</v>
      </c>
      <c r="D633" s="138" t="s">
        <v>398</v>
      </c>
      <c r="E633" s="144" t="s">
        <v>353</v>
      </c>
      <c r="F633" s="183" t="s">
        <v>77</v>
      </c>
      <c r="G633" s="118"/>
    </row>
    <row r="634" spans="1:7" ht="15">
      <c r="A634" s="136" t="s">
        <v>138</v>
      </c>
      <c r="B634" s="137"/>
      <c r="C634" s="138" t="s">
        <v>360</v>
      </c>
      <c r="D634" s="138" t="s">
        <v>400</v>
      </c>
      <c r="E634" s="141"/>
      <c r="F634" s="184"/>
      <c r="G634" s="118">
        <f>SUM(G635)+G638</f>
        <v>4658.9</v>
      </c>
    </row>
    <row r="635" spans="1:7" ht="15">
      <c r="A635" s="136" t="s">
        <v>1070</v>
      </c>
      <c r="B635" s="137"/>
      <c r="C635" s="138" t="s">
        <v>360</v>
      </c>
      <c r="D635" s="138" t="s">
        <v>400</v>
      </c>
      <c r="E635" s="138" t="s">
        <v>1071</v>
      </c>
      <c r="F635" s="184"/>
      <c r="G635" s="118">
        <f>SUM(G636)</f>
        <v>664.9</v>
      </c>
    </row>
    <row r="636" spans="1:7" ht="28.5">
      <c r="A636" s="136" t="s">
        <v>1072</v>
      </c>
      <c r="B636" s="137"/>
      <c r="C636" s="138" t="s">
        <v>360</v>
      </c>
      <c r="D636" s="138" t="s">
        <v>400</v>
      </c>
      <c r="E636" s="138" t="s">
        <v>1073</v>
      </c>
      <c r="F636" s="184"/>
      <c r="G636" s="118">
        <f>SUM(G637)</f>
        <v>664.9</v>
      </c>
    </row>
    <row r="637" spans="1:7" ht="28.5">
      <c r="A637" s="85" t="s">
        <v>454</v>
      </c>
      <c r="B637" s="137"/>
      <c r="C637" s="138" t="s">
        <v>360</v>
      </c>
      <c r="D637" s="138" t="s">
        <v>400</v>
      </c>
      <c r="E637" s="138" t="s">
        <v>1073</v>
      </c>
      <c r="F637" s="183" t="s">
        <v>445</v>
      </c>
      <c r="G637" s="118">
        <v>664.9</v>
      </c>
    </row>
    <row r="638" spans="1:7" ht="28.5">
      <c r="A638" s="85" t="s">
        <v>1074</v>
      </c>
      <c r="B638" s="137"/>
      <c r="C638" s="138" t="s">
        <v>360</v>
      </c>
      <c r="D638" s="138" t="s">
        <v>400</v>
      </c>
      <c r="E638" s="138" t="s">
        <v>1077</v>
      </c>
      <c r="F638" s="183"/>
      <c r="G638" s="118">
        <f>SUM(G639)+G642+G645</f>
        <v>3994</v>
      </c>
    </row>
    <row r="639" spans="1:7" ht="28.5">
      <c r="A639" s="85" t="s">
        <v>1075</v>
      </c>
      <c r="B639" s="137"/>
      <c r="C639" s="138" t="s">
        <v>360</v>
      </c>
      <c r="D639" s="138" t="s">
        <v>400</v>
      </c>
      <c r="E639" s="138" t="s">
        <v>1078</v>
      </c>
      <c r="F639" s="183"/>
      <c r="G639" s="118">
        <f>SUM(G640)</f>
        <v>913.5</v>
      </c>
    </row>
    <row r="640" spans="1:7" ht="71.25">
      <c r="A640" s="85" t="s">
        <v>1076</v>
      </c>
      <c r="B640" s="137"/>
      <c r="C640" s="138" t="s">
        <v>360</v>
      </c>
      <c r="D640" s="138" t="s">
        <v>400</v>
      </c>
      <c r="E640" s="138" t="s">
        <v>1079</v>
      </c>
      <c r="F640" s="183"/>
      <c r="G640" s="118">
        <f>SUM(G641)</f>
        <v>913.5</v>
      </c>
    </row>
    <row r="641" spans="1:7" ht="28.5">
      <c r="A641" s="85" t="s">
        <v>454</v>
      </c>
      <c r="B641" s="137"/>
      <c r="C641" s="138" t="s">
        <v>360</v>
      </c>
      <c r="D641" s="138" t="s">
        <v>400</v>
      </c>
      <c r="E641" s="138" t="s">
        <v>1079</v>
      </c>
      <c r="F641" s="183" t="s">
        <v>445</v>
      </c>
      <c r="G641" s="118">
        <v>913.5</v>
      </c>
    </row>
    <row r="642" spans="1:7" ht="28.5">
      <c r="A642" s="85" t="s">
        <v>1080</v>
      </c>
      <c r="B642" s="137"/>
      <c r="C642" s="138" t="s">
        <v>360</v>
      </c>
      <c r="D642" s="138" t="s">
        <v>400</v>
      </c>
      <c r="E642" s="138" t="s">
        <v>1082</v>
      </c>
      <c r="F642" s="183"/>
      <c r="G642" s="118">
        <f>SUM(G643)</f>
        <v>230.5</v>
      </c>
    </row>
    <row r="643" spans="1:7" ht="57">
      <c r="A643" s="85" t="s">
        <v>1081</v>
      </c>
      <c r="B643" s="137"/>
      <c r="C643" s="138" t="s">
        <v>360</v>
      </c>
      <c r="D643" s="138" t="s">
        <v>400</v>
      </c>
      <c r="E643" s="138" t="s">
        <v>1083</v>
      </c>
      <c r="F643" s="183"/>
      <c r="G643" s="118">
        <f>SUM(G644)</f>
        <v>230.5</v>
      </c>
    </row>
    <row r="644" spans="1:7" ht="28.5">
      <c r="A644" s="85" t="s">
        <v>454</v>
      </c>
      <c r="B644" s="137"/>
      <c r="C644" s="138" t="s">
        <v>360</v>
      </c>
      <c r="D644" s="138" t="s">
        <v>400</v>
      </c>
      <c r="E644" s="138" t="s">
        <v>1083</v>
      </c>
      <c r="F644" s="183" t="s">
        <v>445</v>
      </c>
      <c r="G644" s="118">
        <v>230.5</v>
      </c>
    </row>
    <row r="645" spans="1:7" ht="28.5">
      <c r="A645" s="85" t="s">
        <v>1084</v>
      </c>
      <c r="B645" s="137"/>
      <c r="C645" s="138" t="s">
        <v>360</v>
      </c>
      <c r="D645" s="138" t="s">
        <v>400</v>
      </c>
      <c r="E645" s="138" t="s">
        <v>1086</v>
      </c>
      <c r="F645" s="183"/>
      <c r="G645" s="118">
        <f>SUM(G646)</f>
        <v>2850</v>
      </c>
    </row>
    <row r="646" spans="1:7" ht="57">
      <c r="A646" s="85" t="s">
        <v>1085</v>
      </c>
      <c r="B646" s="137"/>
      <c r="C646" s="138" t="s">
        <v>360</v>
      </c>
      <c r="D646" s="138" t="s">
        <v>400</v>
      </c>
      <c r="E646" s="138" t="s">
        <v>1087</v>
      </c>
      <c r="F646" s="183"/>
      <c r="G646" s="118">
        <f>SUM(G647)</f>
        <v>2850</v>
      </c>
    </row>
    <row r="647" spans="1:7" ht="28.5">
      <c r="A647" s="85" t="s">
        <v>454</v>
      </c>
      <c r="B647" s="137"/>
      <c r="C647" s="138" t="s">
        <v>360</v>
      </c>
      <c r="D647" s="138" t="s">
        <v>400</v>
      </c>
      <c r="E647" s="138" t="s">
        <v>1087</v>
      </c>
      <c r="F647" s="183" t="s">
        <v>445</v>
      </c>
      <c r="G647" s="118">
        <v>2850</v>
      </c>
    </row>
    <row r="648" spans="1:7" ht="21.75" customHeight="1">
      <c r="A648" s="136" t="s">
        <v>1088</v>
      </c>
      <c r="B648" s="137"/>
      <c r="C648" s="138" t="s">
        <v>360</v>
      </c>
      <c r="D648" s="138" t="s">
        <v>95</v>
      </c>
      <c r="E648" s="141"/>
      <c r="F648" s="184"/>
      <c r="G648" s="118">
        <f>SUM(G649)</f>
        <v>472.5</v>
      </c>
    </row>
    <row r="649" spans="1:7" ht="28.5">
      <c r="A649" s="85" t="s">
        <v>1074</v>
      </c>
      <c r="B649" s="137"/>
      <c r="C649" s="138" t="s">
        <v>360</v>
      </c>
      <c r="D649" s="138" t="s">
        <v>95</v>
      </c>
      <c r="E649" s="138" t="s">
        <v>1077</v>
      </c>
      <c r="F649" s="184"/>
      <c r="G649" s="118">
        <f>SUM(G650)</f>
        <v>472.5</v>
      </c>
    </row>
    <row r="650" spans="1:7" ht="28.5">
      <c r="A650" s="85" t="s">
        <v>1084</v>
      </c>
      <c r="B650" s="137"/>
      <c r="C650" s="138" t="s">
        <v>360</v>
      </c>
      <c r="D650" s="138" t="s">
        <v>95</v>
      </c>
      <c r="E650" s="138" t="s">
        <v>1086</v>
      </c>
      <c r="F650" s="184"/>
      <c r="G650" s="118">
        <f>SUM(G651)</f>
        <v>472.5</v>
      </c>
    </row>
    <row r="651" spans="1:7" ht="57">
      <c r="A651" s="85" t="s">
        <v>1085</v>
      </c>
      <c r="B651" s="137"/>
      <c r="C651" s="138" t="s">
        <v>360</v>
      </c>
      <c r="D651" s="138" t="s">
        <v>95</v>
      </c>
      <c r="E651" s="138" t="s">
        <v>1087</v>
      </c>
      <c r="F651" s="183"/>
      <c r="G651" s="118">
        <f>SUM(G652)</f>
        <v>472.5</v>
      </c>
    </row>
    <row r="652" spans="1:7" ht="27" customHeight="1">
      <c r="A652" s="85" t="s">
        <v>454</v>
      </c>
      <c r="B652" s="137"/>
      <c r="C652" s="138" t="s">
        <v>360</v>
      </c>
      <c r="D652" s="138" t="s">
        <v>95</v>
      </c>
      <c r="E652" s="138" t="s">
        <v>1087</v>
      </c>
      <c r="F652" s="183" t="s">
        <v>445</v>
      </c>
      <c r="G652" s="118">
        <v>472.5</v>
      </c>
    </row>
    <row r="653" spans="1:7" ht="42.75" customHeight="1" hidden="1">
      <c r="A653" s="149" t="s">
        <v>177</v>
      </c>
      <c r="B653" s="137"/>
      <c r="C653" s="138" t="s">
        <v>360</v>
      </c>
      <c r="D653" s="138" t="s">
        <v>95</v>
      </c>
      <c r="E653" s="141" t="s">
        <v>257</v>
      </c>
      <c r="F653" s="183"/>
      <c r="G653" s="118">
        <f>SUM(G654)</f>
        <v>0</v>
      </c>
    </row>
    <row r="654" spans="1:7" ht="15" customHeight="1" hidden="1">
      <c r="A654" s="136" t="s">
        <v>92</v>
      </c>
      <c r="B654" s="137"/>
      <c r="C654" s="138" t="s">
        <v>360</v>
      </c>
      <c r="D654" s="138" t="s">
        <v>95</v>
      </c>
      <c r="E654" s="141" t="s">
        <v>257</v>
      </c>
      <c r="F654" s="183" t="s">
        <v>93</v>
      </c>
      <c r="G654" s="118"/>
    </row>
    <row r="655" spans="1:7" ht="15" customHeight="1" hidden="1">
      <c r="A655" s="85" t="s">
        <v>330</v>
      </c>
      <c r="B655" s="137"/>
      <c r="C655" s="138" t="s">
        <v>360</v>
      </c>
      <c r="D655" s="138" t="s">
        <v>95</v>
      </c>
      <c r="E655" s="141" t="s">
        <v>331</v>
      </c>
      <c r="F655" s="184"/>
      <c r="G655" s="118">
        <f>SUM(G656)</f>
        <v>0</v>
      </c>
    </row>
    <row r="656" spans="1:7" ht="15" customHeight="1" hidden="1">
      <c r="A656" s="136" t="s">
        <v>92</v>
      </c>
      <c r="B656" s="137"/>
      <c r="C656" s="138" t="s">
        <v>360</v>
      </c>
      <c r="D656" s="138" t="s">
        <v>95</v>
      </c>
      <c r="E656" s="141" t="s">
        <v>331</v>
      </c>
      <c r="F656" s="184" t="s">
        <v>93</v>
      </c>
      <c r="G656" s="118"/>
    </row>
    <row r="657" spans="1:7" ht="28.5" customHeight="1" hidden="1">
      <c r="A657" s="111" t="s">
        <v>100</v>
      </c>
      <c r="B657" s="137"/>
      <c r="C657" s="138" t="s">
        <v>360</v>
      </c>
      <c r="D657" s="138" t="s">
        <v>95</v>
      </c>
      <c r="E657" s="138" t="s">
        <v>101</v>
      </c>
      <c r="F657" s="185"/>
      <c r="G657" s="118">
        <f>SUM(G659)</f>
        <v>0</v>
      </c>
    </row>
    <row r="658" spans="1:7" ht="15" customHeight="1" hidden="1">
      <c r="A658" s="111" t="s">
        <v>102</v>
      </c>
      <c r="B658" s="137"/>
      <c r="C658" s="138" t="s">
        <v>360</v>
      </c>
      <c r="D658" s="138" t="s">
        <v>95</v>
      </c>
      <c r="E658" s="138" t="s">
        <v>213</v>
      </c>
      <c r="F658" s="185"/>
      <c r="G658" s="118">
        <f>SUM(G659)</f>
        <v>0</v>
      </c>
    </row>
    <row r="659" spans="1:7" ht="15" customHeight="1" hidden="1">
      <c r="A659" s="136" t="s">
        <v>92</v>
      </c>
      <c r="B659" s="137"/>
      <c r="C659" s="138" t="s">
        <v>360</v>
      </c>
      <c r="D659" s="138" t="s">
        <v>95</v>
      </c>
      <c r="E659" s="138" t="s">
        <v>213</v>
      </c>
      <c r="F659" s="185" t="s">
        <v>93</v>
      </c>
      <c r="G659" s="118"/>
    </row>
    <row r="660" spans="1:7" ht="15">
      <c r="A660" s="142" t="s">
        <v>261</v>
      </c>
      <c r="B660" s="143" t="s">
        <v>227</v>
      </c>
      <c r="C660" s="160"/>
      <c r="D660" s="160"/>
      <c r="E660" s="160"/>
      <c r="F660" s="392"/>
      <c r="G660" s="371">
        <f>SUM(G661+G811)</f>
        <v>1687306.9000000001</v>
      </c>
    </row>
    <row r="661" spans="1:7" ht="15">
      <c r="A661" s="85" t="s">
        <v>103</v>
      </c>
      <c r="B661" s="161"/>
      <c r="C661" s="148" t="s">
        <v>104</v>
      </c>
      <c r="D661" s="148"/>
      <c r="E661" s="148"/>
      <c r="F661" s="192"/>
      <c r="G661" s="125">
        <f>SUM(G662+G701+G776+G805)</f>
        <v>1645510.4000000001</v>
      </c>
    </row>
    <row r="662" spans="1:7" ht="15">
      <c r="A662" s="85" t="s">
        <v>285</v>
      </c>
      <c r="B662" s="156"/>
      <c r="C662" s="148" t="s">
        <v>104</v>
      </c>
      <c r="D662" s="148" t="s">
        <v>398</v>
      </c>
      <c r="E662" s="148"/>
      <c r="F662" s="192"/>
      <c r="G662" s="125">
        <f>SUM(G663+G693)+G678</f>
        <v>665024.5</v>
      </c>
    </row>
    <row r="663" spans="1:7" s="66" customFormat="1" ht="15">
      <c r="A663" s="85" t="s">
        <v>286</v>
      </c>
      <c r="B663" s="156"/>
      <c r="C663" s="148" t="s">
        <v>104</v>
      </c>
      <c r="D663" s="148" t="s">
        <v>398</v>
      </c>
      <c r="E663" s="148" t="s">
        <v>287</v>
      </c>
      <c r="F663" s="192"/>
      <c r="G663" s="125">
        <f>SUM(G664+G674)</f>
        <v>178765</v>
      </c>
    </row>
    <row r="664" spans="1:7" s="66" customFormat="1" ht="15">
      <c r="A664" s="85" t="s">
        <v>525</v>
      </c>
      <c r="B664" s="156"/>
      <c r="C664" s="148" t="s">
        <v>104</v>
      </c>
      <c r="D664" s="148" t="s">
        <v>398</v>
      </c>
      <c r="E664" s="148" t="s">
        <v>78</v>
      </c>
      <c r="F664" s="192"/>
      <c r="G664" s="125">
        <f>SUM(G665+G667)</f>
        <v>146550.9</v>
      </c>
    </row>
    <row r="665" spans="1:7" s="66" customFormat="1" ht="28.5">
      <c r="A665" s="85" t="s">
        <v>175</v>
      </c>
      <c r="B665" s="156"/>
      <c r="C665" s="148" t="s">
        <v>104</v>
      </c>
      <c r="D665" s="148" t="s">
        <v>398</v>
      </c>
      <c r="E665" s="148" t="s">
        <v>79</v>
      </c>
      <c r="F665" s="192"/>
      <c r="G665" s="125">
        <f>SUM(G666)</f>
        <v>144490.3</v>
      </c>
    </row>
    <row r="666" spans="1:7" ht="28.5">
      <c r="A666" s="85" t="s">
        <v>454</v>
      </c>
      <c r="B666" s="156"/>
      <c r="C666" s="148" t="s">
        <v>104</v>
      </c>
      <c r="D666" s="148" t="s">
        <v>398</v>
      </c>
      <c r="E666" s="148" t="s">
        <v>79</v>
      </c>
      <c r="F666" s="192" t="s">
        <v>445</v>
      </c>
      <c r="G666" s="125">
        <v>144490.3</v>
      </c>
    </row>
    <row r="667" spans="1:7" ht="15">
      <c r="A667" s="194" t="s">
        <v>140</v>
      </c>
      <c r="B667" s="162"/>
      <c r="C667" s="153" t="s">
        <v>104</v>
      </c>
      <c r="D667" s="153" t="s">
        <v>398</v>
      </c>
      <c r="E667" s="153" t="s">
        <v>607</v>
      </c>
      <c r="F667" s="387"/>
      <c r="G667" s="543">
        <f>SUM(G673)+G670+G668</f>
        <v>2060.6</v>
      </c>
    </row>
    <row r="668" spans="1:7" ht="28.5">
      <c r="A668" s="85" t="s">
        <v>128</v>
      </c>
      <c r="B668" s="162"/>
      <c r="C668" s="358" t="s">
        <v>104</v>
      </c>
      <c r="D668" s="112" t="s">
        <v>398</v>
      </c>
      <c r="E668" s="153" t="s">
        <v>1117</v>
      </c>
      <c r="F668" s="114"/>
      <c r="G668" s="543">
        <f>SUM(G669)</f>
        <v>24.2</v>
      </c>
    </row>
    <row r="669" spans="1:7" ht="28.5">
      <c r="A669" s="85" t="s">
        <v>447</v>
      </c>
      <c r="B669" s="162"/>
      <c r="C669" s="358" t="s">
        <v>104</v>
      </c>
      <c r="D669" s="112" t="s">
        <v>398</v>
      </c>
      <c r="E669" s="153" t="s">
        <v>1117</v>
      </c>
      <c r="F669" s="114" t="s">
        <v>445</v>
      </c>
      <c r="G669" s="543">
        <v>24.2</v>
      </c>
    </row>
    <row r="670" spans="1:7" ht="28.5">
      <c r="A670" s="109" t="s">
        <v>355</v>
      </c>
      <c r="B670" s="140"/>
      <c r="C670" s="141" t="s">
        <v>104</v>
      </c>
      <c r="D670" s="141" t="s">
        <v>398</v>
      </c>
      <c r="E670" s="153" t="s">
        <v>1058</v>
      </c>
      <c r="F670" s="184"/>
      <c r="G670" s="118">
        <f>SUM(G671)</f>
        <v>330</v>
      </c>
    </row>
    <row r="671" spans="1:7" ht="28.5">
      <c r="A671" s="109" t="s">
        <v>454</v>
      </c>
      <c r="B671" s="140"/>
      <c r="C671" s="141" t="s">
        <v>104</v>
      </c>
      <c r="D671" s="141" t="s">
        <v>398</v>
      </c>
      <c r="E671" s="153" t="s">
        <v>1058</v>
      </c>
      <c r="F671" s="184" t="s">
        <v>445</v>
      </c>
      <c r="G671" s="118">
        <v>330</v>
      </c>
    </row>
    <row r="672" spans="1:7" ht="15">
      <c r="A672" s="194" t="s">
        <v>137</v>
      </c>
      <c r="B672" s="162"/>
      <c r="C672" s="153" t="s">
        <v>104</v>
      </c>
      <c r="D672" s="153" t="s">
        <v>398</v>
      </c>
      <c r="E672" s="153" t="s">
        <v>608</v>
      </c>
      <c r="F672" s="387"/>
      <c r="G672" s="543">
        <f>SUM(G673)</f>
        <v>1706.4</v>
      </c>
    </row>
    <row r="673" spans="1:7" ht="28.5">
      <c r="A673" s="109" t="s">
        <v>454</v>
      </c>
      <c r="B673" s="162"/>
      <c r="C673" s="153" t="s">
        <v>104</v>
      </c>
      <c r="D673" s="153" t="s">
        <v>398</v>
      </c>
      <c r="E673" s="153" t="s">
        <v>608</v>
      </c>
      <c r="F673" s="184" t="s">
        <v>445</v>
      </c>
      <c r="G673" s="543">
        <v>1706.4</v>
      </c>
    </row>
    <row r="674" spans="1:7" ht="28.5">
      <c r="A674" s="85" t="s">
        <v>50</v>
      </c>
      <c r="B674" s="156"/>
      <c r="C674" s="148" t="s">
        <v>104</v>
      </c>
      <c r="D674" s="148" t="s">
        <v>398</v>
      </c>
      <c r="E674" s="148" t="s">
        <v>288</v>
      </c>
      <c r="F674" s="192"/>
      <c r="G674" s="125">
        <f>SUM(G675+G676+G677)</f>
        <v>32214.1</v>
      </c>
    </row>
    <row r="675" spans="1:7" ht="28.5">
      <c r="A675" s="85" t="s">
        <v>428</v>
      </c>
      <c r="B675" s="156"/>
      <c r="C675" s="148" t="s">
        <v>104</v>
      </c>
      <c r="D675" s="148" t="s">
        <v>398</v>
      </c>
      <c r="E675" s="148" t="s">
        <v>288</v>
      </c>
      <c r="F675" s="192" t="s">
        <v>429</v>
      </c>
      <c r="G675" s="125">
        <v>10508.5</v>
      </c>
    </row>
    <row r="676" spans="1:7" ht="28.5">
      <c r="A676" s="136" t="s">
        <v>675</v>
      </c>
      <c r="B676" s="161"/>
      <c r="C676" s="148" t="s">
        <v>104</v>
      </c>
      <c r="D676" s="148" t="s">
        <v>398</v>
      </c>
      <c r="E676" s="148" t="s">
        <v>288</v>
      </c>
      <c r="F676" s="192" t="s">
        <v>107</v>
      </c>
      <c r="G676" s="125">
        <v>19657.1</v>
      </c>
    </row>
    <row r="677" spans="1:7" ht="15">
      <c r="A677" s="85" t="s">
        <v>434</v>
      </c>
      <c r="B677" s="156"/>
      <c r="C677" s="148" t="s">
        <v>104</v>
      </c>
      <c r="D677" s="148" t="s">
        <v>398</v>
      </c>
      <c r="E677" s="148" t="s">
        <v>288</v>
      </c>
      <c r="F677" s="192" t="s">
        <v>152</v>
      </c>
      <c r="G677" s="125">
        <v>2048.5</v>
      </c>
    </row>
    <row r="678" spans="1:7" ht="28.5">
      <c r="A678" s="199" t="s">
        <v>609</v>
      </c>
      <c r="B678" s="140"/>
      <c r="C678" s="141" t="s">
        <v>104</v>
      </c>
      <c r="D678" s="141" t="s">
        <v>398</v>
      </c>
      <c r="E678" s="163" t="s">
        <v>610</v>
      </c>
      <c r="F678" s="193"/>
      <c r="G678" s="118">
        <f>SUM(G683+G689)+G679</f>
        <v>469638.2</v>
      </c>
    </row>
    <row r="679" spans="1:7" ht="71.25">
      <c r="A679" s="199" t="s">
        <v>1242</v>
      </c>
      <c r="B679" s="140"/>
      <c r="C679" s="141" t="s">
        <v>104</v>
      </c>
      <c r="D679" s="141" t="s">
        <v>398</v>
      </c>
      <c r="E679" s="163" t="s">
        <v>1243</v>
      </c>
      <c r="F679" s="193"/>
      <c r="G679" s="118">
        <f>SUM(G680)</f>
        <v>29398.1</v>
      </c>
    </row>
    <row r="680" spans="1:7" ht="57">
      <c r="A680" s="495" t="s">
        <v>1244</v>
      </c>
      <c r="B680" s="100"/>
      <c r="C680" s="89" t="s">
        <v>104</v>
      </c>
      <c r="D680" s="89" t="s">
        <v>398</v>
      </c>
      <c r="E680" s="117" t="s">
        <v>1245</v>
      </c>
      <c r="F680" s="547"/>
      <c r="G680" s="118">
        <f>G681+G682</f>
        <v>29398.1</v>
      </c>
    </row>
    <row r="681" spans="1:7" ht="28.5">
      <c r="A681" s="109" t="s">
        <v>675</v>
      </c>
      <c r="B681" s="100"/>
      <c r="C681" s="89" t="s">
        <v>104</v>
      </c>
      <c r="D681" s="89" t="s">
        <v>398</v>
      </c>
      <c r="E681" s="117" t="s">
        <v>1245</v>
      </c>
      <c r="F681" s="95" t="s">
        <v>107</v>
      </c>
      <c r="G681" s="118">
        <v>15261.5</v>
      </c>
    </row>
    <row r="682" spans="1:7" ht="28.5">
      <c r="A682" s="294" t="s">
        <v>454</v>
      </c>
      <c r="B682" s="100"/>
      <c r="C682" s="89" t="s">
        <v>104</v>
      </c>
      <c r="D682" s="89" t="s">
        <v>398</v>
      </c>
      <c r="E682" s="117" t="s">
        <v>1245</v>
      </c>
      <c r="F682" s="95" t="s">
        <v>445</v>
      </c>
      <c r="G682" s="118">
        <v>14136.6</v>
      </c>
    </row>
    <row r="683" spans="1:7" ht="15">
      <c r="A683" s="84" t="s">
        <v>525</v>
      </c>
      <c r="B683" s="140"/>
      <c r="C683" s="141" t="s">
        <v>104</v>
      </c>
      <c r="D683" s="141" t="s">
        <v>398</v>
      </c>
      <c r="E683" s="163" t="s">
        <v>643</v>
      </c>
      <c r="F683" s="193"/>
      <c r="G683" s="118">
        <f>SUM(G684+G686)</f>
        <v>382839.2</v>
      </c>
    </row>
    <row r="684" spans="1:7" ht="28.5">
      <c r="A684" s="85" t="s">
        <v>175</v>
      </c>
      <c r="B684" s="140"/>
      <c r="C684" s="141" t="s">
        <v>104</v>
      </c>
      <c r="D684" s="141" t="s">
        <v>398</v>
      </c>
      <c r="E684" s="119" t="s">
        <v>612</v>
      </c>
      <c r="F684" s="184"/>
      <c r="G684" s="118">
        <f>SUM(G685)</f>
        <v>377248.3</v>
      </c>
    </row>
    <row r="685" spans="1:7" ht="28.5">
      <c r="A685" s="109" t="s">
        <v>454</v>
      </c>
      <c r="B685" s="140"/>
      <c r="C685" s="141" t="s">
        <v>104</v>
      </c>
      <c r="D685" s="141" t="s">
        <v>398</v>
      </c>
      <c r="E685" s="119" t="s">
        <v>612</v>
      </c>
      <c r="F685" s="184" t="s">
        <v>445</v>
      </c>
      <c r="G685" s="118">
        <v>377248.3</v>
      </c>
    </row>
    <row r="686" spans="1:7" ht="15">
      <c r="A686" s="194" t="s">
        <v>140</v>
      </c>
      <c r="B686" s="140"/>
      <c r="C686" s="141" t="s">
        <v>104</v>
      </c>
      <c r="D686" s="141" t="s">
        <v>398</v>
      </c>
      <c r="E686" s="119" t="s">
        <v>614</v>
      </c>
      <c r="F686" s="184"/>
      <c r="G686" s="118">
        <f>SUM(G687)</f>
        <v>5590.9</v>
      </c>
    </row>
    <row r="687" spans="1:7" ht="28.5">
      <c r="A687" s="109" t="s">
        <v>355</v>
      </c>
      <c r="B687" s="140"/>
      <c r="C687" s="141" t="s">
        <v>104</v>
      </c>
      <c r="D687" s="141" t="s">
        <v>398</v>
      </c>
      <c r="E687" s="119" t="s">
        <v>613</v>
      </c>
      <c r="F687" s="184"/>
      <c r="G687" s="118">
        <f>SUM(G688)</f>
        <v>5590.9</v>
      </c>
    </row>
    <row r="688" spans="1:7" ht="28.5">
      <c r="A688" s="109" t="s">
        <v>454</v>
      </c>
      <c r="B688" s="140"/>
      <c r="C688" s="141" t="s">
        <v>104</v>
      </c>
      <c r="D688" s="141" t="s">
        <v>398</v>
      </c>
      <c r="E688" s="119" t="s">
        <v>613</v>
      </c>
      <c r="F688" s="184" t="s">
        <v>445</v>
      </c>
      <c r="G688" s="118">
        <v>5590.9</v>
      </c>
    </row>
    <row r="689" spans="1:7" ht="28.5">
      <c r="A689" s="85" t="s">
        <v>50</v>
      </c>
      <c r="B689" s="140"/>
      <c r="C689" s="141" t="s">
        <v>104</v>
      </c>
      <c r="D689" s="141" t="s">
        <v>398</v>
      </c>
      <c r="E689" s="119" t="s">
        <v>611</v>
      </c>
      <c r="F689" s="193"/>
      <c r="G689" s="118">
        <f>SUM(G690:G691)</f>
        <v>57400.9</v>
      </c>
    </row>
    <row r="690" spans="1:7" ht="28.5">
      <c r="A690" s="109" t="s">
        <v>428</v>
      </c>
      <c r="B690" s="140"/>
      <c r="C690" s="141" t="s">
        <v>104</v>
      </c>
      <c r="D690" s="141" t="s">
        <v>398</v>
      </c>
      <c r="E690" s="119" t="s">
        <v>611</v>
      </c>
      <c r="F690" s="184" t="s">
        <v>429</v>
      </c>
      <c r="G690" s="118">
        <v>55845.4</v>
      </c>
    </row>
    <row r="691" spans="1:7" ht="27.75" customHeight="1">
      <c r="A691" s="136" t="s">
        <v>675</v>
      </c>
      <c r="B691" s="140"/>
      <c r="C691" s="141" t="s">
        <v>104</v>
      </c>
      <c r="D691" s="141" t="s">
        <v>398</v>
      </c>
      <c r="E691" s="119" t="s">
        <v>611</v>
      </c>
      <c r="F691" s="184" t="s">
        <v>107</v>
      </c>
      <c r="G691" s="118">
        <v>1555.5</v>
      </c>
    </row>
    <row r="692" spans="1:7" ht="28.5" customHeight="1" hidden="1">
      <c r="A692" s="109" t="s">
        <v>454</v>
      </c>
      <c r="B692" s="140"/>
      <c r="C692" s="141" t="s">
        <v>104</v>
      </c>
      <c r="D692" s="141" t="s">
        <v>398</v>
      </c>
      <c r="E692" s="119" t="s">
        <v>611</v>
      </c>
      <c r="F692" s="184" t="s">
        <v>445</v>
      </c>
      <c r="G692" s="118"/>
    </row>
    <row r="693" spans="1:7" ht="18.75" customHeight="1">
      <c r="A693" s="85" t="s">
        <v>512</v>
      </c>
      <c r="B693" s="157"/>
      <c r="C693" s="148" t="s">
        <v>104</v>
      </c>
      <c r="D693" s="148" t="s">
        <v>398</v>
      </c>
      <c r="E693" s="148" t="s">
        <v>116</v>
      </c>
      <c r="F693" s="192"/>
      <c r="G693" s="125">
        <f>G694+G698</f>
        <v>16621.3</v>
      </c>
    </row>
    <row r="694" spans="1:7" ht="28.5">
      <c r="A694" s="85" t="s">
        <v>526</v>
      </c>
      <c r="B694" s="156"/>
      <c r="C694" s="148" t="s">
        <v>104</v>
      </c>
      <c r="D694" s="148" t="s">
        <v>398</v>
      </c>
      <c r="E694" s="148" t="s">
        <v>312</v>
      </c>
      <c r="F694" s="192"/>
      <c r="G694" s="125">
        <f>SUM(G695:G697)</f>
        <v>6722.3</v>
      </c>
    </row>
    <row r="695" spans="1:7" ht="28.5">
      <c r="A695" s="136" t="s">
        <v>675</v>
      </c>
      <c r="B695" s="178"/>
      <c r="C695" s="148" t="s">
        <v>104</v>
      </c>
      <c r="D695" s="148" t="s">
        <v>398</v>
      </c>
      <c r="E695" s="148" t="s">
        <v>312</v>
      </c>
      <c r="F695" s="192" t="s">
        <v>107</v>
      </c>
      <c r="G695" s="125">
        <v>1563.5</v>
      </c>
    </row>
    <row r="696" spans="1:7" ht="15">
      <c r="A696" s="136" t="s">
        <v>707</v>
      </c>
      <c r="B696" s="178"/>
      <c r="C696" s="148" t="s">
        <v>104</v>
      </c>
      <c r="D696" s="148" t="s">
        <v>398</v>
      </c>
      <c r="E696" s="148" t="s">
        <v>312</v>
      </c>
      <c r="F696" s="192" t="s">
        <v>439</v>
      </c>
      <c r="G696" s="125">
        <v>3425.6</v>
      </c>
    </row>
    <row r="697" spans="1:7" ht="28.5">
      <c r="A697" s="109" t="s">
        <v>454</v>
      </c>
      <c r="B697" s="178"/>
      <c r="C697" s="148" t="s">
        <v>104</v>
      </c>
      <c r="D697" s="148" t="s">
        <v>398</v>
      </c>
      <c r="E697" s="148" t="s">
        <v>312</v>
      </c>
      <c r="F697" s="192" t="s">
        <v>445</v>
      </c>
      <c r="G697" s="125">
        <v>1733.2</v>
      </c>
    </row>
    <row r="698" spans="1:7" ht="28.5">
      <c r="A698" s="109" t="s">
        <v>615</v>
      </c>
      <c r="B698" s="179"/>
      <c r="C698" s="141" t="s">
        <v>104</v>
      </c>
      <c r="D698" s="141" t="s">
        <v>398</v>
      </c>
      <c r="E698" s="141" t="s">
        <v>616</v>
      </c>
      <c r="F698" s="184"/>
      <c r="G698" s="118">
        <f>SUM(G699:G700)</f>
        <v>9899</v>
      </c>
    </row>
    <row r="699" spans="1:7" ht="28.5">
      <c r="A699" s="136" t="s">
        <v>675</v>
      </c>
      <c r="B699" s="179"/>
      <c r="C699" s="141" t="s">
        <v>104</v>
      </c>
      <c r="D699" s="141" t="s">
        <v>398</v>
      </c>
      <c r="E699" s="141" t="s">
        <v>616</v>
      </c>
      <c r="F699" s="184" t="s">
        <v>107</v>
      </c>
      <c r="G699" s="118">
        <v>1561.1</v>
      </c>
    </row>
    <row r="700" spans="1:7" ht="28.5">
      <c r="A700" s="109" t="s">
        <v>454</v>
      </c>
      <c r="B700" s="179"/>
      <c r="C700" s="141" t="s">
        <v>104</v>
      </c>
      <c r="D700" s="141" t="s">
        <v>398</v>
      </c>
      <c r="E700" s="141" t="s">
        <v>616</v>
      </c>
      <c r="F700" s="184" t="s">
        <v>445</v>
      </c>
      <c r="G700" s="118">
        <v>8337.9</v>
      </c>
    </row>
    <row r="701" spans="1:7" ht="15">
      <c r="A701" s="85" t="s">
        <v>289</v>
      </c>
      <c r="B701" s="156"/>
      <c r="C701" s="148" t="s">
        <v>104</v>
      </c>
      <c r="D701" s="148" t="s">
        <v>400</v>
      </c>
      <c r="E701" s="148"/>
      <c r="F701" s="192"/>
      <c r="G701" s="125">
        <f>SUM(G702+G716+G725+G730+G767)</f>
        <v>915003.5</v>
      </c>
    </row>
    <row r="702" spans="1:7" ht="15">
      <c r="A702" s="85" t="s">
        <v>290</v>
      </c>
      <c r="B702" s="156"/>
      <c r="C702" s="148" t="s">
        <v>104</v>
      </c>
      <c r="D702" s="148" t="s">
        <v>400</v>
      </c>
      <c r="E702" s="148" t="s">
        <v>291</v>
      </c>
      <c r="F702" s="192"/>
      <c r="G702" s="125">
        <f>G703+G711</f>
        <v>178817.5</v>
      </c>
    </row>
    <row r="703" spans="1:7" ht="15">
      <c r="A703" s="85" t="s">
        <v>13</v>
      </c>
      <c r="B703" s="156"/>
      <c r="C703" s="148" t="s">
        <v>104</v>
      </c>
      <c r="D703" s="148" t="s">
        <v>400</v>
      </c>
      <c r="E703" s="148" t="s">
        <v>80</v>
      </c>
      <c r="F703" s="192"/>
      <c r="G703" s="125">
        <f>G704+G706</f>
        <v>101184.9</v>
      </c>
    </row>
    <row r="704" spans="1:7" ht="28.5">
      <c r="A704" s="85" t="s">
        <v>175</v>
      </c>
      <c r="B704" s="156"/>
      <c r="C704" s="148" t="s">
        <v>104</v>
      </c>
      <c r="D704" s="148" t="s">
        <v>400</v>
      </c>
      <c r="E704" s="148" t="s">
        <v>81</v>
      </c>
      <c r="F704" s="192"/>
      <c r="G704" s="125">
        <f>SUM(G705)</f>
        <v>101002</v>
      </c>
    </row>
    <row r="705" spans="1:7" ht="28.5">
      <c r="A705" s="85" t="s">
        <v>447</v>
      </c>
      <c r="B705" s="156"/>
      <c r="C705" s="148" t="s">
        <v>104</v>
      </c>
      <c r="D705" s="148" t="s">
        <v>400</v>
      </c>
      <c r="E705" s="148" t="s">
        <v>81</v>
      </c>
      <c r="F705" s="192" t="s">
        <v>445</v>
      </c>
      <c r="G705" s="125">
        <v>101002</v>
      </c>
    </row>
    <row r="706" spans="1:7" ht="15">
      <c r="A706" s="194" t="s">
        <v>140</v>
      </c>
      <c r="B706" s="156"/>
      <c r="C706" s="148" t="s">
        <v>104</v>
      </c>
      <c r="D706" s="148" t="s">
        <v>400</v>
      </c>
      <c r="E706" s="148" t="s">
        <v>617</v>
      </c>
      <c r="F706" s="192"/>
      <c r="G706" s="125">
        <f>SUM(G709)+G707</f>
        <v>182.9</v>
      </c>
    </row>
    <row r="707" spans="1:7" ht="28.5">
      <c r="A707" s="194" t="s">
        <v>355</v>
      </c>
      <c r="B707" s="100"/>
      <c r="C707" s="112" t="s">
        <v>104</v>
      </c>
      <c r="D707" s="112" t="s">
        <v>400</v>
      </c>
      <c r="E707" s="112" t="s">
        <v>1246</v>
      </c>
      <c r="F707" s="95"/>
      <c r="G707" s="354">
        <f>SUM(G708)</f>
        <v>40</v>
      </c>
    </row>
    <row r="708" spans="1:7" ht="28.5">
      <c r="A708" s="294" t="s">
        <v>454</v>
      </c>
      <c r="B708" s="100"/>
      <c r="C708" s="112" t="s">
        <v>104</v>
      </c>
      <c r="D708" s="112" t="s">
        <v>400</v>
      </c>
      <c r="E708" s="112" t="s">
        <v>1246</v>
      </c>
      <c r="F708" s="95" t="s">
        <v>445</v>
      </c>
      <c r="G708" s="118">
        <v>40</v>
      </c>
    </row>
    <row r="709" spans="1:7" ht="15">
      <c r="A709" s="194" t="s">
        <v>183</v>
      </c>
      <c r="B709" s="162"/>
      <c r="C709" s="153" t="s">
        <v>104</v>
      </c>
      <c r="D709" s="153" t="s">
        <v>400</v>
      </c>
      <c r="E709" s="153" t="s">
        <v>618</v>
      </c>
      <c r="F709" s="387"/>
      <c r="G709" s="354">
        <f>SUM(G710)</f>
        <v>142.9</v>
      </c>
    </row>
    <row r="710" spans="1:7" ht="28.5">
      <c r="A710" s="109" t="s">
        <v>454</v>
      </c>
      <c r="B710" s="162"/>
      <c r="C710" s="153" t="s">
        <v>104</v>
      </c>
      <c r="D710" s="153" t="s">
        <v>400</v>
      </c>
      <c r="E710" s="153" t="s">
        <v>618</v>
      </c>
      <c r="F710" s="387" t="s">
        <v>445</v>
      </c>
      <c r="G710" s="354">
        <v>142.9</v>
      </c>
    </row>
    <row r="711" spans="1:7" ht="28.5">
      <c r="A711" s="85" t="s">
        <v>50</v>
      </c>
      <c r="B711" s="156"/>
      <c r="C711" s="148" t="s">
        <v>104</v>
      </c>
      <c r="D711" s="148" t="s">
        <v>400</v>
      </c>
      <c r="E711" s="148" t="s">
        <v>292</v>
      </c>
      <c r="F711" s="192"/>
      <c r="G711" s="125">
        <f>SUM(G712+G713+G715+G714)</f>
        <v>77632.59999999999</v>
      </c>
    </row>
    <row r="712" spans="1:7" s="66" customFormat="1" ht="28.5">
      <c r="A712" s="85" t="s">
        <v>428</v>
      </c>
      <c r="B712" s="156"/>
      <c r="C712" s="148" t="s">
        <v>104</v>
      </c>
      <c r="D712" s="148" t="s">
        <v>400</v>
      </c>
      <c r="E712" s="148" t="s">
        <v>292</v>
      </c>
      <c r="F712" s="192" t="s">
        <v>429</v>
      </c>
      <c r="G712" s="125">
        <v>33381.2</v>
      </c>
    </row>
    <row r="713" spans="1:7" s="66" customFormat="1" ht="28.5">
      <c r="A713" s="136" t="s">
        <v>675</v>
      </c>
      <c r="B713" s="156"/>
      <c r="C713" s="148" t="s">
        <v>104</v>
      </c>
      <c r="D713" s="148" t="s">
        <v>400</v>
      </c>
      <c r="E713" s="148" t="s">
        <v>292</v>
      </c>
      <c r="F713" s="192" t="s">
        <v>107</v>
      </c>
      <c r="G713" s="125">
        <v>31112.1</v>
      </c>
    </row>
    <row r="714" spans="1:7" s="66" customFormat="1" ht="15">
      <c r="A714" s="136" t="s">
        <v>707</v>
      </c>
      <c r="B714" s="156"/>
      <c r="C714" s="148" t="s">
        <v>104</v>
      </c>
      <c r="D714" s="148" t="s">
        <v>400</v>
      </c>
      <c r="E714" s="148" t="s">
        <v>292</v>
      </c>
      <c r="F714" s="192" t="s">
        <v>439</v>
      </c>
      <c r="G714" s="125">
        <v>18</v>
      </c>
    </row>
    <row r="715" spans="1:7" s="66" customFormat="1" ht="15">
      <c r="A715" s="85" t="s">
        <v>434</v>
      </c>
      <c r="B715" s="178"/>
      <c r="C715" s="148" t="s">
        <v>104</v>
      </c>
      <c r="D715" s="148" t="s">
        <v>400</v>
      </c>
      <c r="E715" s="148" t="s">
        <v>292</v>
      </c>
      <c r="F715" s="223">
        <v>800</v>
      </c>
      <c r="G715" s="125">
        <v>13121.3</v>
      </c>
    </row>
    <row r="716" spans="1:7" ht="15">
      <c r="A716" s="85" t="s">
        <v>275</v>
      </c>
      <c r="B716" s="161"/>
      <c r="C716" s="148" t="s">
        <v>104</v>
      </c>
      <c r="D716" s="148" t="s">
        <v>400</v>
      </c>
      <c r="E716" s="148" t="s">
        <v>276</v>
      </c>
      <c r="F716" s="192"/>
      <c r="G716" s="125">
        <f>SUM(G717)</f>
        <v>51871.7</v>
      </c>
    </row>
    <row r="717" spans="1:7" ht="15">
      <c r="A717" s="85" t="s">
        <v>525</v>
      </c>
      <c r="B717" s="156"/>
      <c r="C717" s="148" t="s">
        <v>104</v>
      </c>
      <c r="D717" s="148" t="s">
        <v>400</v>
      </c>
      <c r="E717" s="148" t="s">
        <v>72</v>
      </c>
      <c r="F717" s="192"/>
      <c r="G717" s="125">
        <f>SUM(G720)+G724</f>
        <v>51871.7</v>
      </c>
    </row>
    <row r="718" spans="1:7" ht="42.75" customHeight="1" hidden="1">
      <c r="A718" s="85" t="s">
        <v>180</v>
      </c>
      <c r="B718" s="156"/>
      <c r="C718" s="148" t="s">
        <v>104</v>
      </c>
      <c r="D718" s="148" t="s">
        <v>400</v>
      </c>
      <c r="E718" s="148" t="s">
        <v>181</v>
      </c>
      <c r="F718" s="192"/>
      <c r="G718" s="125">
        <f>SUM(G719)</f>
        <v>0</v>
      </c>
    </row>
    <row r="719" spans="1:7" ht="15" customHeight="1" hidden="1">
      <c r="A719" s="85" t="s">
        <v>140</v>
      </c>
      <c r="B719" s="156"/>
      <c r="C719" s="148" t="s">
        <v>104</v>
      </c>
      <c r="D719" s="148" t="s">
        <v>400</v>
      </c>
      <c r="E719" s="148" t="s">
        <v>181</v>
      </c>
      <c r="F719" s="192" t="s">
        <v>77</v>
      </c>
      <c r="G719" s="125"/>
    </row>
    <row r="720" spans="1:7" ht="28.5">
      <c r="A720" s="85" t="s">
        <v>84</v>
      </c>
      <c r="B720" s="156"/>
      <c r="C720" s="148" t="s">
        <v>104</v>
      </c>
      <c r="D720" s="148" t="s">
        <v>400</v>
      </c>
      <c r="E720" s="148" t="s">
        <v>73</v>
      </c>
      <c r="F720" s="192"/>
      <c r="G720" s="125">
        <f>SUM(G721)</f>
        <v>51821.7</v>
      </c>
    </row>
    <row r="721" spans="1:7" ht="28.5">
      <c r="A721" s="85" t="s">
        <v>447</v>
      </c>
      <c r="B721" s="156"/>
      <c r="C721" s="148" t="s">
        <v>104</v>
      </c>
      <c r="D721" s="148" t="s">
        <v>400</v>
      </c>
      <c r="E721" s="148" t="s">
        <v>73</v>
      </c>
      <c r="F721" s="192" t="s">
        <v>445</v>
      </c>
      <c r="G721" s="125">
        <v>51821.7</v>
      </c>
    </row>
    <row r="722" spans="1:7" ht="15">
      <c r="A722" s="194" t="s">
        <v>140</v>
      </c>
      <c r="B722" s="140"/>
      <c r="C722" s="141" t="s">
        <v>104</v>
      </c>
      <c r="D722" s="141" t="s">
        <v>400</v>
      </c>
      <c r="E722" s="141" t="s">
        <v>134</v>
      </c>
      <c r="F722" s="184"/>
      <c r="G722" s="118">
        <f>SUM(G723)</f>
        <v>50</v>
      </c>
    </row>
    <row r="723" spans="1:7" ht="15">
      <c r="A723" s="194" t="s">
        <v>183</v>
      </c>
      <c r="B723" s="140"/>
      <c r="C723" s="141" t="s">
        <v>104</v>
      </c>
      <c r="D723" s="141" t="s">
        <v>400</v>
      </c>
      <c r="E723" s="141" t="s">
        <v>187</v>
      </c>
      <c r="F723" s="184"/>
      <c r="G723" s="118">
        <f>SUM(G724)</f>
        <v>50</v>
      </c>
    </row>
    <row r="724" spans="1:7" ht="28.5">
      <c r="A724" s="109" t="s">
        <v>454</v>
      </c>
      <c r="B724" s="140"/>
      <c r="C724" s="141" t="s">
        <v>104</v>
      </c>
      <c r="D724" s="141" t="s">
        <v>400</v>
      </c>
      <c r="E724" s="141" t="s">
        <v>187</v>
      </c>
      <c r="F724" s="184" t="s">
        <v>445</v>
      </c>
      <c r="G724" s="118">
        <v>50</v>
      </c>
    </row>
    <row r="725" spans="1:7" ht="15">
      <c r="A725" s="85" t="s">
        <v>282</v>
      </c>
      <c r="B725" s="161"/>
      <c r="C725" s="148" t="s">
        <v>104</v>
      </c>
      <c r="D725" s="148" t="s">
        <v>400</v>
      </c>
      <c r="E725" s="148" t="s">
        <v>283</v>
      </c>
      <c r="F725" s="192"/>
      <c r="G725" s="125">
        <f>SUM(G726)</f>
        <v>6407.9</v>
      </c>
    </row>
    <row r="726" spans="1:7" ht="28.5">
      <c r="A726" s="85" t="s">
        <v>50</v>
      </c>
      <c r="B726" s="156"/>
      <c r="C726" s="148" t="s">
        <v>104</v>
      </c>
      <c r="D726" s="148" t="s">
        <v>400</v>
      </c>
      <c r="E726" s="148" t="s">
        <v>284</v>
      </c>
      <c r="F726" s="192"/>
      <c r="G726" s="125">
        <f>SUM(G727+G728+G729)</f>
        <v>6407.9</v>
      </c>
    </row>
    <row r="727" spans="1:7" ht="28.5">
      <c r="A727" s="85" t="s">
        <v>428</v>
      </c>
      <c r="B727" s="156"/>
      <c r="C727" s="148" t="s">
        <v>104</v>
      </c>
      <c r="D727" s="148" t="s">
        <v>400</v>
      </c>
      <c r="E727" s="148" t="s">
        <v>228</v>
      </c>
      <c r="F727" s="192" t="s">
        <v>429</v>
      </c>
      <c r="G727" s="125">
        <v>2570.5</v>
      </c>
    </row>
    <row r="728" spans="1:7" ht="28.5">
      <c r="A728" s="136" t="s">
        <v>675</v>
      </c>
      <c r="B728" s="156"/>
      <c r="C728" s="148" t="s">
        <v>104</v>
      </c>
      <c r="D728" s="148" t="s">
        <v>400</v>
      </c>
      <c r="E728" s="148" t="s">
        <v>228</v>
      </c>
      <c r="F728" s="192" t="s">
        <v>107</v>
      </c>
      <c r="G728" s="125">
        <v>2629</v>
      </c>
    </row>
    <row r="729" spans="1:7" ht="15">
      <c r="A729" s="85" t="s">
        <v>434</v>
      </c>
      <c r="B729" s="156"/>
      <c r="C729" s="148" t="s">
        <v>104</v>
      </c>
      <c r="D729" s="148" t="s">
        <v>400</v>
      </c>
      <c r="E729" s="148" t="s">
        <v>228</v>
      </c>
      <c r="F729" s="192" t="s">
        <v>152</v>
      </c>
      <c r="G729" s="125">
        <v>1208.4</v>
      </c>
    </row>
    <row r="730" spans="1:7" ht="28.5">
      <c r="A730" s="199" t="s">
        <v>619</v>
      </c>
      <c r="B730" s="140"/>
      <c r="C730" s="148" t="s">
        <v>104</v>
      </c>
      <c r="D730" s="148" t="s">
        <v>400</v>
      </c>
      <c r="E730" s="163" t="s">
        <v>620</v>
      </c>
      <c r="F730" s="393"/>
      <c r="G730" s="118">
        <f>SUM(G731+G745+G751+G754+G756+G758+G764)</f>
        <v>668375.8</v>
      </c>
    </row>
    <row r="731" spans="1:7" ht="71.25">
      <c r="A731" s="297" t="s">
        <v>708</v>
      </c>
      <c r="B731" s="156"/>
      <c r="C731" s="148" t="s">
        <v>104</v>
      </c>
      <c r="D731" s="148" t="s">
        <v>400</v>
      </c>
      <c r="E731" s="298" t="s">
        <v>709</v>
      </c>
      <c r="F731" s="299"/>
      <c r="G731" s="125">
        <f>G732+G735+G737+G743+G739+G741</f>
        <v>3736.5</v>
      </c>
    </row>
    <row r="732" spans="1:7" ht="28.5">
      <c r="A732" s="300" t="s">
        <v>710</v>
      </c>
      <c r="B732" s="156"/>
      <c r="C732" s="148" t="s">
        <v>104</v>
      </c>
      <c r="D732" s="148" t="s">
        <v>400</v>
      </c>
      <c r="E732" s="298" t="s">
        <v>711</v>
      </c>
      <c r="F732" s="299"/>
      <c r="G732" s="125">
        <f>G733+G734</f>
        <v>170.5</v>
      </c>
    </row>
    <row r="733" spans="1:7" ht="33" customHeight="1">
      <c r="A733" s="136" t="s">
        <v>675</v>
      </c>
      <c r="B733" s="156"/>
      <c r="C733" s="148" t="s">
        <v>104</v>
      </c>
      <c r="D733" s="148" t="s">
        <v>400</v>
      </c>
      <c r="E733" s="298" t="s">
        <v>711</v>
      </c>
      <c r="F733" s="192" t="s">
        <v>107</v>
      </c>
      <c r="G733" s="125">
        <v>118.8</v>
      </c>
    </row>
    <row r="734" spans="1:7" ht="28.5">
      <c r="A734" s="85" t="s">
        <v>454</v>
      </c>
      <c r="B734" s="156"/>
      <c r="C734" s="148" t="s">
        <v>104</v>
      </c>
      <c r="D734" s="148" t="s">
        <v>400</v>
      </c>
      <c r="E734" s="298" t="s">
        <v>711</v>
      </c>
      <c r="F734" s="192" t="s">
        <v>445</v>
      </c>
      <c r="G734" s="125">
        <v>51.7</v>
      </c>
    </row>
    <row r="735" spans="1:7" ht="28.5">
      <c r="A735" s="85" t="s">
        <v>712</v>
      </c>
      <c r="B735" s="156"/>
      <c r="C735" s="148" t="s">
        <v>104</v>
      </c>
      <c r="D735" s="148" t="s">
        <v>400</v>
      </c>
      <c r="E735" s="298" t="s">
        <v>713</v>
      </c>
      <c r="F735" s="192"/>
      <c r="G735" s="125">
        <v>86.6</v>
      </c>
    </row>
    <row r="736" spans="1:7" ht="28.5">
      <c r="A736" s="85" t="s">
        <v>454</v>
      </c>
      <c r="B736" s="156"/>
      <c r="C736" s="148" t="s">
        <v>104</v>
      </c>
      <c r="D736" s="148" t="s">
        <v>400</v>
      </c>
      <c r="E736" s="298" t="s">
        <v>713</v>
      </c>
      <c r="F736" s="192" t="s">
        <v>445</v>
      </c>
      <c r="G736" s="125">
        <v>86.6</v>
      </c>
    </row>
    <row r="737" spans="1:7" ht="71.25">
      <c r="A737" s="85" t="s">
        <v>1059</v>
      </c>
      <c r="B737" s="156"/>
      <c r="C737" s="148" t="s">
        <v>104</v>
      </c>
      <c r="D737" s="148" t="s">
        <v>400</v>
      </c>
      <c r="E737" s="298" t="s">
        <v>1060</v>
      </c>
      <c r="F737" s="192"/>
      <c r="G737" s="125">
        <f>SUM(G738)</f>
        <v>415.2</v>
      </c>
    </row>
    <row r="738" spans="1:7" ht="28.5">
      <c r="A738" s="85" t="s">
        <v>454</v>
      </c>
      <c r="B738" s="156"/>
      <c r="C738" s="148" t="s">
        <v>104</v>
      </c>
      <c r="D738" s="148" t="s">
        <v>400</v>
      </c>
      <c r="E738" s="298" t="s">
        <v>1060</v>
      </c>
      <c r="F738" s="192" t="s">
        <v>445</v>
      </c>
      <c r="G738" s="125">
        <v>415.2</v>
      </c>
    </row>
    <row r="739" spans="1:7" ht="57">
      <c r="A739" s="294" t="s">
        <v>1247</v>
      </c>
      <c r="B739" s="100"/>
      <c r="C739" s="89" t="s">
        <v>104</v>
      </c>
      <c r="D739" s="89" t="s">
        <v>400</v>
      </c>
      <c r="E739" s="117" t="s">
        <v>1248</v>
      </c>
      <c r="F739" s="532"/>
      <c r="G739" s="118">
        <f>G740</f>
        <v>493.9</v>
      </c>
    </row>
    <row r="740" spans="1:7" ht="28.5">
      <c r="A740" s="109" t="s">
        <v>675</v>
      </c>
      <c r="B740" s="100"/>
      <c r="C740" s="89" t="s">
        <v>104</v>
      </c>
      <c r="D740" s="89" t="s">
        <v>400</v>
      </c>
      <c r="E740" s="117" t="s">
        <v>1248</v>
      </c>
      <c r="F740" s="532">
        <v>200</v>
      </c>
      <c r="G740" s="118">
        <v>493.9</v>
      </c>
    </row>
    <row r="741" spans="1:7" ht="42.75">
      <c r="A741" s="109" t="s">
        <v>1249</v>
      </c>
      <c r="B741" s="100"/>
      <c r="C741" s="89" t="s">
        <v>104</v>
      </c>
      <c r="D741" s="89" t="s">
        <v>400</v>
      </c>
      <c r="E741" s="117" t="s">
        <v>1250</v>
      </c>
      <c r="F741" s="532"/>
      <c r="G741" s="118">
        <f>G742</f>
        <v>1082.4</v>
      </c>
    </row>
    <row r="742" spans="1:7" ht="28.5">
      <c r="A742" s="294" t="s">
        <v>454</v>
      </c>
      <c r="B742" s="100"/>
      <c r="C742" s="89" t="s">
        <v>104</v>
      </c>
      <c r="D742" s="89" t="s">
        <v>400</v>
      </c>
      <c r="E742" s="117" t="s">
        <v>1250</v>
      </c>
      <c r="F742" s="532">
        <v>600</v>
      </c>
      <c r="G742" s="118">
        <v>1082.4</v>
      </c>
    </row>
    <row r="743" spans="1:7" ht="28.5">
      <c r="A743" s="85" t="s">
        <v>1061</v>
      </c>
      <c r="B743" s="156"/>
      <c r="C743" s="148" t="s">
        <v>104</v>
      </c>
      <c r="D743" s="148" t="s">
        <v>400</v>
      </c>
      <c r="E743" s="298" t="s">
        <v>1062</v>
      </c>
      <c r="F743" s="192"/>
      <c r="G743" s="125">
        <f>SUM(G744)</f>
        <v>1487.9</v>
      </c>
    </row>
    <row r="744" spans="1:7" ht="28.5">
      <c r="A744" s="85" t="s">
        <v>454</v>
      </c>
      <c r="B744" s="156"/>
      <c r="C744" s="148" t="s">
        <v>104</v>
      </c>
      <c r="D744" s="148" t="s">
        <v>400</v>
      </c>
      <c r="E744" s="298" t="s">
        <v>1062</v>
      </c>
      <c r="F744" s="192" t="s">
        <v>445</v>
      </c>
      <c r="G744" s="125">
        <v>1487.9</v>
      </c>
    </row>
    <row r="745" spans="1:7" ht="99.75">
      <c r="A745" s="199" t="s">
        <v>621</v>
      </c>
      <c r="B745" s="145"/>
      <c r="C745" s="141" t="s">
        <v>104</v>
      </c>
      <c r="D745" s="141" t="s">
        <v>400</v>
      </c>
      <c r="E745" s="119" t="s">
        <v>622</v>
      </c>
      <c r="F745" s="184"/>
      <c r="G745" s="118">
        <f>SUM(G746+G748)</f>
        <v>54187.8</v>
      </c>
    </row>
    <row r="746" spans="1:7" ht="42.75">
      <c r="A746" s="199" t="s">
        <v>625</v>
      </c>
      <c r="B746" s="145"/>
      <c r="C746" s="141" t="s">
        <v>104</v>
      </c>
      <c r="D746" s="141" t="s">
        <v>400</v>
      </c>
      <c r="E746" s="119" t="s">
        <v>626</v>
      </c>
      <c r="F746" s="184"/>
      <c r="G746" s="118">
        <f>G747</f>
        <v>6261</v>
      </c>
    </row>
    <row r="747" spans="1:7" ht="28.5">
      <c r="A747" s="109" t="s">
        <v>447</v>
      </c>
      <c r="B747" s="145"/>
      <c r="C747" s="141" t="s">
        <v>104</v>
      </c>
      <c r="D747" s="141" t="s">
        <v>400</v>
      </c>
      <c r="E747" s="119" t="s">
        <v>626</v>
      </c>
      <c r="F747" s="184" t="s">
        <v>445</v>
      </c>
      <c r="G747" s="118">
        <v>6261</v>
      </c>
    </row>
    <row r="748" spans="1:7" ht="71.25">
      <c r="A748" s="199" t="s">
        <v>623</v>
      </c>
      <c r="B748" s="145"/>
      <c r="C748" s="141" t="s">
        <v>104</v>
      </c>
      <c r="D748" s="141" t="s">
        <v>400</v>
      </c>
      <c r="E748" s="119" t="s">
        <v>624</v>
      </c>
      <c r="F748" s="184"/>
      <c r="G748" s="118">
        <f>G749+G750</f>
        <v>47926.8</v>
      </c>
    </row>
    <row r="749" spans="1:7" ht="28.5">
      <c r="A749" s="109" t="s">
        <v>428</v>
      </c>
      <c r="B749" s="140"/>
      <c r="C749" s="141" t="s">
        <v>104</v>
      </c>
      <c r="D749" s="141" t="s">
        <v>400</v>
      </c>
      <c r="E749" s="119" t="s">
        <v>624</v>
      </c>
      <c r="F749" s="184" t="s">
        <v>429</v>
      </c>
      <c r="G749" s="118">
        <v>44606.3</v>
      </c>
    </row>
    <row r="750" spans="1:7" ht="28.5">
      <c r="A750" s="136" t="s">
        <v>675</v>
      </c>
      <c r="B750" s="140"/>
      <c r="C750" s="141" t="s">
        <v>104</v>
      </c>
      <c r="D750" s="141" t="s">
        <v>400</v>
      </c>
      <c r="E750" s="119" t="s">
        <v>624</v>
      </c>
      <c r="F750" s="184" t="s">
        <v>107</v>
      </c>
      <c r="G750" s="118">
        <v>3320.5</v>
      </c>
    </row>
    <row r="751" spans="1:7" ht="42.75">
      <c r="A751" s="136" t="s">
        <v>1251</v>
      </c>
      <c r="B751" s="140"/>
      <c r="C751" s="141" t="s">
        <v>104</v>
      </c>
      <c r="D751" s="141" t="s">
        <v>400</v>
      </c>
      <c r="E751" s="119" t="s">
        <v>1252</v>
      </c>
      <c r="F751" s="184"/>
      <c r="G751" s="118">
        <f>SUM(G752)</f>
        <v>600</v>
      </c>
    </row>
    <row r="752" spans="1:7" ht="71.25">
      <c r="A752" s="537" t="s">
        <v>1254</v>
      </c>
      <c r="B752" s="54"/>
      <c r="C752" s="89" t="s">
        <v>104</v>
      </c>
      <c r="D752" s="89" t="s">
        <v>400</v>
      </c>
      <c r="E752" s="119" t="s">
        <v>1253</v>
      </c>
      <c r="F752" s="95"/>
      <c r="G752" s="118">
        <f>G753</f>
        <v>600</v>
      </c>
    </row>
    <row r="753" spans="1:7" ht="28.5">
      <c r="A753" s="294" t="s">
        <v>447</v>
      </c>
      <c r="B753" s="54"/>
      <c r="C753" s="89" t="s">
        <v>104</v>
      </c>
      <c r="D753" s="89" t="s">
        <v>400</v>
      </c>
      <c r="E753" s="119" t="s">
        <v>1253</v>
      </c>
      <c r="F753" s="95" t="s">
        <v>445</v>
      </c>
      <c r="G753" s="118">
        <v>600</v>
      </c>
    </row>
    <row r="754" spans="1:7" ht="28.5">
      <c r="A754" s="537" t="s">
        <v>1255</v>
      </c>
      <c r="B754" s="54"/>
      <c r="C754" s="89" t="s">
        <v>104</v>
      </c>
      <c r="D754" s="89" t="s">
        <v>400</v>
      </c>
      <c r="E754" s="119" t="s">
        <v>1256</v>
      </c>
      <c r="F754" s="95"/>
      <c r="G754" s="118">
        <f>G755</f>
        <v>2582.4</v>
      </c>
    </row>
    <row r="755" spans="1:7" ht="28.5">
      <c r="A755" s="294" t="s">
        <v>447</v>
      </c>
      <c r="B755" s="54"/>
      <c r="C755" s="89" t="s">
        <v>104</v>
      </c>
      <c r="D755" s="89" t="s">
        <v>400</v>
      </c>
      <c r="E755" s="119" t="s">
        <v>1256</v>
      </c>
      <c r="F755" s="95" t="s">
        <v>445</v>
      </c>
      <c r="G755" s="118">
        <v>2582.4</v>
      </c>
    </row>
    <row r="756" spans="1:7" ht="28.5">
      <c r="A756" s="537" t="s">
        <v>1257</v>
      </c>
      <c r="B756" s="54"/>
      <c r="C756" s="89" t="s">
        <v>104</v>
      </c>
      <c r="D756" s="89" t="s">
        <v>400</v>
      </c>
      <c r="E756" s="119" t="s">
        <v>1258</v>
      </c>
      <c r="F756" s="95"/>
      <c r="G756" s="118">
        <f>G757</f>
        <v>3132.6</v>
      </c>
    </row>
    <row r="757" spans="1:7" ht="28.5">
      <c r="A757" s="109" t="s">
        <v>675</v>
      </c>
      <c r="B757" s="54"/>
      <c r="C757" s="89" t="s">
        <v>104</v>
      </c>
      <c r="D757" s="89" t="s">
        <v>400</v>
      </c>
      <c r="E757" s="119" t="s">
        <v>1258</v>
      </c>
      <c r="F757" s="95" t="s">
        <v>107</v>
      </c>
      <c r="G757" s="118">
        <v>3132.6</v>
      </c>
    </row>
    <row r="758" spans="1:7" ht="15">
      <c r="A758" s="85" t="s">
        <v>525</v>
      </c>
      <c r="B758" s="140"/>
      <c r="C758" s="141" t="s">
        <v>104</v>
      </c>
      <c r="D758" s="141" t="s">
        <v>400</v>
      </c>
      <c r="E758" s="119" t="s">
        <v>632</v>
      </c>
      <c r="F758" s="184"/>
      <c r="G758" s="118">
        <f>SUM(G759+G761)</f>
        <v>313774.4</v>
      </c>
    </row>
    <row r="759" spans="1:7" ht="28.5">
      <c r="A759" s="85" t="s">
        <v>84</v>
      </c>
      <c r="B759" s="140"/>
      <c r="C759" s="141" t="s">
        <v>104</v>
      </c>
      <c r="D759" s="141" t="s">
        <v>400</v>
      </c>
      <c r="E759" s="119" t="s">
        <v>629</v>
      </c>
      <c r="F759" s="184"/>
      <c r="G759" s="118">
        <f>SUM(G760)</f>
        <v>311135</v>
      </c>
    </row>
    <row r="760" spans="1:7" ht="28.5">
      <c r="A760" s="109" t="s">
        <v>447</v>
      </c>
      <c r="B760" s="145"/>
      <c r="C760" s="141" t="s">
        <v>104</v>
      </c>
      <c r="D760" s="141" t="s">
        <v>400</v>
      </c>
      <c r="E760" s="119" t="s">
        <v>629</v>
      </c>
      <c r="F760" s="184" t="s">
        <v>445</v>
      </c>
      <c r="G760" s="118">
        <v>311135</v>
      </c>
    </row>
    <row r="761" spans="1:7" ht="15">
      <c r="A761" s="194" t="s">
        <v>140</v>
      </c>
      <c r="B761" s="145"/>
      <c r="C761" s="141" t="s">
        <v>104</v>
      </c>
      <c r="D761" s="141" t="s">
        <v>400</v>
      </c>
      <c r="E761" s="119" t="s">
        <v>631</v>
      </c>
      <c r="F761" s="184"/>
      <c r="G761" s="118">
        <f>SUM(G762)</f>
        <v>2639.4</v>
      </c>
    </row>
    <row r="762" spans="1:7" ht="28.5">
      <c r="A762" s="109" t="s">
        <v>355</v>
      </c>
      <c r="B762" s="145"/>
      <c r="C762" s="141" t="s">
        <v>104</v>
      </c>
      <c r="D762" s="141" t="s">
        <v>400</v>
      </c>
      <c r="E762" s="119" t="s">
        <v>630</v>
      </c>
      <c r="F762" s="184"/>
      <c r="G762" s="118">
        <f>SUM(G763)</f>
        <v>2639.4</v>
      </c>
    </row>
    <row r="763" spans="1:7" ht="28.5">
      <c r="A763" s="109" t="s">
        <v>454</v>
      </c>
      <c r="B763" s="140"/>
      <c r="C763" s="141" t="s">
        <v>104</v>
      </c>
      <c r="D763" s="141" t="s">
        <v>400</v>
      </c>
      <c r="E763" s="119" t="s">
        <v>630</v>
      </c>
      <c r="F763" s="184" t="s">
        <v>445</v>
      </c>
      <c r="G763" s="118">
        <f>505.1+2134.3</f>
        <v>2639.4</v>
      </c>
    </row>
    <row r="764" spans="1:7" ht="57">
      <c r="A764" s="199" t="s">
        <v>627</v>
      </c>
      <c r="B764" s="145"/>
      <c r="C764" s="141" t="s">
        <v>104</v>
      </c>
      <c r="D764" s="141" t="s">
        <v>400</v>
      </c>
      <c r="E764" s="119" t="s">
        <v>628</v>
      </c>
      <c r="F764" s="184"/>
      <c r="G764" s="118">
        <f>SUM(G765:G766)</f>
        <v>290362.10000000003</v>
      </c>
    </row>
    <row r="765" spans="1:7" ht="28.5">
      <c r="A765" s="109" t="s">
        <v>428</v>
      </c>
      <c r="B765" s="145"/>
      <c r="C765" s="141" t="s">
        <v>104</v>
      </c>
      <c r="D765" s="141" t="s">
        <v>400</v>
      </c>
      <c r="E765" s="119" t="s">
        <v>628</v>
      </c>
      <c r="F765" s="184" t="s">
        <v>429</v>
      </c>
      <c r="G765" s="118">
        <v>286727.4</v>
      </c>
    </row>
    <row r="766" spans="1:7" ht="28.5">
      <c r="A766" s="136" t="s">
        <v>675</v>
      </c>
      <c r="B766" s="145"/>
      <c r="C766" s="141" t="s">
        <v>104</v>
      </c>
      <c r="D766" s="141" t="s">
        <v>400</v>
      </c>
      <c r="E766" s="119" t="s">
        <v>628</v>
      </c>
      <c r="F766" s="184" t="s">
        <v>107</v>
      </c>
      <c r="G766" s="118">
        <v>3634.7</v>
      </c>
    </row>
    <row r="767" spans="1:7" ht="15">
      <c r="A767" s="85" t="s">
        <v>512</v>
      </c>
      <c r="B767" s="145"/>
      <c r="C767" s="141" t="s">
        <v>104</v>
      </c>
      <c r="D767" s="141" t="s">
        <v>400</v>
      </c>
      <c r="E767" s="141" t="s">
        <v>116</v>
      </c>
      <c r="F767" s="184"/>
      <c r="G767" s="118">
        <f>SUM(G768+G771)</f>
        <v>9530.599999999999</v>
      </c>
    </row>
    <row r="768" spans="1:7" ht="28.5">
      <c r="A768" s="109" t="s">
        <v>615</v>
      </c>
      <c r="B768" s="179"/>
      <c r="C768" s="141" t="s">
        <v>104</v>
      </c>
      <c r="D768" s="141" t="s">
        <v>400</v>
      </c>
      <c r="E768" s="141" t="s">
        <v>616</v>
      </c>
      <c r="F768" s="184"/>
      <c r="G768" s="118">
        <f>SUM(G769:G770)</f>
        <v>8730.599999999999</v>
      </c>
    </row>
    <row r="769" spans="1:7" ht="28.5">
      <c r="A769" s="136" t="s">
        <v>675</v>
      </c>
      <c r="B769" s="179"/>
      <c r="C769" s="141" t="s">
        <v>104</v>
      </c>
      <c r="D769" s="141" t="s">
        <v>400</v>
      </c>
      <c r="E769" s="141" t="s">
        <v>616</v>
      </c>
      <c r="F769" s="184" t="s">
        <v>107</v>
      </c>
      <c r="G769" s="118">
        <v>4125.2</v>
      </c>
    </row>
    <row r="770" spans="1:7" ht="28.5">
      <c r="A770" s="109" t="s">
        <v>454</v>
      </c>
      <c r="B770" s="179"/>
      <c r="C770" s="141" t="s">
        <v>104</v>
      </c>
      <c r="D770" s="141" t="s">
        <v>400</v>
      </c>
      <c r="E770" s="141" t="s">
        <v>616</v>
      </c>
      <c r="F770" s="184" t="s">
        <v>445</v>
      </c>
      <c r="G770" s="118">
        <v>4605.4</v>
      </c>
    </row>
    <row r="771" spans="1:7" ht="28.5">
      <c r="A771" s="109" t="s">
        <v>633</v>
      </c>
      <c r="B771" s="179"/>
      <c r="C771" s="141" t="s">
        <v>104</v>
      </c>
      <c r="D771" s="141" t="s">
        <v>400</v>
      </c>
      <c r="E771" s="141" t="s">
        <v>634</v>
      </c>
      <c r="F771" s="184"/>
      <c r="G771" s="118">
        <f>SUM(G772:G775)</f>
        <v>800</v>
      </c>
    </row>
    <row r="772" spans="1:7" ht="28.5">
      <c r="A772" s="109" t="s">
        <v>428</v>
      </c>
      <c r="B772" s="179"/>
      <c r="C772" s="141" t="s">
        <v>104</v>
      </c>
      <c r="D772" s="141" t="s">
        <v>400</v>
      </c>
      <c r="E772" s="141" t="s">
        <v>634</v>
      </c>
      <c r="F772" s="184" t="s">
        <v>429</v>
      </c>
      <c r="G772" s="118">
        <v>69.8</v>
      </c>
    </row>
    <row r="773" spans="1:7" ht="28.5">
      <c r="A773" s="136" t="s">
        <v>675</v>
      </c>
      <c r="B773" s="179"/>
      <c r="C773" s="141" t="s">
        <v>104</v>
      </c>
      <c r="D773" s="141" t="s">
        <v>400</v>
      </c>
      <c r="E773" s="141" t="s">
        <v>634</v>
      </c>
      <c r="F773" s="184" t="s">
        <v>107</v>
      </c>
      <c r="G773" s="118">
        <v>373</v>
      </c>
    </row>
    <row r="774" spans="1:7" ht="15">
      <c r="A774" s="136" t="s">
        <v>707</v>
      </c>
      <c r="B774" s="179"/>
      <c r="C774" s="141" t="s">
        <v>104</v>
      </c>
      <c r="D774" s="141" t="s">
        <v>400</v>
      </c>
      <c r="E774" s="141" t="s">
        <v>634</v>
      </c>
      <c r="F774" s="184" t="s">
        <v>439</v>
      </c>
      <c r="G774" s="118">
        <v>81.2</v>
      </c>
    </row>
    <row r="775" spans="1:7" ht="28.5">
      <c r="A775" s="109" t="s">
        <v>454</v>
      </c>
      <c r="B775" s="179"/>
      <c r="C775" s="141" t="s">
        <v>104</v>
      </c>
      <c r="D775" s="141" t="s">
        <v>400</v>
      </c>
      <c r="E775" s="141" t="s">
        <v>634</v>
      </c>
      <c r="F775" s="184" t="s">
        <v>445</v>
      </c>
      <c r="G775" s="118">
        <v>276</v>
      </c>
    </row>
    <row r="776" spans="1:7" ht="18.75" customHeight="1">
      <c r="A776" s="85" t="s">
        <v>105</v>
      </c>
      <c r="B776" s="161"/>
      <c r="C776" s="148" t="s">
        <v>104</v>
      </c>
      <c r="D776" s="148" t="s">
        <v>104</v>
      </c>
      <c r="E776" s="148"/>
      <c r="F776" s="192"/>
      <c r="G776" s="125">
        <f>SUM(G781+G788+G777+G794)</f>
        <v>31562.800000000003</v>
      </c>
    </row>
    <row r="777" spans="1:7" ht="15">
      <c r="A777" s="85" t="s">
        <v>330</v>
      </c>
      <c r="B777" s="161"/>
      <c r="C777" s="148" t="s">
        <v>104</v>
      </c>
      <c r="D777" s="148" t="s">
        <v>104</v>
      </c>
      <c r="E777" s="148" t="s">
        <v>440</v>
      </c>
      <c r="F777" s="192"/>
      <c r="G777" s="125">
        <f>G778</f>
        <v>298</v>
      </c>
    </row>
    <row r="778" spans="1:7" ht="28.5">
      <c r="A778" s="136" t="s">
        <v>675</v>
      </c>
      <c r="B778" s="161"/>
      <c r="C778" s="148" t="s">
        <v>104</v>
      </c>
      <c r="D778" s="148" t="s">
        <v>104</v>
      </c>
      <c r="E778" s="148" t="s">
        <v>440</v>
      </c>
      <c r="F778" s="192" t="s">
        <v>107</v>
      </c>
      <c r="G778" s="125">
        <v>298</v>
      </c>
    </row>
    <row r="779" spans="1:7" ht="15" customHeight="1" hidden="1">
      <c r="A779" s="85" t="s">
        <v>211</v>
      </c>
      <c r="B779" s="161"/>
      <c r="C779" s="148" t="s">
        <v>104</v>
      </c>
      <c r="D779" s="148" t="s">
        <v>104</v>
      </c>
      <c r="E779" s="148" t="s">
        <v>331</v>
      </c>
      <c r="F779" s="192" t="s">
        <v>212</v>
      </c>
      <c r="G779" s="125"/>
    </row>
    <row r="780" spans="1:7" ht="15" customHeight="1" hidden="1">
      <c r="A780" s="85" t="s">
        <v>191</v>
      </c>
      <c r="B780" s="161"/>
      <c r="C780" s="148" t="s">
        <v>104</v>
      </c>
      <c r="D780" s="148" t="s">
        <v>104</v>
      </c>
      <c r="E780" s="148" t="s">
        <v>331</v>
      </c>
      <c r="F780" s="192" t="s">
        <v>192</v>
      </c>
      <c r="G780" s="125"/>
    </row>
    <row r="781" spans="1:7" ht="15">
      <c r="A781" s="85" t="s">
        <v>193</v>
      </c>
      <c r="B781" s="161"/>
      <c r="C781" s="148" t="s">
        <v>104</v>
      </c>
      <c r="D781" s="148" t="s">
        <v>104</v>
      </c>
      <c r="E781" s="148" t="s">
        <v>194</v>
      </c>
      <c r="F781" s="192"/>
      <c r="G781" s="125">
        <f>SUM(G784+G782)</f>
        <v>1645.2000000000003</v>
      </c>
    </row>
    <row r="782" spans="1:7" ht="28.5" customHeight="1" hidden="1">
      <c r="A782" s="85" t="s">
        <v>221</v>
      </c>
      <c r="B782" s="161"/>
      <c r="C782" s="148" t="s">
        <v>104</v>
      </c>
      <c r="D782" s="148" t="s">
        <v>104</v>
      </c>
      <c r="E782" s="148" t="s">
        <v>182</v>
      </c>
      <c r="F782" s="192"/>
      <c r="G782" s="125"/>
    </row>
    <row r="783" spans="1:7" ht="15" customHeight="1" hidden="1">
      <c r="A783" s="85" t="s">
        <v>51</v>
      </c>
      <c r="B783" s="161"/>
      <c r="C783" s="148" t="s">
        <v>104</v>
      </c>
      <c r="D783" s="148" t="s">
        <v>104</v>
      </c>
      <c r="E783" s="148" t="s">
        <v>182</v>
      </c>
      <c r="F783" s="192"/>
      <c r="G783" s="125"/>
    </row>
    <row r="784" spans="1:7" ht="28.5">
      <c r="A784" s="85" t="s">
        <v>50</v>
      </c>
      <c r="B784" s="161"/>
      <c r="C784" s="148" t="s">
        <v>104</v>
      </c>
      <c r="D784" s="148" t="s">
        <v>104</v>
      </c>
      <c r="E784" s="148" t="s">
        <v>197</v>
      </c>
      <c r="F784" s="192"/>
      <c r="G784" s="125">
        <f>SUM(G785+G786+G787)</f>
        <v>1645.2000000000003</v>
      </c>
    </row>
    <row r="785" spans="1:7" ht="28.5">
      <c r="A785" s="85" t="s">
        <v>428</v>
      </c>
      <c r="B785" s="161"/>
      <c r="C785" s="148" t="s">
        <v>104</v>
      </c>
      <c r="D785" s="148" t="s">
        <v>104</v>
      </c>
      <c r="E785" s="148" t="s">
        <v>197</v>
      </c>
      <c r="F785" s="192" t="s">
        <v>429</v>
      </c>
      <c r="G785" s="125">
        <v>1448.9</v>
      </c>
    </row>
    <row r="786" spans="1:7" ht="28.5">
      <c r="A786" s="136" t="s">
        <v>675</v>
      </c>
      <c r="B786" s="161"/>
      <c r="C786" s="148" t="s">
        <v>104</v>
      </c>
      <c r="D786" s="148" t="s">
        <v>104</v>
      </c>
      <c r="E786" s="148" t="s">
        <v>197</v>
      </c>
      <c r="F786" s="192" t="s">
        <v>107</v>
      </c>
      <c r="G786" s="125">
        <v>188.4</v>
      </c>
    </row>
    <row r="787" spans="1:7" ht="15.75" customHeight="1">
      <c r="A787" s="85" t="s">
        <v>434</v>
      </c>
      <c r="B787" s="161"/>
      <c r="C787" s="148" t="s">
        <v>104</v>
      </c>
      <c r="D787" s="148" t="s">
        <v>104</v>
      </c>
      <c r="E787" s="148" t="s">
        <v>197</v>
      </c>
      <c r="F787" s="192" t="s">
        <v>152</v>
      </c>
      <c r="G787" s="125">
        <v>7.9</v>
      </c>
    </row>
    <row r="788" spans="1:7" ht="28.5">
      <c r="A788" s="86" t="s">
        <v>1063</v>
      </c>
      <c r="B788" s="161"/>
      <c r="C788" s="148" t="s">
        <v>104</v>
      </c>
      <c r="D788" s="148" t="s">
        <v>104</v>
      </c>
      <c r="E788" s="148" t="s">
        <v>620</v>
      </c>
      <c r="F788" s="192"/>
      <c r="G788" s="125">
        <f>SUM(G789)</f>
        <v>23899.2</v>
      </c>
    </row>
    <row r="789" spans="1:7" ht="71.25">
      <c r="A789" s="297" t="s">
        <v>708</v>
      </c>
      <c r="B789" s="161"/>
      <c r="C789" s="148" t="s">
        <v>104</v>
      </c>
      <c r="D789" s="148" t="s">
        <v>104</v>
      </c>
      <c r="E789" s="148" t="s">
        <v>709</v>
      </c>
      <c r="F789" s="192"/>
      <c r="G789" s="125">
        <f>SUM(G790)</f>
        <v>23899.2</v>
      </c>
    </row>
    <row r="790" spans="1:7" ht="15">
      <c r="A790" s="86" t="s">
        <v>1064</v>
      </c>
      <c r="B790" s="161"/>
      <c r="C790" s="148" t="s">
        <v>104</v>
      </c>
      <c r="D790" s="148" t="s">
        <v>104</v>
      </c>
      <c r="E790" s="148" t="s">
        <v>1065</v>
      </c>
      <c r="F790" s="192"/>
      <c r="G790" s="125">
        <f>SUM(G791:G793)</f>
        <v>23899.2</v>
      </c>
    </row>
    <row r="791" spans="1:7" ht="28.5">
      <c r="A791" s="136" t="s">
        <v>675</v>
      </c>
      <c r="B791" s="161"/>
      <c r="C791" s="148" t="s">
        <v>104</v>
      </c>
      <c r="D791" s="148" t="s">
        <v>104</v>
      </c>
      <c r="E791" s="148" t="s">
        <v>1065</v>
      </c>
      <c r="F791" s="192" t="s">
        <v>107</v>
      </c>
      <c r="G791" s="125">
        <v>2845.8</v>
      </c>
    </row>
    <row r="792" spans="1:7" ht="28.5">
      <c r="A792" s="109" t="s">
        <v>454</v>
      </c>
      <c r="B792" s="161"/>
      <c r="C792" s="148" t="s">
        <v>104</v>
      </c>
      <c r="D792" s="148" t="s">
        <v>104</v>
      </c>
      <c r="E792" s="148" t="s">
        <v>1065</v>
      </c>
      <c r="F792" s="192" t="s">
        <v>445</v>
      </c>
      <c r="G792" s="125">
        <v>6649.4</v>
      </c>
    </row>
    <row r="793" spans="1:7" ht="15">
      <c r="A793" s="85" t="s">
        <v>434</v>
      </c>
      <c r="B793" s="161"/>
      <c r="C793" s="148" t="s">
        <v>104</v>
      </c>
      <c r="D793" s="148" t="s">
        <v>104</v>
      </c>
      <c r="E793" s="148" t="s">
        <v>1065</v>
      </c>
      <c r="F793" s="192" t="s">
        <v>152</v>
      </c>
      <c r="G793" s="125">
        <v>14404</v>
      </c>
    </row>
    <row r="794" spans="1:7" ht="15">
      <c r="A794" s="85" t="s">
        <v>512</v>
      </c>
      <c r="B794" s="157"/>
      <c r="C794" s="148" t="s">
        <v>104</v>
      </c>
      <c r="D794" s="148" t="s">
        <v>104</v>
      </c>
      <c r="E794" s="148" t="s">
        <v>116</v>
      </c>
      <c r="F794" s="192"/>
      <c r="G794" s="125">
        <f>SUM(G801)+G795+G797</f>
        <v>5720.4</v>
      </c>
    </row>
    <row r="795" spans="1:7" ht="42.75">
      <c r="A795" s="109" t="s">
        <v>635</v>
      </c>
      <c r="B795" s="150"/>
      <c r="C795" s="141" t="s">
        <v>104</v>
      </c>
      <c r="D795" s="141" t="s">
        <v>104</v>
      </c>
      <c r="E795" s="141" t="s">
        <v>636</v>
      </c>
      <c r="F795" s="184"/>
      <c r="G795" s="118">
        <f>G796</f>
        <v>10</v>
      </c>
    </row>
    <row r="796" spans="1:7" ht="28.5">
      <c r="A796" s="136" t="s">
        <v>675</v>
      </c>
      <c r="B796" s="150"/>
      <c r="C796" s="141" t="s">
        <v>104</v>
      </c>
      <c r="D796" s="141" t="s">
        <v>104</v>
      </c>
      <c r="E796" s="141" t="s">
        <v>636</v>
      </c>
      <c r="F796" s="184" t="s">
        <v>107</v>
      </c>
      <c r="G796" s="118">
        <v>10</v>
      </c>
    </row>
    <row r="797" spans="1:7" ht="28.5">
      <c r="A797" s="86" t="s">
        <v>714</v>
      </c>
      <c r="B797" s="161"/>
      <c r="C797" s="148" t="s">
        <v>104</v>
      </c>
      <c r="D797" s="148" t="s">
        <v>104</v>
      </c>
      <c r="E797" s="148" t="s">
        <v>715</v>
      </c>
      <c r="F797" s="192"/>
      <c r="G797" s="125">
        <f>SUM(G798+G800)+G799</f>
        <v>4654.9</v>
      </c>
    </row>
    <row r="798" spans="1:7" ht="15">
      <c r="A798" s="85" t="s">
        <v>433</v>
      </c>
      <c r="B798" s="161"/>
      <c r="C798" s="148" t="s">
        <v>104</v>
      </c>
      <c r="D798" s="148" t="s">
        <v>104</v>
      </c>
      <c r="E798" s="148" t="s">
        <v>715</v>
      </c>
      <c r="F798" s="192" t="s">
        <v>107</v>
      </c>
      <c r="G798" s="125">
        <v>1741.4</v>
      </c>
    </row>
    <row r="799" spans="1:7" ht="28.5">
      <c r="A799" s="109" t="s">
        <v>454</v>
      </c>
      <c r="B799" s="161"/>
      <c r="C799" s="148" t="s">
        <v>104</v>
      </c>
      <c r="D799" s="148" t="s">
        <v>104</v>
      </c>
      <c r="E799" s="148" t="s">
        <v>715</v>
      </c>
      <c r="F799" s="192" t="s">
        <v>445</v>
      </c>
      <c r="G799" s="125">
        <v>2309.4</v>
      </c>
    </row>
    <row r="800" spans="1:7" ht="15">
      <c r="A800" s="85" t="s">
        <v>434</v>
      </c>
      <c r="B800" s="161"/>
      <c r="C800" s="148" t="s">
        <v>104</v>
      </c>
      <c r="D800" s="148" t="s">
        <v>104</v>
      </c>
      <c r="E800" s="148" t="s">
        <v>715</v>
      </c>
      <c r="F800" s="192" t="s">
        <v>152</v>
      </c>
      <c r="G800" s="125">
        <v>604.1</v>
      </c>
    </row>
    <row r="801" spans="1:7" ht="15">
      <c r="A801" s="200" t="s">
        <v>527</v>
      </c>
      <c r="B801" s="157"/>
      <c r="C801" s="148" t="s">
        <v>104</v>
      </c>
      <c r="D801" s="148" t="s">
        <v>104</v>
      </c>
      <c r="E801" s="148" t="s">
        <v>86</v>
      </c>
      <c r="F801" s="192"/>
      <c r="G801" s="127">
        <f>SUM(G802:G804)</f>
        <v>1055.5</v>
      </c>
    </row>
    <row r="802" spans="1:7" ht="28.5">
      <c r="A802" s="109" t="s">
        <v>428</v>
      </c>
      <c r="B802" s="157"/>
      <c r="C802" s="148" t="s">
        <v>104</v>
      </c>
      <c r="D802" s="148" t="s">
        <v>104</v>
      </c>
      <c r="E802" s="148" t="s">
        <v>86</v>
      </c>
      <c r="F802" s="192" t="s">
        <v>429</v>
      </c>
      <c r="G802" s="127">
        <v>10.2</v>
      </c>
    </row>
    <row r="803" spans="1:7" ht="28.5">
      <c r="A803" s="136" t="s">
        <v>675</v>
      </c>
      <c r="B803" s="157"/>
      <c r="C803" s="148" t="s">
        <v>104</v>
      </c>
      <c r="D803" s="148" t="s">
        <v>104</v>
      </c>
      <c r="E803" s="148" t="s">
        <v>86</v>
      </c>
      <c r="F803" s="192" t="s">
        <v>107</v>
      </c>
      <c r="G803" s="127">
        <v>809.2</v>
      </c>
    </row>
    <row r="804" spans="1:7" ht="28.5">
      <c r="A804" s="109" t="s">
        <v>454</v>
      </c>
      <c r="B804" s="157"/>
      <c r="C804" s="148" t="s">
        <v>104</v>
      </c>
      <c r="D804" s="148" t="s">
        <v>104</v>
      </c>
      <c r="E804" s="148" t="s">
        <v>86</v>
      </c>
      <c r="F804" s="192" t="s">
        <v>445</v>
      </c>
      <c r="G804" s="127">
        <v>236.1</v>
      </c>
    </row>
    <row r="805" spans="1:7" ht="15">
      <c r="A805" s="85" t="s">
        <v>199</v>
      </c>
      <c r="B805" s="161"/>
      <c r="C805" s="148" t="s">
        <v>104</v>
      </c>
      <c r="D805" s="148" t="s">
        <v>259</v>
      </c>
      <c r="E805" s="148"/>
      <c r="F805" s="192"/>
      <c r="G805" s="125">
        <f>G806</f>
        <v>33919.6</v>
      </c>
    </row>
    <row r="806" spans="1:7" ht="42.75">
      <c r="A806" s="86" t="s">
        <v>251</v>
      </c>
      <c r="B806" s="161"/>
      <c r="C806" s="148" t="s">
        <v>104</v>
      </c>
      <c r="D806" s="148" t="s">
        <v>259</v>
      </c>
      <c r="E806" s="148" t="s">
        <v>252</v>
      </c>
      <c r="F806" s="192"/>
      <c r="G806" s="125">
        <f>SUM(G807)</f>
        <v>33919.6</v>
      </c>
    </row>
    <row r="807" spans="1:7" ht="28.5">
      <c r="A807" s="85" t="s">
        <v>50</v>
      </c>
      <c r="B807" s="161"/>
      <c r="C807" s="148" t="s">
        <v>104</v>
      </c>
      <c r="D807" s="148" t="s">
        <v>259</v>
      </c>
      <c r="E807" s="148" t="s">
        <v>253</v>
      </c>
      <c r="F807" s="192"/>
      <c r="G807" s="125">
        <f>SUM(G808+G809+G810)</f>
        <v>33919.6</v>
      </c>
    </row>
    <row r="808" spans="1:7" s="70" customFormat="1" ht="28.5">
      <c r="A808" s="85" t="s">
        <v>428</v>
      </c>
      <c r="B808" s="161"/>
      <c r="C808" s="148" t="s">
        <v>104</v>
      </c>
      <c r="D808" s="148" t="s">
        <v>259</v>
      </c>
      <c r="E808" s="148" t="s">
        <v>253</v>
      </c>
      <c r="F808" s="192" t="s">
        <v>429</v>
      </c>
      <c r="G808" s="125">
        <v>29659.6</v>
      </c>
    </row>
    <row r="809" spans="1:7" ht="28.5">
      <c r="A809" s="136" t="s">
        <v>675</v>
      </c>
      <c r="B809" s="157"/>
      <c r="C809" s="148" t="s">
        <v>104</v>
      </c>
      <c r="D809" s="148" t="s">
        <v>259</v>
      </c>
      <c r="E809" s="148" t="s">
        <v>253</v>
      </c>
      <c r="F809" s="192" t="s">
        <v>107</v>
      </c>
      <c r="G809" s="125">
        <v>3865.1</v>
      </c>
    </row>
    <row r="810" spans="1:7" ht="15">
      <c r="A810" s="85" t="s">
        <v>434</v>
      </c>
      <c r="B810" s="161"/>
      <c r="C810" s="148" t="s">
        <v>104</v>
      </c>
      <c r="D810" s="148" t="s">
        <v>259</v>
      </c>
      <c r="E810" s="148" t="s">
        <v>253</v>
      </c>
      <c r="F810" s="192" t="s">
        <v>152</v>
      </c>
      <c r="G810" s="125">
        <v>394.9</v>
      </c>
    </row>
    <row r="811" spans="1:7" ht="15">
      <c r="A811" s="85" t="s">
        <v>159</v>
      </c>
      <c r="B811" s="161"/>
      <c r="C811" s="148" t="s">
        <v>5</v>
      </c>
      <c r="D811" s="148"/>
      <c r="E811" s="148"/>
      <c r="F811" s="192"/>
      <c r="G811" s="125">
        <f>SUM(G818)+G812</f>
        <v>41796.5</v>
      </c>
    </row>
    <row r="812" spans="1:7" ht="15">
      <c r="A812" s="85" t="s">
        <v>23</v>
      </c>
      <c r="B812" s="161"/>
      <c r="C812" s="171" t="s">
        <v>5</v>
      </c>
      <c r="D812" s="171" t="s">
        <v>95</v>
      </c>
      <c r="E812" s="171"/>
      <c r="F812" s="192"/>
      <c r="G812" s="125">
        <f>SUM(G813)</f>
        <v>3405.7</v>
      </c>
    </row>
    <row r="813" spans="1:7" ht="15">
      <c r="A813" s="85" t="s">
        <v>24</v>
      </c>
      <c r="B813" s="161"/>
      <c r="C813" s="171" t="s">
        <v>5</v>
      </c>
      <c r="D813" s="171" t="s">
        <v>95</v>
      </c>
      <c r="E813" s="171" t="s">
        <v>25</v>
      </c>
      <c r="F813" s="192"/>
      <c r="G813" s="125">
        <f>SUM(G814)</f>
        <v>3405.7</v>
      </c>
    </row>
    <row r="814" spans="1:7" ht="15">
      <c r="A814" s="85" t="s">
        <v>250</v>
      </c>
      <c r="B814" s="170"/>
      <c r="C814" s="171" t="s">
        <v>5</v>
      </c>
      <c r="D814" s="171" t="s">
        <v>95</v>
      </c>
      <c r="E814" s="171" t="s">
        <v>504</v>
      </c>
      <c r="F814" s="188"/>
      <c r="G814" s="126">
        <f>SUM(G815)</f>
        <v>3405.7</v>
      </c>
    </row>
    <row r="815" spans="1:7" ht="42.75">
      <c r="A815" s="85" t="s">
        <v>413</v>
      </c>
      <c r="B815" s="170"/>
      <c r="C815" s="171" t="s">
        <v>5</v>
      </c>
      <c r="D815" s="171" t="s">
        <v>95</v>
      </c>
      <c r="E815" s="171" t="s">
        <v>507</v>
      </c>
      <c r="F815" s="188"/>
      <c r="G815" s="127">
        <f>SUM(G816:G817)</f>
        <v>3405.7</v>
      </c>
    </row>
    <row r="816" spans="1:7" ht="15">
      <c r="A816" s="85" t="s">
        <v>438</v>
      </c>
      <c r="B816" s="170"/>
      <c r="C816" s="171" t="s">
        <v>5</v>
      </c>
      <c r="D816" s="171" t="s">
        <v>95</v>
      </c>
      <c r="E816" s="171" t="s">
        <v>507</v>
      </c>
      <c r="F816" s="188" t="s">
        <v>439</v>
      </c>
      <c r="G816" s="126">
        <v>3186.1</v>
      </c>
    </row>
    <row r="817" spans="1:7" ht="28.5">
      <c r="A817" s="109" t="s">
        <v>454</v>
      </c>
      <c r="B817" s="170"/>
      <c r="C817" s="171" t="s">
        <v>5</v>
      </c>
      <c r="D817" s="171" t="s">
        <v>95</v>
      </c>
      <c r="E817" s="171" t="s">
        <v>507</v>
      </c>
      <c r="F817" s="188" t="s">
        <v>445</v>
      </c>
      <c r="G817" s="127">
        <v>219.6</v>
      </c>
    </row>
    <row r="818" spans="1:7" ht="15">
      <c r="A818" s="86" t="s">
        <v>141</v>
      </c>
      <c r="B818" s="161"/>
      <c r="C818" s="148" t="s">
        <v>5</v>
      </c>
      <c r="D818" s="148" t="s">
        <v>109</v>
      </c>
      <c r="E818" s="148"/>
      <c r="F818" s="192"/>
      <c r="G818" s="125">
        <f>SUM(G819)+G822</f>
        <v>38390.8</v>
      </c>
    </row>
    <row r="819" spans="1:7" ht="28.5">
      <c r="A819" s="199" t="s">
        <v>619</v>
      </c>
      <c r="B819" s="145"/>
      <c r="C819" s="141" t="s">
        <v>5</v>
      </c>
      <c r="D819" s="141" t="s">
        <v>109</v>
      </c>
      <c r="E819" s="119" t="s">
        <v>620</v>
      </c>
      <c r="F819" s="184"/>
      <c r="G819" s="118">
        <f>SUM(G820)</f>
        <v>9511.5</v>
      </c>
    </row>
    <row r="820" spans="1:7" ht="99.75">
      <c r="A820" s="199" t="s">
        <v>621</v>
      </c>
      <c r="B820" s="145"/>
      <c r="C820" s="141" t="s">
        <v>5</v>
      </c>
      <c r="D820" s="141" t="s">
        <v>109</v>
      </c>
      <c r="E820" s="119" t="s">
        <v>622</v>
      </c>
      <c r="F820" s="383"/>
      <c r="G820" s="118">
        <f>G821</f>
        <v>9511.5</v>
      </c>
    </row>
    <row r="821" spans="1:7" ht="15">
      <c r="A821" s="85" t="s">
        <v>438</v>
      </c>
      <c r="B821" s="145"/>
      <c r="C821" s="141" t="s">
        <v>5</v>
      </c>
      <c r="D821" s="141" t="s">
        <v>109</v>
      </c>
      <c r="E821" s="119" t="s">
        <v>638</v>
      </c>
      <c r="F821" s="184" t="s">
        <v>439</v>
      </c>
      <c r="G821" s="118">
        <v>9511.5</v>
      </c>
    </row>
    <row r="822" spans="1:7" ht="28.5">
      <c r="A822" s="199" t="s">
        <v>609</v>
      </c>
      <c r="B822" s="145"/>
      <c r="C822" s="141" t="s">
        <v>5</v>
      </c>
      <c r="D822" s="141" t="s">
        <v>109</v>
      </c>
      <c r="E822" s="163" t="s">
        <v>610</v>
      </c>
      <c r="F822" s="184"/>
      <c r="G822" s="118">
        <f>SUM(G823)</f>
        <v>28879.3</v>
      </c>
    </row>
    <row r="823" spans="1:7" ht="99.75">
      <c r="A823" s="199" t="s">
        <v>639</v>
      </c>
      <c r="B823" s="145"/>
      <c r="C823" s="141" t="s">
        <v>5</v>
      </c>
      <c r="D823" s="141" t="s">
        <v>109</v>
      </c>
      <c r="E823" s="163" t="s">
        <v>640</v>
      </c>
      <c r="F823" s="184"/>
      <c r="G823" s="118">
        <f>SUM(G824)</f>
        <v>28879.3</v>
      </c>
    </row>
    <row r="824" spans="1:7" ht="15">
      <c r="A824" s="85" t="s">
        <v>438</v>
      </c>
      <c r="B824" s="145"/>
      <c r="C824" s="141" t="s">
        <v>5</v>
      </c>
      <c r="D824" s="141" t="s">
        <v>109</v>
      </c>
      <c r="E824" s="119" t="s">
        <v>642</v>
      </c>
      <c r="F824" s="184" t="s">
        <v>439</v>
      </c>
      <c r="G824" s="118">
        <v>28879.3</v>
      </c>
    </row>
    <row r="825" spans="1:7" ht="15">
      <c r="A825" s="142" t="s">
        <v>262</v>
      </c>
      <c r="B825" s="143" t="s">
        <v>229</v>
      </c>
      <c r="C825" s="141"/>
      <c r="D825" s="141"/>
      <c r="E825" s="141"/>
      <c r="F825" s="184"/>
      <c r="G825" s="541">
        <f>SUM(G826+G855+G938)</f>
        <v>163262.1</v>
      </c>
    </row>
    <row r="826" spans="1:7" ht="15">
      <c r="A826" s="136" t="s">
        <v>103</v>
      </c>
      <c r="B826" s="137"/>
      <c r="C826" s="141" t="s">
        <v>104</v>
      </c>
      <c r="D826" s="141"/>
      <c r="E826" s="141"/>
      <c r="F826" s="184"/>
      <c r="G826" s="118">
        <f>SUM(G827)+G842</f>
        <v>55468.6</v>
      </c>
    </row>
    <row r="827" spans="1:7" ht="15">
      <c r="A827" s="136" t="s">
        <v>289</v>
      </c>
      <c r="B827" s="143"/>
      <c r="C827" s="141" t="s">
        <v>104</v>
      </c>
      <c r="D827" s="141" t="s">
        <v>400</v>
      </c>
      <c r="E827" s="141"/>
      <c r="F827" s="184"/>
      <c r="G827" s="118">
        <f>SUM(G828+G839)</f>
        <v>55389.9</v>
      </c>
    </row>
    <row r="828" spans="1:7" ht="15">
      <c r="A828" s="136" t="s">
        <v>275</v>
      </c>
      <c r="B828" s="137"/>
      <c r="C828" s="141" t="s">
        <v>104</v>
      </c>
      <c r="D828" s="141" t="s">
        <v>400</v>
      </c>
      <c r="E828" s="141" t="s">
        <v>276</v>
      </c>
      <c r="F828" s="184"/>
      <c r="G828" s="118">
        <f>SUM(G829)</f>
        <v>55389.9</v>
      </c>
    </row>
    <row r="829" spans="1:7" ht="15">
      <c r="A829" s="136" t="s">
        <v>13</v>
      </c>
      <c r="B829" s="143"/>
      <c r="C829" s="141" t="s">
        <v>104</v>
      </c>
      <c r="D829" s="141" t="s">
        <v>400</v>
      </c>
      <c r="E829" s="141" t="s">
        <v>72</v>
      </c>
      <c r="F829" s="184"/>
      <c r="G829" s="118">
        <f>SUM(G830)+G837+G832</f>
        <v>55389.9</v>
      </c>
    </row>
    <row r="830" spans="1:7" ht="28.5">
      <c r="A830" s="136" t="s">
        <v>84</v>
      </c>
      <c r="B830" s="143"/>
      <c r="C830" s="141" t="s">
        <v>104</v>
      </c>
      <c r="D830" s="141" t="s">
        <v>400</v>
      </c>
      <c r="E830" s="141" t="s">
        <v>73</v>
      </c>
      <c r="F830" s="184"/>
      <c r="G830" s="118">
        <f>SUM(G831)</f>
        <v>55389.9</v>
      </c>
    </row>
    <row r="831" spans="1:7" ht="30.75" customHeight="1">
      <c r="A831" s="85" t="s">
        <v>447</v>
      </c>
      <c r="B831" s="156"/>
      <c r="C831" s="141" t="s">
        <v>104</v>
      </c>
      <c r="D831" s="141" t="s">
        <v>400</v>
      </c>
      <c r="E831" s="141" t="s">
        <v>73</v>
      </c>
      <c r="F831" s="185" t="s">
        <v>445</v>
      </c>
      <c r="G831" s="118">
        <v>55389.9</v>
      </c>
    </row>
    <row r="832" spans="1:7" ht="20.25" customHeight="1" hidden="1">
      <c r="A832" s="85" t="s">
        <v>140</v>
      </c>
      <c r="B832" s="156"/>
      <c r="C832" s="141" t="s">
        <v>104</v>
      </c>
      <c r="D832" s="141" t="s">
        <v>400</v>
      </c>
      <c r="E832" s="141" t="s">
        <v>134</v>
      </c>
      <c r="F832" s="185"/>
      <c r="G832" s="118">
        <f>SUM(G835)</f>
        <v>0</v>
      </c>
    </row>
    <row r="833" spans="1:7" ht="28.5" customHeight="1" hidden="1">
      <c r="A833" s="85" t="s">
        <v>401</v>
      </c>
      <c r="B833" s="156"/>
      <c r="C833" s="141" t="s">
        <v>104</v>
      </c>
      <c r="D833" s="141" t="s">
        <v>400</v>
      </c>
      <c r="E833" s="141" t="s">
        <v>402</v>
      </c>
      <c r="F833" s="185"/>
      <c r="G833" s="118">
        <f>SUM(G834)</f>
        <v>0</v>
      </c>
    </row>
    <row r="834" spans="1:7" ht="15" customHeight="1" hidden="1">
      <c r="A834" s="85" t="s">
        <v>140</v>
      </c>
      <c r="B834" s="156"/>
      <c r="C834" s="141" t="s">
        <v>104</v>
      </c>
      <c r="D834" s="141" t="s">
        <v>400</v>
      </c>
      <c r="E834" s="141" t="s">
        <v>402</v>
      </c>
      <c r="F834" s="185" t="s">
        <v>77</v>
      </c>
      <c r="G834" s="118"/>
    </row>
    <row r="835" spans="1:7" ht="26.25" customHeight="1" hidden="1">
      <c r="A835" s="85" t="s">
        <v>137</v>
      </c>
      <c r="B835" s="156"/>
      <c r="C835" s="141" t="s">
        <v>104</v>
      </c>
      <c r="D835" s="141" t="s">
        <v>400</v>
      </c>
      <c r="E835" s="141" t="s">
        <v>187</v>
      </c>
      <c r="F835" s="185"/>
      <c r="G835" s="118">
        <f>SUM(G836)</f>
        <v>0</v>
      </c>
    </row>
    <row r="836" spans="1:7" ht="28.5" customHeight="1" hidden="1">
      <c r="A836" s="85" t="s">
        <v>447</v>
      </c>
      <c r="B836" s="156"/>
      <c r="C836" s="141" t="s">
        <v>104</v>
      </c>
      <c r="D836" s="141" t="s">
        <v>400</v>
      </c>
      <c r="E836" s="141" t="s">
        <v>187</v>
      </c>
      <c r="F836" s="185" t="s">
        <v>445</v>
      </c>
      <c r="G836" s="118"/>
    </row>
    <row r="837" spans="1:7" ht="42.75" customHeight="1" hidden="1">
      <c r="A837" s="85" t="s">
        <v>56</v>
      </c>
      <c r="B837" s="156"/>
      <c r="C837" s="141" t="s">
        <v>104</v>
      </c>
      <c r="D837" s="141" t="s">
        <v>400</v>
      </c>
      <c r="E837" s="141" t="s">
        <v>74</v>
      </c>
      <c r="F837" s="185"/>
      <c r="G837" s="118">
        <f>SUM(G838)</f>
        <v>0</v>
      </c>
    </row>
    <row r="838" spans="1:7" ht="15" customHeight="1" hidden="1">
      <c r="A838" s="85" t="s">
        <v>140</v>
      </c>
      <c r="B838" s="156"/>
      <c r="C838" s="141" t="s">
        <v>104</v>
      </c>
      <c r="D838" s="141" t="s">
        <v>400</v>
      </c>
      <c r="E838" s="141" t="s">
        <v>74</v>
      </c>
      <c r="F838" s="185" t="s">
        <v>77</v>
      </c>
      <c r="G838" s="118"/>
    </row>
    <row r="839" spans="1:7" ht="15" customHeight="1" hidden="1">
      <c r="A839" s="85" t="s">
        <v>115</v>
      </c>
      <c r="B839" s="143"/>
      <c r="C839" s="141" t="s">
        <v>104</v>
      </c>
      <c r="D839" s="141" t="s">
        <v>400</v>
      </c>
      <c r="E839" s="141" t="s">
        <v>116</v>
      </c>
      <c r="F839" s="184"/>
      <c r="G839" s="118">
        <f>SUM(G840)+G843</f>
        <v>0</v>
      </c>
    </row>
    <row r="840" spans="1:7" ht="42.75" customHeight="1" hidden="1">
      <c r="A840" s="136" t="s">
        <v>177</v>
      </c>
      <c r="B840" s="143"/>
      <c r="C840" s="141" t="s">
        <v>104</v>
      </c>
      <c r="D840" s="141" t="s">
        <v>400</v>
      </c>
      <c r="E840" s="141" t="s">
        <v>257</v>
      </c>
      <c r="F840" s="184"/>
      <c r="G840" s="118">
        <f>SUM(G841)</f>
        <v>0</v>
      </c>
    </row>
    <row r="841" spans="1:7" ht="15" customHeight="1" hidden="1">
      <c r="A841" s="85" t="s">
        <v>127</v>
      </c>
      <c r="B841" s="143"/>
      <c r="C841" s="141" t="s">
        <v>104</v>
      </c>
      <c r="D841" s="141" t="s">
        <v>400</v>
      </c>
      <c r="E841" s="141" t="s">
        <v>257</v>
      </c>
      <c r="F841" s="184" t="s">
        <v>77</v>
      </c>
      <c r="G841" s="118"/>
    </row>
    <row r="842" spans="1:7" ht="15">
      <c r="A842" s="136" t="s">
        <v>105</v>
      </c>
      <c r="B842" s="137"/>
      <c r="C842" s="138" t="s">
        <v>104</v>
      </c>
      <c r="D842" s="138" t="s">
        <v>104</v>
      </c>
      <c r="E842" s="141"/>
      <c r="F842" s="185"/>
      <c r="G842" s="118">
        <f>SUM(G848+G843+G846+G852)</f>
        <v>78.7</v>
      </c>
    </row>
    <row r="843" spans="1:7" ht="15" customHeight="1" hidden="1">
      <c r="A843" s="109" t="s">
        <v>193</v>
      </c>
      <c r="B843" s="145"/>
      <c r="C843" s="141" t="s">
        <v>104</v>
      </c>
      <c r="D843" s="141" t="s">
        <v>104</v>
      </c>
      <c r="E843" s="141" t="s">
        <v>194</v>
      </c>
      <c r="F843" s="184"/>
      <c r="G843" s="118">
        <f>SUM(G844)</f>
        <v>0</v>
      </c>
    </row>
    <row r="844" spans="1:7" ht="15" customHeight="1" hidden="1">
      <c r="A844" s="109" t="s">
        <v>195</v>
      </c>
      <c r="B844" s="145"/>
      <c r="C844" s="141" t="s">
        <v>104</v>
      </c>
      <c r="D844" s="141" t="s">
        <v>104</v>
      </c>
      <c r="E844" s="141" t="s">
        <v>196</v>
      </c>
      <c r="F844" s="184"/>
      <c r="G844" s="118">
        <f>SUM(G845)</f>
        <v>0</v>
      </c>
    </row>
    <row r="845" spans="1:7" ht="15" customHeight="1" hidden="1">
      <c r="A845" s="85" t="s">
        <v>211</v>
      </c>
      <c r="B845" s="145"/>
      <c r="C845" s="141" t="s">
        <v>104</v>
      </c>
      <c r="D845" s="141" t="s">
        <v>104</v>
      </c>
      <c r="E845" s="141" t="s">
        <v>196</v>
      </c>
      <c r="F845" s="184" t="s">
        <v>212</v>
      </c>
      <c r="G845" s="118"/>
    </row>
    <row r="846" spans="1:7" ht="15" customHeight="1" hidden="1">
      <c r="A846" s="85" t="s">
        <v>330</v>
      </c>
      <c r="B846" s="145"/>
      <c r="C846" s="141" t="s">
        <v>104</v>
      </c>
      <c r="D846" s="141" t="s">
        <v>104</v>
      </c>
      <c r="E846" s="141" t="s">
        <v>331</v>
      </c>
      <c r="F846" s="184"/>
      <c r="G846" s="118">
        <f>SUM(G847)</f>
        <v>0</v>
      </c>
    </row>
    <row r="847" spans="1:7" ht="15" customHeight="1" hidden="1">
      <c r="A847" s="85" t="s">
        <v>191</v>
      </c>
      <c r="B847" s="145"/>
      <c r="C847" s="141" t="s">
        <v>104</v>
      </c>
      <c r="D847" s="141" t="s">
        <v>104</v>
      </c>
      <c r="E847" s="141" t="s">
        <v>331</v>
      </c>
      <c r="F847" s="184" t="s">
        <v>192</v>
      </c>
      <c r="G847" s="118"/>
    </row>
    <row r="848" spans="1:7" ht="15" customHeight="1" hidden="1">
      <c r="A848" s="111" t="s">
        <v>198</v>
      </c>
      <c r="B848" s="137"/>
      <c r="C848" s="138" t="s">
        <v>104</v>
      </c>
      <c r="D848" s="138" t="s">
        <v>104</v>
      </c>
      <c r="E848" s="138" t="s">
        <v>106</v>
      </c>
      <c r="F848" s="183"/>
      <c r="G848" s="118">
        <f>SUM(G849)</f>
        <v>0</v>
      </c>
    </row>
    <row r="849" spans="1:7" ht="42.75" customHeight="1" hidden="1">
      <c r="A849" s="111" t="s">
        <v>82</v>
      </c>
      <c r="B849" s="137"/>
      <c r="C849" s="138" t="s">
        <v>104</v>
      </c>
      <c r="D849" s="138" t="s">
        <v>104</v>
      </c>
      <c r="E849" s="138" t="s">
        <v>83</v>
      </c>
      <c r="F849" s="183"/>
      <c r="G849" s="118">
        <f>SUM(G850)+G851</f>
        <v>0</v>
      </c>
    </row>
    <row r="850" spans="1:7" ht="15" customHeight="1" hidden="1">
      <c r="A850" s="85" t="s">
        <v>211</v>
      </c>
      <c r="B850" s="137"/>
      <c r="C850" s="138" t="s">
        <v>104</v>
      </c>
      <c r="D850" s="138" t="s">
        <v>104</v>
      </c>
      <c r="E850" s="138" t="s">
        <v>83</v>
      </c>
      <c r="F850" s="183" t="s">
        <v>212</v>
      </c>
      <c r="G850" s="118"/>
    </row>
    <row r="851" spans="1:7" ht="15" customHeight="1" hidden="1">
      <c r="A851" s="85" t="s">
        <v>127</v>
      </c>
      <c r="B851" s="137"/>
      <c r="C851" s="138" t="s">
        <v>104</v>
      </c>
      <c r="D851" s="138" t="s">
        <v>104</v>
      </c>
      <c r="E851" s="138" t="s">
        <v>83</v>
      </c>
      <c r="F851" s="183" t="s">
        <v>77</v>
      </c>
      <c r="G851" s="118"/>
    </row>
    <row r="852" spans="1:7" ht="15">
      <c r="A852" s="85" t="s">
        <v>512</v>
      </c>
      <c r="B852" s="157"/>
      <c r="C852" s="141" t="s">
        <v>104</v>
      </c>
      <c r="D852" s="141" t="s">
        <v>104</v>
      </c>
      <c r="E852" s="141" t="s">
        <v>116</v>
      </c>
      <c r="F852" s="185"/>
      <c r="G852" s="118">
        <f>SUM(G853)</f>
        <v>78.7</v>
      </c>
    </row>
    <row r="853" spans="1:7" ht="15">
      <c r="A853" s="149" t="s">
        <v>1066</v>
      </c>
      <c r="B853" s="157"/>
      <c r="C853" s="141" t="s">
        <v>104</v>
      </c>
      <c r="D853" s="141" t="s">
        <v>104</v>
      </c>
      <c r="E853" s="141" t="s">
        <v>86</v>
      </c>
      <c r="F853" s="185"/>
      <c r="G853" s="118">
        <f>SUM(G854)</f>
        <v>78.7</v>
      </c>
    </row>
    <row r="854" spans="1:7" ht="28.5">
      <c r="A854" s="85" t="s">
        <v>447</v>
      </c>
      <c r="B854" s="157"/>
      <c r="C854" s="141" t="s">
        <v>104</v>
      </c>
      <c r="D854" s="141" t="s">
        <v>104</v>
      </c>
      <c r="E854" s="141" t="s">
        <v>86</v>
      </c>
      <c r="F854" s="185" t="s">
        <v>445</v>
      </c>
      <c r="G854" s="118">
        <v>78.7</v>
      </c>
    </row>
    <row r="855" spans="1:7" ht="15">
      <c r="A855" s="136" t="s">
        <v>281</v>
      </c>
      <c r="B855" s="137"/>
      <c r="C855" s="141" t="s">
        <v>111</v>
      </c>
      <c r="D855" s="141"/>
      <c r="E855" s="141"/>
      <c r="F855" s="184"/>
      <c r="G855" s="118">
        <f>SUM(G856+G916)</f>
        <v>107606.5</v>
      </c>
    </row>
    <row r="856" spans="1:7" ht="15">
      <c r="A856" s="136" t="s">
        <v>313</v>
      </c>
      <c r="B856" s="137"/>
      <c r="C856" s="141" t="s">
        <v>111</v>
      </c>
      <c r="D856" s="141" t="s">
        <v>398</v>
      </c>
      <c r="E856" s="141"/>
      <c r="F856" s="184"/>
      <c r="G856" s="118">
        <f>SUM(G857+G889+G900+G906)</f>
        <v>94946</v>
      </c>
    </row>
    <row r="857" spans="1:7" ht="27.75" customHeight="1">
      <c r="A857" s="109" t="s">
        <v>518</v>
      </c>
      <c r="B857" s="137"/>
      <c r="C857" s="141" t="s">
        <v>111</v>
      </c>
      <c r="D857" s="141" t="s">
        <v>398</v>
      </c>
      <c r="E857" s="141" t="s">
        <v>123</v>
      </c>
      <c r="F857" s="184"/>
      <c r="G857" s="118">
        <f>SUM(G862+G870)+G860+G858</f>
        <v>53605.899999999994</v>
      </c>
    </row>
    <row r="858" spans="1:7" ht="27.75" customHeight="1">
      <c r="A858" s="294" t="s">
        <v>1193</v>
      </c>
      <c r="B858" s="54"/>
      <c r="C858" s="89" t="s">
        <v>111</v>
      </c>
      <c r="D858" s="89" t="s">
        <v>398</v>
      </c>
      <c r="E858" s="89" t="s">
        <v>1194</v>
      </c>
      <c r="F858" s="95"/>
      <c r="G858" s="118">
        <f>G859</f>
        <v>56</v>
      </c>
    </row>
    <row r="859" spans="1:7" ht="27.75" customHeight="1">
      <c r="A859" s="109" t="s">
        <v>675</v>
      </c>
      <c r="B859" s="54"/>
      <c r="C859" s="89" t="s">
        <v>111</v>
      </c>
      <c r="D859" s="89" t="s">
        <v>398</v>
      </c>
      <c r="E859" s="89" t="s">
        <v>1194</v>
      </c>
      <c r="F859" s="95" t="s">
        <v>107</v>
      </c>
      <c r="G859" s="118">
        <v>56</v>
      </c>
    </row>
    <row r="860" spans="1:7" ht="28.5">
      <c r="A860" s="538" t="s">
        <v>1195</v>
      </c>
      <c r="B860" s="54"/>
      <c r="C860" s="89" t="s">
        <v>111</v>
      </c>
      <c r="D860" s="89" t="s">
        <v>398</v>
      </c>
      <c r="E860" s="89" t="s">
        <v>1196</v>
      </c>
      <c r="F860" s="95"/>
      <c r="G860" s="118">
        <f>G861</f>
        <v>50</v>
      </c>
    </row>
    <row r="861" spans="1:7" ht="28.5">
      <c r="A861" s="294" t="s">
        <v>428</v>
      </c>
      <c r="B861" s="54"/>
      <c r="C861" s="89" t="s">
        <v>111</v>
      </c>
      <c r="D861" s="89" t="s">
        <v>398</v>
      </c>
      <c r="E861" s="89" t="s">
        <v>1196</v>
      </c>
      <c r="F861" s="95" t="s">
        <v>429</v>
      </c>
      <c r="G861" s="118">
        <v>50</v>
      </c>
    </row>
    <row r="862" spans="1:7" ht="15">
      <c r="A862" s="136" t="s">
        <v>13</v>
      </c>
      <c r="B862" s="143"/>
      <c r="C862" s="141" t="s">
        <v>111</v>
      </c>
      <c r="D862" s="141" t="s">
        <v>398</v>
      </c>
      <c r="E862" s="141" t="s">
        <v>174</v>
      </c>
      <c r="F862" s="184"/>
      <c r="G862" s="118">
        <f>SUM(G863)+G865</f>
        <v>35220.6</v>
      </c>
    </row>
    <row r="863" spans="1:7" ht="28.5">
      <c r="A863" s="136" t="s">
        <v>84</v>
      </c>
      <c r="B863" s="143"/>
      <c r="C863" s="141" t="s">
        <v>111</v>
      </c>
      <c r="D863" s="141" t="s">
        <v>398</v>
      </c>
      <c r="E863" s="141" t="s">
        <v>176</v>
      </c>
      <c r="F863" s="184"/>
      <c r="G863" s="118">
        <f>SUM(G864)</f>
        <v>35220.6</v>
      </c>
    </row>
    <row r="864" spans="1:7" ht="35.25" customHeight="1">
      <c r="A864" s="85" t="s">
        <v>447</v>
      </c>
      <c r="B864" s="156"/>
      <c r="C864" s="141" t="s">
        <v>111</v>
      </c>
      <c r="D864" s="141" t="s">
        <v>398</v>
      </c>
      <c r="E864" s="141" t="s">
        <v>176</v>
      </c>
      <c r="F864" s="185" t="s">
        <v>445</v>
      </c>
      <c r="G864" s="118">
        <v>35220.6</v>
      </c>
    </row>
    <row r="865" spans="1:7" ht="15" customHeight="1" hidden="1">
      <c r="A865" s="84" t="s">
        <v>140</v>
      </c>
      <c r="B865" s="156"/>
      <c r="C865" s="359" t="s">
        <v>111</v>
      </c>
      <c r="D865" s="89" t="s">
        <v>398</v>
      </c>
      <c r="E865" s="89" t="s">
        <v>356</v>
      </c>
      <c r="F865" s="96"/>
      <c r="G865" s="118">
        <f>SUM(G866+G868)</f>
        <v>0</v>
      </c>
    </row>
    <row r="866" spans="1:7" ht="28.5" customHeight="1" hidden="1">
      <c r="A866" s="85" t="s">
        <v>128</v>
      </c>
      <c r="B866" s="156"/>
      <c r="C866" s="359" t="s">
        <v>111</v>
      </c>
      <c r="D866" s="89" t="s">
        <v>398</v>
      </c>
      <c r="E866" s="89" t="s">
        <v>357</v>
      </c>
      <c r="F866" s="96"/>
      <c r="G866" s="118">
        <f>SUM(G867)</f>
        <v>0</v>
      </c>
    </row>
    <row r="867" spans="1:7" ht="28.5" customHeight="1" hidden="1">
      <c r="A867" s="85" t="s">
        <v>447</v>
      </c>
      <c r="B867" s="156"/>
      <c r="C867" s="359" t="s">
        <v>111</v>
      </c>
      <c r="D867" s="89" t="s">
        <v>398</v>
      </c>
      <c r="E867" s="89" t="s">
        <v>357</v>
      </c>
      <c r="F867" s="96" t="s">
        <v>445</v>
      </c>
      <c r="G867" s="118"/>
    </row>
    <row r="868" spans="1:7" ht="28.5" customHeight="1" hidden="1">
      <c r="A868" s="294" t="s">
        <v>355</v>
      </c>
      <c r="B868" s="156"/>
      <c r="C868" s="359" t="s">
        <v>111</v>
      </c>
      <c r="D868" s="89" t="s">
        <v>398</v>
      </c>
      <c r="E868" s="89" t="s">
        <v>354</v>
      </c>
      <c r="F868" s="96"/>
      <c r="G868" s="118">
        <f>SUM(G869)</f>
        <v>0</v>
      </c>
    </row>
    <row r="869" spans="1:7" ht="28.5" customHeight="1" hidden="1">
      <c r="A869" s="294" t="s">
        <v>454</v>
      </c>
      <c r="B869" s="156"/>
      <c r="C869" s="359" t="s">
        <v>111</v>
      </c>
      <c r="D869" s="89" t="s">
        <v>398</v>
      </c>
      <c r="E869" s="89" t="s">
        <v>354</v>
      </c>
      <c r="F869" s="96" t="s">
        <v>445</v>
      </c>
      <c r="G869" s="118"/>
    </row>
    <row r="870" spans="1:7" ht="28.5">
      <c r="A870" s="136" t="s">
        <v>50</v>
      </c>
      <c r="B870" s="156"/>
      <c r="C870" s="141" t="s">
        <v>111</v>
      </c>
      <c r="D870" s="141" t="s">
        <v>398</v>
      </c>
      <c r="E870" s="141" t="s">
        <v>124</v>
      </c>
      <c r="F870" s="185"/>
      <c r="G870" s="118">
        <f>SUM(G871:G873)</f>
        <v>18279.3</v>
      </c>
    </row>
    <row r="871" spans="1:7" ht="28.5">
      <c r="A871" s="136" t="s">
        <v>428</v>
      </c>
      <c r="B871" s="137"/>
      <c r="C871" s="141" t="s">
        <v>111</v>
      </c>
      <c r="D871" s="141" t="s">
        <v>398</v>
      </c>
      <c r="E871" s="141" t="s">
        <v>124</v>
      </c>
      <c r="F871" s="183" t="s">
        <v>429</v>
      </c>
      <c r="G871" s="118">
        <v>15439.1</v>
      </c>
    </row>
    <row r="872" spans="1:7" ht="30" customHeight="1">
      <c r="A872" s="136" t="s">
        <v>675</v>
      </c>
      <c r="B872" s="137"/>
      <c r="C872" s="141" t="s">
        <v>111</v>
      </c>
      <c r="D872" s="141" t="s">
        <v>398</v>
      </c>
      <c r="E872" s="141" t="s">
        <v>124</v>
      </c>
      <c r="F872" s="183" t="s">
        <v>107</v>
      </c>
      <c r="G872" s="366">
        <v>2396.6</v>
      </c>
    </row>
    <row r="873" spans="1:7" ht="19.5" customHeight="1">
      <c r="A873" s="136" t="s">
        <v>434</v>
      </c>
      <c r="B873" s="137"/>
      <c r="C873" s="141" t="s">
        <v>111</v>
      </c>
      <c r="D873" s="141" t="s">
        <v>398</v>
      </c>
      <c r="E873" s="141" t="s">
        <v>124</v>
      </c>
      <c r="F873" s="184" t="s">
        <v>152</v>
      </c>
      <c r="G873" s="118">
        <v>443.6</v>
      </c>
    </row>
    <row r="874" spans="1:7" ht="15" customHeight="1" hidden="1">
      <c r="A874" s="136" t="s">
        <v>85</v>
      </c>
      <c r="B874" s="143"/>
      <c r="C874" s="141" t="s">
        <v>111</v>
      </c>
      <c r="D874" s="141" t="s">
        <v>398</v>
      </c>
      <c r="E874" s="141" t="s">
        <v>174</v>
      </c>
      <c r="F874" s="184"/>
      <c r="G874" s="118">
        <f>SUM(G875+G877)</f>
        <v>0</v>
      </c>
    </row>
    <row r="875" spans="1:7" ht="28.5" customHeight="1" hidden="1">
      <c r="A875" s="136" t="s">
        <v>175</v>
      </c>
      <c r="B875" s="143"/>
      <c r="C875" s="141" t="s">
        <v>111</v>
      </c>
      <c r="D875" s="141" t="s">
        <v>398</v>
      </c>
      <c r="E875" s="141" t="s">
        <v>176</v>
      </c>
      <c r="F875" s="184"/>
      <c r="G875" s="118">
        <f>SUM(G876)</f>
        <v>0</v>
      </c>
    </row>
    <row r="876" spans="1:7" ht="42.75" customHeight="1" hidden="1">
      <c r="A876" s="85" t="s">
        <v>139</v>
      </c>
      <c r="B876" s="156"/>
      <c r="C876" s="141" t="s">
        <v>111</v>
      </c>
      <c r="D876" s="141" t="s">
        <v>398</v>
      </c>
      <c r="E876" s="141" t="s">
        <v>176</v>
      </c>
      <c r="F876" s="185" t="s">
        <v>52</v>
      </c>
      <c r="G876" s="118"/>
    </row>
    <row r="877" spans="1:7" ht="15" customHeight="1" hidden="1">
      <c r="A877" s="136" t="s">
        <v>140</v>
      </c>
      <c r="B877" s="137"/>
      <c r="C877" s="141" t="s">
        <v>111</v>
      </c>
      <c r="D877" s="141" t="s">
        <v>398</v>
      </c>
      <c r="E877" s="138" t="s">
        <v>356</v>
      </c>
      <c r="F877" s="185"/>
      <c r="G877" s="118">
        <f>SUM(G880+G882)+G878</f>
        <v>0</v>
      </c>
    </row>
    <row r="878" spans="1:7" ht="28.5" customHeight="1" hidden="1">
      <c r="A878" s="136" t="s">
        <v>401</v>
      </c>
      <c r="B878" s="137"/>
      <c r="C878" s="141" t="s">
        <v>111</v>
      </c>
      <c r="D878" s="141" t="s">
        <v>398</v>
      </c>
      <c r="E878" s="138" t="s">
        <v>357</v>
      </c>
      <c r="F878" s="185"/>
      <c r="G878" s="118">
        <f>SUM(G879)</f>
        <v>0</v>
      </c>
    </row>
    <row r="879" spans="1:7" ht="15" customHeight="1" hidden="1">
      <c r="A879" s="136" t="s">
        <v>140</v>
      </c>
      <c r="B879" s="137"/>
      <c r="C879" s="141" t="s">
        <v>111</v>
      </c>
      <c r="D879" s="141" t="s">
        <v>398</v>
      </c>
      <c r="E879" s="138" t="s">
        <v>357</v>
      </c>
      <c r="F879" s="185" t="s">
        <v>77</v>
      </c>
      <c r="G879" s="118"/>
    </row>
    <row r="880" spans="1:7" ht="28.5" customHeight="1" hidden="1">
      <c r="A880" s="85" t="s">
        <v>355</v>
      </c>
      <c r="B880" s="156"/>
      <c r="C880" s="141" t="s">
        <v>111</v>
      </c>
      <c r="D880" s="141" t="s">
        <v>398</v>
      </c>
      <c r="E880" s="141" t="s">
        <v>354</v>
      </c>
      <c r="F880" s="185"/>
      <c r="G880" s="118">
        <f>SUM(G881)</f>
        <v>0</v>
      </c>
    </row>
    <row r="881" spans="1:7" ht="15" customHeight="1" hidden="1">
      <c r="A881" s="85" t="s">
        <v>127</v>
      </c>
      <c r="B881" s="156"/>
      <c r="C881" s="141" t="s">
        <v>111</v>
      </c>
      <c r="D881" s="141" t="s">
        <v>398</v>
      </c>
      <c r="E881" s="141" t="s">
        <v>354</v>
      </c>
      <c r="F881" s="185" t="s">
        <v>77</v>
      </c>
      <c r="G881" s="118"/>
    </row>
    <row r="882" spans="1:7" ht="15" customHeight="1" hidden="1">
      <c r="A882" s="85" t="s">
        <v>137</v>
      </c>
      <c r="B882" s="156"/>
      <c r="C882" s="141" t="s">
        <v>111</v>
      </c>
      <c r="D882" s="141" t="s">
        <v>398</v>
      </c>
      <c r="E882" s="141" t="s">
        <v>184</v>
      </c>
      <c r="F882" s="185"/>
      <c r="G882" s="118">
        <f>SUM(G883)</f>
        <v>0</v>
      </c>
    </row>
    <row r="883" spans="1:7" ht="15" customHeight="1" hidden="1">
      <c r="A883" s="85" t="s">
        <v>127</v>
      </c>
      <c r="B883" s="156"/>
      <c r="C883" s="141" t="s">
        <v>111</v>
      </c>
      <c r="D883" s="141" t="s">
        <v>398</v>
      </c>
      <c r="E883" s="141" t="s">
        <v>184</v>
      </c>
      <c r="F883" s="185" t="s">
        <v>77</v>
      </c>
      <c r="G883" s="118"/>
    </row>
    <row r="884" spans="1:7" ht="28.5" customHeight="1" hidden="1">
      <c r="A884" s="136" t="s">
        <v>50</v>
      </c>
      <c r="B884" s="145"/>
      <c r="C884" s="141" t="s">
        <v>111</v>
      </c>
      <c r="D884" s="141" t="s">
        <v>398</v>
      </c>
      <c r="E884" s="141" t="s">
        <v>124</v>
      </c>
      <c r="F884" s="184"/>
      <c r="G884" s="118">
        <f>SUM(G885:G887)</f>
        <v>0</v>
      </c>
    </row>
    <row r="885" spans="1:7" ht="15" customHeight="1" hidden="1">
      <c r="A885" s="85" t="s">
        <v>51</v>
      </c>
      <c r="B885" s="145"/>
      <c r="C885" s="141" t="s">
        <v>111</v>
      </c>
      <c r="D885" s="141" t="s">
        <v>398</v>
      </c>
      <c r="E885" s="141" t="s">
        <v>124</v>
      </c>
      <c r="F885" s="184" t="s">
        <v>212</v>
      </c>
      <c r="G885" s="118"/>
    </row>
    <row r="886" spans="1:7" ht="28.5" customHeight="1" hidden="1">
      <c r="A886" s="85" t="s">
        <v>314</v>
      </c>
      <c r="B886" s="156"/>
      <c r="C886" s="141" t="s">
        <v>111</v>
      </c>
      <c r="D886" s="141" t="s">
        <v>398</v>
      </c>
      <c r="E886" s="141" t="s">
        <v>124</v>
      </c>
      <c r="F886" s="185" t="s">
        <v>315</v>
      </c>
      <c r="G886" s="118"/>
    </row>
    <row r="887" spans="1:7" ht="42.75" customHeight="1" hidden="1">
      <c r="A887" s="136" t="s">
        <v>222</v>
      </c>
      <c r="B887" s="137"/>
      <c r="C887" s="141" t="s">
        <v>111</v>
      </c>
      <c r="D887" s="141" t="s">
        <v>398</v>
      </c>
      <c r="E887" s="141" t="s">
        <v>316</v>
      </c>
      <c r="F887" s="185"/>
      <c r="G887" s="118">
        <f>SUM(G888)</f>
        <v>0</v>
      </c>
    </row>
    <row r="888" spans="1:7" ht="5.25" customHeight="1" hidden="1">
      <c r="A888" s="85" t="s">
        <v>211</v>
      </c>
      <c r="B888" s="156"/>
      <c r="C888" s="141" t="s">
        <v>111</v>
      </c>
      <c r="D888" s="141" t="s">
        <v>398</v>
      </c>
      <c r="E888" s="141" t="s">
        <v>316</v>
      </c>
      <c r="F888" s="185" t="s">
        <v>212</v>
      </c>
      <c r="G888" s="118"/>
    </row>
    <row r="889" spans="1:7" ht="15">
      <c r="A889" s="136" t="s">
        <v>317</v>
      </c>
      <c r="B889" s="137"/>
      <c r="C889" s="141" t="s">
        <v>111</v>
      </c>
      <c r="D889" s="141" t="s">
        <v>398</v>
      </c>
      <c r="E889" s="141" t="s">
        <v>318</v>
      </c>
      <c r="F889" s="184"/>
      <c r="G889" s="118">
        <f>SUM(G890)</f>
        <v>5852.5</v>
      </c>
    </row>
    <row r="890" spans="1:7" ht="15">
      <c r="A890" s="136" t="s">
        <v>85</v>
      </c>
      <c r="B890" s="143"/>
      <c r="C890" s="141" t="s">
        <v>111</v>
      </c>
      <c r="D890" s="141" t="s">
        <v>398</v>
      </c>
      <c r="E890" s="141" t="s">
        <v>75</v>
      </c>
      <c r="F890" s="184"/>
      <c r="G890" s="118">
        <f>SUM(G891)+G893</f>
        <v>5852.5</v>
      </c>
    </row>
    <row r="891" spans="1:7" ht="28.5">
      <c r="A891" s="136" t="s">
        <v>175</v>
      </c>
      <c r="B891" s="143"/>
      <c r="C891" s="141" t="s">
        <v>111</v>
      </c>
      <c r="D891" s="141" t="s">
        <v>398</v>
      </c>
      <c r="E891" s="141" t="s">
        <v>76</v>
      </c>
      <c r="F891" s="184"/>
      <c r="G891" s="118">
        <f>SUM(G892)</f>
        <v>5852.5</v>
      </c>
    </row>
    <row r="892" spans="1:7" ht="27" customHeight="1">
      <c r="A892" s="85" t="s">
        <v>447</v>
      </c>
      <c r="B892" s="156"/>
      <c r="C892" s="141" t="s">
        <v>111</v>
      </c>
      <c r="D892" s="141" t="s">
        <v>398</v>
      </c>
      <c r="E892" s="141" t="s">
        <v>76</v>
      </c>
      <c r="F892" s="185" t="s">
        <v>445</v>
      </c>
      <c r="G892" s="118">
        <v>5852.5</v>
      </c>
    </row>
    <row r="893" spans="1:7" ht="16.5" customHeight="1" hidden="1">
      <c r="A893" s="136" t="s">
        <v>140</v>
      </c>
      <c r="B893" s="156"/>
      <c r="C893" s="141" t="s">
        <v>111</v>
      </c>
      <c r="D893" s="141" t="s">
        <v>398</v>
      </c>
      <c r="E893" s="141" t="s">
        <v>185</v>
      </c>
      <c r="F893" s="185"/>
      <c r="G893" s="118">
        <f>SUM(G894+G896+G898)</f>
        <v>0</v>
      </c>
    </row>
    <row r="894" spans="1:7" ht="28.5" hidden="1">
      <c r="A894" s="136" t="s">
        <v>401</v>
      </c>
      <c r="B894" s="156"/>
      <c r="C894" s="141" t="s">
        <v>111</v>
      </c>
      <c r="D894" s="141" t="s">
        <v>398</v>
      </c>
      <c r="E894" s="141" t="s">
        <v>403</v>
      </c>
      <c r="F894" s="185"/>
      <c r="G894" s="118">
        <f>SUM(G895)</f>
        <v>0</v>
      </c>
    </row>
    <row r="895" spans="1:7" ht="19.5" customHeight="1" hidden="1">
      <c r="A895" s="136" t="s">
        <v>140</v>
      </c>
      <c r="B895" s="156"/>
      <c r="C895" s="141" t="s">
        <v>111</v>
      </c>
      <c r="D895" s="141" t="s">
        <v>398</v>
      </c>
      <c r="E895" s="141" t="s">
        <v>403</v>
      </c>
      <c r="F895" s="185" t="s">
        <v>445</v>
      </c>
      <c r="G895" s="118"/>
    </row>
    <row r="896" spans="1:7" ht="28.5" customHeight="1" hidden="1">
      <c r="A896" s="85" t="s">
        <v>355</v>
      </c>
      <c r="B896" s="156"/>
      <c r="C896" s="141" t="s">
        <v>111</v>
      </c>
      <c r="D896" s="141" t="s">
        <v>398</v>
      </c>
      <c r="E896" s="141" t="s">
        <v>136</v>
      </c>
      <c r="F896" s="185"/>
      <c r="G896" s="118">
        <f>SUM(G897)</f>
        <v>0</v>
      </c>
    </row>
    <row r="897" spans="1:7" ht="15" customHeight="1" hidden="1">
      <c r="A897" s="85" t="s">
        <v>127</v>
      </c>
      <c r="B897" s="156"/>
      <c r="C897" s="141" t="s">
        <v>111</v>
      </c>
      <c r="D897" s="141" t="s">
        <v>398</v>
      </c>
      <c r="E897" s="141" t="s">
        <v>136</v>
      </c>
      <c r="F897" s="185" t="s">
        <v>445</v>
      </c>
      <c r="G897" s="118"/>
    </row>
    <row r="898" spans="1:7" ht="21" customHeight="1" hidden="1">
      <c r="A898" s="196" t="s">
        <v>137</v>
      </c>
      <c r="B898" s="156"/>
      <c r="C898" s="141" t="s">
        <v>111</v>
      </c>
      <c r="D898" s="141" t="s">
        <v>398</v>
      </c>
      <c r="E898" s="141" t="s">
        <v>545</v>
      </c>
      <c r="F898" s="185"/>
      <c r="G898" s="118">
        <f>SUM(G899)</f>
        <v>0</v>
      </c>
    </row>
    <row r="899" spans="1:7" ht="33.75" customHeight="1" hidden="1">
      <c r="A899" s="85" t="s">
        <v>447</v>
      </c>
      <c r="B899" s="156"/>
      <c r="C899" s="141" t="s">
        <v>111</v>
      </c>
      <c r="D899" s="141" t="s">
        <v>398</v>
      </c>
      <c r="E899" s="141" t="s">
        <v>545</v>
      </c>
      <c r="F899" s="185" t="s">
        <v>445</v>
      </c>
      <c r="G899" s="118"/>
    </row>
    <row r="900" spans="1:7" ht="17.25" customHeight="1">
      <c r="A900" s="136" t="s">
        <v>319</v>
      </c>
      <c r="B900" s="137"/>
      <c r="C900" s="141" t="s">
        <v>111</v>
      </c>
      <c r="D900" s="141" t="s">
        <v>398</v>
      </c>
      <c r="E900" s="141" t="s">
        <v>320</v>
      </c>
      <c r="F900" s="184"/>
      <c r="G900" s="118">
        <f>SUM(G901)</f>
        <v>35436.3</v>
      </c>
    </row>
    <row r="901" spans="1:7" ht="28.5">
      <c r="A901" s="136" t="s">
        <v>50</v>
      </c>
      <c r="B901" s="143"/>
      <c r="C901" s="141" t="s">
        <v>111</v>
      </c>
      <c r="D901" s="141" t="s">
        <v>398</v>
      </c>
      <c r="E901" s="141" t="s">
        <v>321</v>
      </c>
      <c r="F901" s="184"/>
      <c r="G901" s="118">
        <f>SUM(G902:G904)</f>
        <v>35436.3</v>
      </c>
    </row>
    <row r="902" spans="1:7" ht="28.5">
      <c r="A902" s="136" t="s">
        <v>428</v>
      </c>
      <c r="B902" s="137"/>
      <c r="C902" s="141" t="s">
        <v>111</v>
      </c>
      <c r="D902" s="141" t="s">
        <v>398</v>
      </c>
      <c r="E902" s="141" t="s">
        <v>321</v>
      </c>
      <c r="F902" s="183" t="s">
        <v>429</v>
      </c>
      <c r="G902" s="118">
        <v>30430.8</v>
      </c>
    </row>
    <row r="903" spans="1:7" ht="28.5">
      <c r="A903" s="136" t="s">
        <v>675</v>
      </c>
      <c r="B903" s="137"/>
      <c r="C903" s="141" t="s">
        <v>111</v>
      </c>
      <c r="D903" s="141" t="s">
        <v>398</v>
      </c>
      <c r="E903" s="141" t="s">
        <v>321</v>
      </c>
      <c r="F903" s="183" t="s">
        <v>107</v>
      </c>
      <c r="G903" s="366">
        <v>4471.2</v>
      </c>
    </row>
    <row r="904" spans="1:7" ht="15">
      <c r="A904" s="136" t="s">
        <v>434</v>
      </c>
      <c r="B904" s="137"/>
      <c r="C904" s="141" t="s">
        <v>111</v>
      </c>
      <c r="D904" s="141" t="s">
        <v>398</v>
      </c>
      <c r="E904" s="141" t="s">
        <v>321</v>
      </c>
      <c r="F904" s="184" t="s">
        <v>152</v>
      </c>
      <c r="G904" s="118">
        <v>534.3</v>
      </c>
    </row>
    <row r="905" spans="1:7" ht="15">
      <c r="A905" s="136" t="s">
        <v>1197</v>
      </c>
      <c r="B905" s="137"/>
      <c r="C905" s="141" t="s">
        <v>111</v>
      </c>
      <c r="D905" s="141" t="s">
        <v>398</v>
      </c>
      <c r="E905" s="141" t="s">
        <v>1198</v>
      </c>
      <c r="F905" s="184"/>
      <c r="G905" s="118">
        <f>SUM(G906)</f>
        <v>51.3</v>
      </c>
    </row>
    <row r="906" spans="1:7" ht="42.75">
      <c r="A906" s="109" t="s">
        <v>668</v>
      </c>
      <c r="B906" s="156"/>
      <c r="C906" s="141" t="s">
        <v>111</v>
      </c>
      <c r="D906" s="141" t="s">
        <v>398</v>
      </c>
      <c r="E906" s="141" t="s">
        <v>669</v>
      </c>
      <c r="F906" s="185"/>
      <c r="G906" s="118">
        <f>SUM(G907)</f>
        <v>51.3</v>
      </c>
    </row>
    <row r="907" spans="1:7" ht="36" customHeight="1">
      <c r="A907" s="136" t="s">
        <v>675</v>
      </c>
      <c r="B907" s="156"/>
      <c r="C907" s="141" t="s">
        <v>111</v>
      </c>
      <c r="D907" s="141" t="s">
        <v>398</v>
      </c>
      <c r="E907" s="141" t="s">
        <v>669</v>
      </c>
      <c r="F907" s="185" t="s">
        <v>107</v>
      </c>
      <c r="G907" s="118">
        <v>51.3</v>
      </c>
    </row>
    <row r="908" spans="1:7" ht="15" customHeight="1" hidden="1">
      <c r="A908" s="85" t="s">
        <v>322</v>
      </c>
      <c r="B908" s="156"/>
      <c r="C908" s="141" t="s">
        <v>111</v>
      </c>
      <c r="D908" s="141" t="s">
        <v>398</v>
      </c>
      <c r="E908" s="141" t="s">
        <v>323</v>
      </c>
      <c r="F908" s="185"/>
      <c r="G908" s="118">
        <f>SUM(G911+G909)</f>
        <v>0</v>
      </c>
    </row>
    <row r="909" spans="1:7" ht="15" customHeight="1" hidden="1">
      <c r="A909" s="85" t="s">
        <v>211</v>
      </c>
      <c r="B909" s="156"/>
      <c r="C909" s="141" t="s">
        <v>111</v>
      </c>
      <c r="D909" s="141" t="s">
        <v>398</v>
      </c>
      <c r="E909" s="141" t="s">
        <v>323</v>
      </c>
      <c r="F909" s="185" t="s">
        <v>212</v>
      </c>
      <c r="G909" s="118"/>
    </row>
    <row r="910" spans="1:7" ht="28.5" customHeight="1" hidden="1">
      <c r="A910" s="85" t="s">
        <v>324</v>
      </c>
      <c r="B910" s="156"/>
      <c r="C910" s="141" t="s">
        <v>111</v>
      </c>
      <c r="D910" s="141" t="s">
        <v>398</v>
      </c>
      <c r="E910" s="141" t="s">
        <v>325</v>
      </c>
      <c r="F910" s="185"/>
      <c r="G910" s="118">
        <f>SUM(G911)</f>
        <v>0</v>
      </c>
    </row>
    <row r="911" spans="1:7" ht="15" customHeight="1" hidden="1">
      <c r="A911" s="85" t="s">
        <v>211</v>
      </c>
      <c r="B911" s="156"/>
      <c r="C911" s="141" t="s">
        <v>111</v>
      </c>
      <c r="D911" s="141" t="s">
        <v>398</v>
      </c>
      <c r="E911" s="141" t="s">
        <v>325</v>
      </c>
      <c r="F911" s="185" t="s">
        <v>212</v>
      </c>
      <c r="G911" s="118"/>
    </row>
    <row r="912" spans="1:7" ht="15" customHeight="1" hidden="1">
      <c r="A912" s="85" t="s">
        <v>115</v>
      </c>
      <c r="B912" s="143"/>
      <c r="C912" s="141" t="s">
        <v>111</v>
      </c>
      <c r="D912" s="141" t="s">
        <v>398</v>
      </c>
      <c r="E912" s="141" t="s">
        <v>116</v>
      </c>
      <c r="F912" s="184"/>
      <c r="G912" s="118">
        <f>SUM(G913)</f>
        <v>0</v>
      </c>
    </row>
    <row r="913" spans="1:7" ht="42.75" customHeight="1" hidden="1">
      <c r="A913" s="136" t="s">
        <v>177</v>
      </c>
      <c r="B913" s="143"/>
      <c r="C913" s="141" t="s">
        <v>111</v>
      </c>
      <c r="D913" s="141" t="s">
        <v>398</v>
      </c>
      <c r="E913" s="141" t="s">
        <v>257</v>
      </c>
      <c r="F913" s="184"/>
      <c r="G913" s="118">
        <f>SUM(G914:G915)</f>
        <v>0</v>
      </c>
    </row>
    <row r="914" spans="1:7" ht="15" customHeight="1" hidden="1">
      <c r="A914" s="85" t="s">
        <v>51</v>
      </c>
      <c r="B914" s="143"/>
      <c r="C914" s="141" t="s">
        <v>111</v>
      </c>
      <c r="D914" s="141" t="s">
        <v>398</v>
      </c>
      <c r="E914" s="141" t="s">
        <v>257</v>
      </c>
      <c r="F914" s="184" t="s">
        <v>212</v>
      </c>
      <c r="G914" s="118"/>
    </row>
    <row r="915" spans="1:7" ht="15" customHeight="1" hidden="1">
      <c r="A915" s="85" t="s">
        <v>127</v>
      </c>
      <c r="B915" s="143"/>
      <c r="C915" s="141" t="s">
        <v>111</v>
      </c>
      <c r="D915" s="141" t="s">
        <v>398</v>
      </c>
      <c r="E915" s="141" t="s">
        <v>257</v>
      </c>
      <c r="F915" s="184" t="s">
        <v>77</v>
      </c>
      <c r="G915" s="118"/>
    </row>
    <row r="916" spans="1:7" ht="15">
      <c r="A916" s="111" t="s">
        <v>202</v>
      </c>
      <c r="B916" s="143"/>
      <c r="C916" s="141" t="s">
        <v>111</v>
      </c>
      <c r="D916" s="141" t="s">
        <v>109</v>
      </c>
      <c r="E916" s="141"/>
      <c r="F916" s="184"/>
      <c r="G916" s="118">
        <f>SUM(G920+G925+G918)</f>
        <v>12660.5</v>
      </c>
    </row>
    <row r="917" spans="1:7" ht="15" customHeight="1" hidden="1">
      <c r="A917" s="136" t="s">
        <v>348</v>
      </c>
      <c r="B917" s="143"/>
      <c r="C917" s="141" t="s">
        <v>111</v>
      </c>
      <c r="D917" s="141" t="s">
        <v>109</v>
      </c>
      <c r="E917" s="141" t="s">
        <v>350</v>
      </c>
      <c r="F917" s="184"/>
      <c r="G917" s="118">
        <f>SUM(G918)</f>
        <v>0</v>
      </c>
    </row>
    <row r="918" spans="1:7" ht="15" customHeight="1" hidden="1">
      <c r="A918" s="136" t="s">
        <v>330</v>
      </c>
      <c r="B918" s="143"/>
      <c r="C918" s="141" t="s">
        <v>111</v>
      </c>
      <c r="D918" s="141" t="s">
        <v>109</v>
      </c>
      <c r="E918" s="141" t="s">
        <v>331</v>
      </c>
      <c r="F918" s="184"/>
      <c r="G918" s="118">
        <f>SUM(G919)</f>
        <v>0</v>
      </c>
    </row>
    <row r="919" spans="1:7" ht="28.5" customHeight="1" hidden="1">
      <c r="A919" s="136" t="s">
        <v>264</v>
      </c>
      <c r="B919" s="143"/>
      <c r="C919" s="141" t="s">
        <v>111</v>
      </c>
      <c r="D919" s="141" t="s">
        <v>109</v>
      </c>
      <c r="E919" s="141" t="s">
        <v>331</v>
      </c>
      <c r="F919" s="184" t="s">
        <v>265</v>
      </c>
      <c r="G919" s="118"/>
    </row>
    <row r="920" spans="1:7" ht="42.75">
      <c r="A920" s="111" t="s">
        <v>251</v>
      </c>
      <c r="B920" s="143"/>
      <c r="C920" s="141" t="s">
        <v>111</v>
      </c>
      <c r="D920" s="141" t="s">
        <v>109</v>
      </c>
      <c r="E920" s="141" t="s">
        <v>252</v>
      </c>
      <c r="F920" s="184"/>
      <c r="G920" s="118">
        <f>SUM(G921)</f>
        <v>6047.1</v>
      </c>
    </row>
    <row r="921" spans="1:7" ht="28.5">
      <c r="A921" s="136" t="s">
        <v>50</v>
      </c>
      <c r="B921" s="143"/>
      <c r="C921" s="141" t="s">
        <v>111</v>
      </c>
      <c r="D921" s="141" t="s">
        <v>109</v>
      </c>
      <c r="E921" s="141" t="s">
        <v>253</v>
      </c>
      <c r="F921" s="184"/>
      <c r="G921" s="118">
        <f>SUM(G922:G924)</f>
        <v>6047.1</v>
      </c>
    </row>
    <row r="922" spans="1:7" ht="28.5">
      <c r="A922" s="136" t="s">
        <v>428</v>
      </c>
      <c r="B922" s="156"/>
      <c r="C922" s="141" t="s">
        <v>111</v>
      </c>
      <c r="D922" s="141" t="s">
        <v>109</v>
      </c>
      <c r="E922" s="141" t="s">
        <v>253</v>
      </c>
      <c r="F922" s="185" t="s">
        <v>429</v>
      </c>
      <c r="G922" s="118">
        <v>5455.7</v>
      </c>
    </row>
    <row r="923" spans="1:7" ht="28.5">
      <c r="A923" s="136" t="s">
        <v>675</v>
      </c>
      <c r="B923" s="156"/>
      <c r="C923" s="141" t="s">
        <v>111</v>
      </c>
      <c r="D923" s="141" t="s">
        <v>109</v>
      </c>
      <c r="E923" s="141" t="s">
        <v>253</v>
      </c>
      <c r="F923" s="185" t="s">
        <v>107</v>
      </c>
      <c r="G923" s="118">
        <v>577.6</v>
      </c>
    </row>
    <row r="924" spans="1:7" ht="15">
      <c r="A924" s="136" t="s">
        <v>434</v>
      </c>
      <c r="B924" s="156"/>
      <c r="C924" s="141" t="s">
        <v>111</v>
      </c>
      <c r="D924" s="141" t="s">
        <v>109</v>
      </c>
      <c r="E924" s="141" t="s">
        <v>253</v>
      </c>
      <c r="F924" s="185" t="s">
        <v>152</v>
      </c>
      <c r="G924" s="118">
        <v>13.8</v>
      </c>
    </row>
    <row r="925" spans="1:7" ht="15">
      <c r="A925" s="85" t="s">
        <v>512</v>
      </c>
      <c r="B925" s="143"/>
      <c r="C925" s="141" t="s">
        <v>111</v>
      </c>
      <c r="D925" s="141" t="s">
        <v>109</v>
      </c>
      <c r="E925" s="141" t="s">
        <v>116</v>
      </c>
      <c r="F925" s="184"/>
      <c r="G925" s="118">
        <f>SUM(G928)+G931+G926+G935</f>
        <v>6613.4</v>
      </c>
    </row>
    <row r="926" spans="1:7" ht="42.75" customHeight="1" hidden="1">
      <c r="A926" s="136" t="s">
        <v>177</v>
      </c>
      <c r="B926" s="143"/>
      <c r="C926" s="141" t="s">
        <v>111</v>
      </c>
      <c r="D926" s="141" t="s">
        <v>109</v>
      </c>
      <c r="E926" s="141" t="s">
        <v>257</v>
      </c>
      <c r="F926" s="184"/>
      <c r="G926" s="118">
        <f>SUM(G927)</f>
        <v>0</v>
      </c>
    </row>
    <row r="927" spans="1:7" ht="15" customHeight="1" hidden="1">
      <c r="A927" s="85" t="s">
        <v>51</v>
      </c>
      <c r="B927" s="143"/>
      <c r="C927" s="141" t="s">
        <v>111</v>
      </c>
      <c r="D927" s="141" t="s">
        <v>109</v>
      </c>
      <c r="E927" s="141" t="s">
        <v>257</v>
      </c>
      <c r="F927" s="184" t="s">
        <v>212</v>
      </c>
      <c r="G927" s="118"/>
    </row>
    <row r="928" spans="1:7" ht="28.5">
      <c r="A928" s="136" t="s">
        <v>568</v>
      </c>
      <c r="B928" s="143"/>
      <c r="C928" s="141" t="s">
        <v>111</v>
      </c>
      <c r="D928" s="141" t="s">
        <v>109</v>
      </c>
      <c r="E928" s="141" t="s">
        <v>266</v>
      </c>
      <c r="F928" s="184"/>
      <c r="G928" s="118">
        <f>SUM(G929:G930)</f>
        <v>1141.6</v>
      </c>
    </row>
    <row r="929" spans="1:7" ht="28.5">
      <c r="A929" s="136" t="s">
        <v>675</v>
      </c>
      <c r="B929" s="143"/>
      <c r="C929" s="141" t="s">
        <v>111</v>
      </c>
      <c r="D929" s="141" t="s">
        <v>109</v>
      </c>
      <c r="E929" s="141" t="s">
        <v>266</v>
      </c>
      <c r="F929" s="184" t="s">
        <v>107</v>
      </c>
      <c r="G929" s="118">
        <v>253.7</v>
      </c>
    </row>
    <row r="930" spans="1:7" ht="28.5">
      <c r="A930" s="85" t="s">
        <v>447</v>
      </c>
      <c r="B930" s="143"/>
      <c r="C930" s="141" t="s">
        <v>111</v>
      </c>
      <c r="D930" s="141" t="s">
        <v>109</v>
      </c>
      <c r="E930" s="141" t="s">
        <v>266</v>
      </c>
      <c r="F930" s="184" t="s">
        <v>445</v>
      </c>
      <c r="G930" s="118">
        <v>887.9</v>
      </c>
    </row>
    <row r="931" spans="1:7" ht="13.5" customHeight="1">
      <c r="A931" s="136" t="s">
        <v>446</v>
      </c>
      <c r="B931" s="143"/>
      <c r="C931" s="141" t="s">
        <v>111</v>
      </c>
      <c r="D931" s="141" t="s">
        <v>109</v>
      </c>
      <c r="E931" s="141" t="s">
        <v>267</v>
      </c>
      <c r="F931" s="184"/>
      <c r="G931" s="118">
        <f>SUM(G932:G934)</f>
        <v>1749</v>
      </c>
    </row>
    <row r="932" spans="1:7" ht="30" customHeight="1">
      <c r="A932" s="136" t="s">
        <v>428</v>
      </c>
      <c r="B932" s="143"/>
      <c r="C932" s="141" t="s">
        <v>111</v>
      </c>
      <c r="D932" s="141" t="s">
        <v>109</v>
      </c>
      <c r="E932" s="141" t="s">
        <v>267</v>
      </c>
      <c r="F932" s="184" t="s">
        <v>429</v>
      </c>
      <c r="G932" s="118">
        <v>56.3</v>
      </c>
    </row>
    <row r="933" spans="1:7" ht="27.75" customHeight="1">
      <c r="A933" s="136" t="s">
        <v>675</v>
      </c>
      <c r="B933" s="143"/>
      <c r="C933" s="141" t="s">
        <v>111</v>
      </c>
      <c r="D933" s="141" t="s">
        <v>109</v>
      </c>
      <c r="E933" s="141" t="s">
        <v>267</v>
      </c>
      <c r="F933" s="184" t="s">
        <v>107</v>
      </c>
      <c r="G933" s="118">
        <v>1692.7</v>
      </c>
    </row>
    <row r="934" spans="1:7" ht="15" customHeight="1" hidden="1">
      <c r="A934" s="136" t="s">
        <v>434</v>
      </c>
      <c r="B934" s="143"/>
      <c r="C934" s="141" t="s">
        <v>111</v>
      </c>
      <c r="D934" s="141" t="s">
        <v>109</v>
      </c>
      <c r="E934" s="141" t="s">
        <v>267</v>
      </c>
      <c r="F934" s="184" t="s">
        <v>152</v>
      </c>
      <c r="G934" s="118"/>
    </row>
    <row r="935" spans="1:7" ht="28.5">
      <c r="A935" s="136" t="s">
        <v>569</v>
      </c>
      <c r="B935" s="143"/>
      <c r="C935" s="141" t="s">
        <v>111</v>
      </c>
      <c r="D935" s="141" t="s">
        <v>109</v>
      </c>
      <c r="E935" s="141" t="s">
        <v>570</v>
      </c>
      <c r="F935" s="184"/>
      <c r="G935" s="118">
        <f>SUM(G936:G937)</f>
        <v>3722.8</v>
      </c>
    </row>
    <row r="936" spans="1:7" ht="28.5">
      <c r="A936" s="136" t="s">
        <v>675</v>
      </c>
      <c r="B936" s="143"/>
      <c r="C936" s="141" t="s">
        <v>111</v>
      </c>
      <c r="D936" s="141" t="s">
        <v>109</v>
      </c>
      <c r="E936" s="141" t="s">
        <v>570</v>
      </c>
      <c r="F936" s="184" t="s">
        <v>107</v>
      </c>
      <c r="G936" s="118">
        <v>3322.8</v>
      </c>
    </row>
    <row r="937" spans="1:7" ht="28.5">
      <c r="A937" s="85" t="s">
        <v>447</v>
      </c>
      <c r="B937" s="143"/>
      <c r="C937" s="141" t="s">
        <v>111</v>
      </c>
      <c r="D937" s="141" t="s">
        <v>109</v>
      </c>
      <c r="E937" s="141" t="s">
        <v>570</v>
      </c>
      <c r="F937" s="184" t="s">
        <v>445</v>
      </c>
      <c r="G937" s="118">
        <v>400</v>
      </c>
    </row>
    <row r="938" spans="1:7" ht="15">
      <c r="A938" s="85" t="s">
        <v>159</v>
      </c>
      <c r="B938" s="161"/>
      <c r="C938" s="148" t="s">
        <v>5</v>
      </c>
      <c r="D938" s="148"/>
      <c r="E938" s="148"/>
      <c r="F938" s="192"/>
      <c r="G938" s="125">
        <f>SUM(G939)</f>
        <v>187</v>
      </c>
    </row>
    <row r="939" spans="1:7" ht="15">
      <c r="A939" s="85" t="s">
        <v>23</v>
      </c>
      <c r="B939" s="161"/>
      <c r="C939" s="171" t="s">
        <v>5</v>
      </c>
      <c r="D939" s="171" t="s">
        <v>95</v>
      </c>
      <c r="E939" s="171"/>
      <c r="F939" s="192"/>
      <c r="G939" s="125">
        <f>SUM(G940)</f>
        <v>187</v>
      </c>
    </row>
    <row r="940" spans="1:7" ht="15">
      <c r="A940" s="85" t="s">
        <v>24</v>
      </c>
      <c r="B940" s="161"/>
      <c r="C940" s="171" t="s">
        <v>5</v>
      </c>
      <c r="D940" s="171" t="s">
        <v>95</v>
      </c>
      <c r="E940" s="171" t="s">
        <v>25</v>
      </c>
      <c r="F940" s="192"/>
      <c r="G940" s="125">
        <f>SUM(G941)</f>
        <v>187</v>
      </c>
    </row>
    <row r="941" spans="1:7" ht="15">
      <c r="A941" s="85" t="s">
        <v>250</v>
      </c>
      <c r="B941" s="170"/>
      <c r="C941" s="171" t="s">
        <v>5</v>
      </c>
      <c r="D941" s="171" t="s">
        <v>95</v>
      </c>
      <c r="E941" s="171" t="s">
        <v>504</v>
      </c>
      <c r="F941" s="188"/>
      <c r="G941" s="126">
        <f>SUM(G942)</f>
        <v>187</v>
      </c>
    </row>
    <row r="942" spans="1:7" ht="42.75">
      <c r="A942" s="85" t="s">
        <v>413</v>
      </c>
      <c r="B942" s="170"/>
      <c r="C942" s="171" t="s">
        <v>5</v>
      </c>
      <c r="D942" s="171" t="s">
        <v>95</v>
      </c>
      <c r="E942" s="171" t="s">
        <v>507</v>
      </c>
      <c r="F942" s="188"/>
      <c r="G942" s="126">
        <f>SUM(G943:G943)</f>
        <v>187</v>
      </c>
    </row>
    <row r="943" spans="1:7" ht="15">
      <c r="A943" s="85" t="s">
        <v>438</v>
      </c>
      <c r="B943" s="170"/>
      <c r="C943" s="171" t="s">
        <v>5</v>
      </c>
      <c r="D943" s="171" t="s">
        <v>95</v>
      </c>
      <c r="E943" s="171" t="s">
        <v>507</v>
      </c>
      <c r="F943" s="188" t="s">
        <v>439</v>
      </c>
      <c r="G943" s="126">
        <v>187</v>
      </c>
    </row>
    <row r="944" spans="1:7" ht="15">
      <c r="A944" s="142" t="s">
        <v>263</v>
      </c>
      <c r="B944" s="143" t="s">
        <v>230</v>
      </c>
      <c r="C944" s="141"/>
      <c r="D944" s="141"/>
      <c r="E944" s="141"/>
      <c r="F944" s="184"/>
      <c r="G944" s="371">
        <f>SUM(G959)+G945+G1017</f>
        <v>166764.79999999996</v>
      </c>
    </row>
    <row r="945" spans="1:7" ht="15">
      <c r="A945" s="136" t="s">
        <v>103</v>
      </c>
      <c r="B945" s="137"/>
      <c r="C945" s="141" t="s">
        <v>104</v>
      </c>
      <c r="D945" s="141"/>
      <c r="E945" s="141"/>
      <c r="F945" s="184"/>
      <c r="G945" s="118">
        <f>SUM(G946)</f>
        <v>44.9</v>
      </c>
    </row>
    <row r="946" spans="1:7" ht="14.25" customHeight="1">
      <c r="A946" s="136" t="s">
        <v>105</v>
      </c>
      <c r="B946" s="137"/>
      <c r="C946" s="138" t="s">
        <v>104</v>
      </c>
      <c r="D946" s="138" t="s">
        <v>104</v>
      </c>
      <c r="E946" s="141"/>
      <c r="F946" s="185"/>
      <c r="G946" s="118">
        <f>SUM(G952+G947+G950+G956)</f>
        <v>44.9</v>
      </c>
    </row>
    <row r="947" spans="1:7" ht="15" customHeight="1" hidden="1">
      <c r="A947" s="109" t="s">
        <v>193</v>
      </c>
      <c r="B947" s="145"/>
      <c r="C947" s="141" t="s">
        <v>104</v>
      </c>
      <c r="D947" s="141" t="s">
        <v>104</v>
      </c>
      <c r="E947" s="141" t="s">
        <v>194</v>
      </c>
      <c r="F947" s="184"/>
      <c r="G947" s="118">
        <f>SUM(G948)</f>
        <v>0</v>
      </c>
    </row>
    <row r="948" spans="1:7" ht="15" customHeight="1" hidden="1">
      <c r="A948" s="109" t="s">
        <v>195</v>
      </c>
      <c r="B948" s="145"/>
      <c r="C948" s="141" t="s">
        <v>104</v>
      </c>
      <c r="D948" s="141" t="s">
        <v>104</v>
      </c>
      <c r="E948" s="141" t="s">
        <v>196</v>
      </c>
      <c r="F948" s="184"/>
      <c r="G948" s="118">
        <f>SUM(G949)</f>
        <v>0</v>
      </c>
    </row>
    <row r="949" spans="1:7" ht="7.5" customHeight="1" hidden="1">
      <c r="A949" s="85" t="s">
        <v>211</v>
      </c>
      <c r="B949" s="145"/>
      <c r="C949" s="141" t="s">
        <v>104</v>
      </c>
      <c r="D949" s="141" t="s">
        <v>104</v>
      </c>
      <c r="E949" s="141" t="s">
        <v>196</v>
      </c>
      <c r="F949" s="184" t="s">
        <v>212</v>
      </c>
      <c r="G949" s="118"/>
    </row>
    <row r="950" spans="1:7" ht="15" customHeight="1" hidden="1">
      <c r="A950" s="85" t="s">
        <v>330</v>
      </c>
      <c r="B950" s="145"/>
      <c r="C950" s="141" t="s">
        <v>104</v>
      </c>
      <c r="D950" s="141" t="s">
        <v>104</v>
      </c>
      <c r="E950" s="141" t="s">
        <v>331</v>
      </c>
      <c r="F950" s="184"/>
      <c r="G950" s="118">
        <f>SUM(G951)</f>
        <v>0</v>
      </c>
    </row>
    <row r="951" spans="1:7" ht="15" customHeight="1" hidden="1">
      <c r="A951" s="85" t="s">
        <v>191</v>
      </c>
      <c r="B951" s="145"/>
      <c r="C951" s="141" t="s">
        <v>104</v>
      </c>
      <c r="D951" s="141" t="s">
        <v>104</v>
      </c>
      <c r="E951" s="141" t="s">
        <v>331</v>
      </c>
      <c r="F951" s="184" t="s">
        <v>192</v>
      </c>
      <c r="G951" s="118"/>
    </row>
    <row r="952" spans="1:7" ht="15" customHeight="1" hidden="1">
      <c r="A952" s="111" t="s">
        <v>198</v>
      </c>
      <c r="B952" s="137"/>
      <c r="C952" s="138" t="s">
        <v>104</v>
      </c>
      <c r="D952" s="138" t="s">
        <v>104</v>
      </c>
      <c r="E952" s="138" t="s">
        <v>106</v>
      </c>
      <c r="F952" s="183"/>
      <c r="G952" s="118">
        <f>SUM(G953)</f>
        <v>0</v>
      </c>
    </row>
    <row r="953" spans="1:7" ht="42.75" customHeight="1" hidden="1">
      <c r="A953" s="111" t="s">
        <v>82</v>
      </c>
      <c r="B953" s="137"/>
      <c r="C953" s="138" t="s">
        <v>104</v>
      </c>
      <c r="D953" s="138" t="s">
        <v>104</v>
      </c>
      <c r="E953" s="138" t="s">
        <v>83</v>
      </c>
      <c r="F953" s="183"/>
      <c r="G953" s="118">
        <f>SUM(G954)+G955</f>
        <v>0</v>
      </c>
    </row>
    <row r="954" spans="1:7" ht="15" customHeight="1" hidden="1">
      <c r="A954" s="85" t="s">
        <v>211</v>
      </c>
      <c r="B954" s="137"/>
      <c r="C954" s="138" t="s">
        <v>104</v>
      </c>
      <c r="D954" s="138" t="s">
        <v>104</v>
      </c>
      <c r="E954" s="138" t="s">
        <v>83</v>
      </c>
      <c r="F954" s="183" t="s">
        <v>212</v>
      </c>
      <c r="G954" s="118"/>
    </row>
    <row r="955" spans="1:7" ht="15" customHeight="1" hidden="1">
      <c r="A955" s="85" t="s">
        <v>127</v>
      </c>
      <c r="B955" s="137"/>
      <c r="C955" s="138" t="s">
        <v>104</v>
      </c>
      <c r="D955" s="138" t="s">
        <v>104</v>
      </c>
      <c r="E955" s="138" t="s">
        <v>83</v>
      </c>
      <c r="F955" s="183" t="s">
        <v>77</v>
      </c>
      <c r="G955" s="118"/>
    </row>
    <row r="956" spans="1:7" ht="15">
      <c r="A956" s="85" t="s">
        <v>512</v>
      </c>
      <c r="B956" s="157"/>
      <c r="C956" s="141" t="s">
        <v>104</v>
      </c>
      <c r="D956" s="141" t="s">
        <v>104</v>
      </c>
      <c r="E956" s="141" t="s">
        <v>116</v>
      </c>
      <c r="F956" s="185"/>
      <c r="G956" s="118">
        <f>SUM(G957)</f>
        <v>44.9</v>
      </c>
    </row>
    <row r="957" spans="1:7" ht="15">
      <c r="A957" s="149" t="s">
        <v>1066</v>
      </c>
      <c r="B957" s="157"/>
      <c r="C957" s="141" t="s">
        <v>104</v>
      </c>
      <c r="D957" s="141" t="s">
        <v>104</v>
      </c>
      <c r="E957" s="141" t="s">
        <v>86</v>
      </c>
      <c r="F957" s="185"/>
      <c r="G957" s="118">
        <f>SUM(G958)</f>
        <v>44.9</v>
      </c>
    </row>
    <row r="958" spans="1:7" ht="28.5">
      <c r="A958" s="85" t="s">
        <v>447</v>
      </c>
      <c r="B958" s="157"/>
      <c r="C958" s="141" t="s">
        <v>104</v>
      </c>
      <c r="D958" s="141" t="s">
        <v>104</v>
      </c>
      <c r="E958" s="141" t="s">
        <v>86</v>
      </c>
      <c r="F958" s="185" t="s">
        <v>445</v>
      </c>
      <c r="G958" s="118">
        <v>44.9</v>
      </c>
    </row>
    <row r="959" spans="1:7" ht="15">
      <c r="A959" s="136" t="s">
        <v>280</v>
      </c>
      <c r="B959" s="137"/>
      <c r="C959" s="141" t="s">
        <v>259</v>
      </c>
      <c r="D959" s="141"/>
      <c r="E959" s="141"/>
      <c r="F959" s="184"/>
      <c r="G959" s="118">
        <f>SUM(G960+G974+G991+G1006)</f>
        <v>166571.39999999997</v>
      </c>
    </row>
    <row r="960" spans="1:7" ht="15">
      <c r="A960" s="136" t="s">
        <v>154</v>
      </c>
      <c r="B960" s="137"/>
      <c r="C960" s="141" t="s">
        <v>259</v>
      </c>
      <c r="D960" s="141" t="s">
        <v>398</v>
      </c>
      <c r="E960" s="141"/>
      <c r="F960" s="184"/>
      <c r="G960" s="118">
        <f>SUM(G963)+G961</f>
        <v>117284.79999999999</v>
      </c>
    </row>
    <row r="961" spans="1:7" ht="85.5">
      <c r="A961" s="136" t="s">
        <v>1320</v>
      </c>
      <c r="B961" s="137"/>
      <c r="C961" s="141" t="s">
        <v>259</v>
      </c>
      <c r="D961" s="141" t="s">
        <v>398</v>
      </c>
      <c r="E961" s="141" t="s">
        <v>1321</v>
      </c>
      <c r="F961" s="184"/>
      <c r="G961" s="118">
        <f>SUM(G962)</f>
        <v>334.9</v>
      </c>
    </row>
    <row r="962" spans="1:7" ht="28.5">
      <c r="A962" s="85" t="s">
        <v>447</v>
      </c>
      <c r="B962" s="137"/>
      <c r="C962" s="141" t="s">
        <v>259</v>
      </c>
      <c r="D962" s="141" t="s">
        <v>398</v>
      </c>
      <c r="E962" s="141" t="s">
        <v>1321</v>
      </c>
      <c r="F962" s="184" t="s">
        <v>445</v>
      </c>
      <c r="G962" s="118">
        <v>334.9</v>
      </c>
    </row>
    <row r="963" spans="1:7" ht="28.5">
      <c r="A963" s="136" t="s">
        <v>562</v>
      </c>
      <c r="B963" s="137"/>
      <c r="C963" s="141" t="s">
        <v>259</v>
      </c>
      <c r="D963" s="141" t="s">
        <v>398</v>
      </c>
      <c r="E963" s="141" t="s">
        <v>563</v>
      </c>
      <c r="F963" s="184"/>
      <c r="G963" s="366">
        <f>SUM(G964)</f>
        <v>116949.9</v>
      </c>
    </row>
    <row r="964" spans="1:7" ht="15">
      <c r="A964" s="136" t="s">
        <v>85</v>
      </c>
      <c r="B964" s="143"/>
      <c r="C964" s="141" t="s">
        <v>259</v>
      </c>
      <c r="D964" s="141" t="s">
        <v>398</v>
      </c>
      <c r="E964" s="141" t="s">
        <v>564</v>
      </c>
      <c r="F964" s="184"/>
      <c r="G964" s="118">
        <f>SUM(G973)+G965</f>
        <v>116949.9</v>
      </c>
    </row>
    <row r="965" spans="1:7" ht="24" customHeight="1">
      <c r="A965" s="85" t="s">
        <v>140</v>
      </c>
      <c r="B965" s="143"/>
      <c r="C965" s="141" t="s">
        <v>259</v>
      </c>
      <c r="D965" s="141" t="s">
        <v>398</v>
      </c>
      <c r="E965" s="141" t="s">
        <v>1067</v>
      </c>
      <c r="F965" s="184"/>
      <c r="G965" s="118">
        <f>SUM(G968+G970+G966)</f>
        <v>105284.5</v>
      </c>
    </row>
    <row r="966" spans="1:7" ht="30.75" customHeight="1">
      <c r="A966" s="85" t="s">
        <v>1192</v>
      </c>
      <c r="B966" s="143"/>
      <c r="C966" s="141" t="s">
        <v>259</v>
      </c>
      <c r="D966" s="141" t="s">
        <v>398</v>
      </c>
      <c r="E966" s="141" t="s">
        <v>1322</v>
      </c>
      <c r="F966" s="184"/>
      <c r="G966" s="118">
        <f>SUM(G967)</f>
        <v>4364.7</v>
      </c>
    </row>
    <row r="967" spans="1:7" ht="33.75" customHeight="1">
      <c r="A967" s="85" t="s">
        <v>447</v>
      </c>
      <c r="B967" s="143"/>
      <c r="C967" s="141" t="s">
        <v>259</v>
      </c>
      <c r="D967" s="141" t="s">
        <v>398</v>
      </c>
      <c r="E967" s="141" t="s">
        <v>1322</v>
      </c>
      <c r="F967" s="184" t="s">
        <v>445</v>
      </c>
      <c r="G967" s="118">
        <v>4364.7</v>
      </c>
    </row>
    <row r="968" spans="1:7" ht="28.5">
      <c r="A968" s="85" t="s">
        <v>355</v>
      </c>
      <c r="B968" s="143"/>
      <c r="C968" s="141" t="s">
        <v>259</v>
      </c>
      <c r="D968" s="141" t="s">
        <v>398</v>
      </c>
      <c r="E968" s="141" t="s">
        <v>1323</v>
      </c>
      <c r="F968" s="184"/>
      <c r="G968" s="118">
        <f>SUM(G969)</f>
        <v>92295.6</v>
      </c>
    </row>
    <row r="969" spans="1:7" ht="28.5">
      <c r="A969" s="85" t="s">
        <v>447</v>
      </c>
      <c r="B969" s="143"/>
      <c r="C969" s="141" t="s">
        <v>259</v>
      </c>
      <c r="D969" s="141" t="s">
        <v>398</v>
      </c>
      <c r="E969" s="141" t="s">
        <v>1323</v>
      </c>
      <c r="F969" s="184" t="s">
        <v>445</v>
      </c>
      <c r="G969" s="118">
        <v>92295.6</v>
      </c>
    </row>
    <row r="970" spans="1:7" ht="21" customHeight="1">
      <c r="A970" s="136" t="s">
        <v>183</v>
      </c>
      <c r="B970" s="143"/>
      <c r="C970" s="141" t="s">
        <v>259</v>
      </c>
      <c r="D970" s="141" t="s">
        <v>398</v>
      </c>
      <c r="E970" s="141" t="s">
        <v>1068</v>
      </c>
      <c r="F970" s="184"/>
      <c r="G970" s="118">
        <f>SUM(G971)</f>
        <v>8624.2</v>
      </c>
    </row>
    <row r="971" spans="1:7" ht="33" customHeight="1">
      <c r="A971" s="85" t="s">
        <v>447</v>
      </c>
      <c r="B971" s="143"/>
      <c r="C971" s="141" t="s">
        <v>259</v>
      </c>
      <c r="D971" s="141" t="s">
        <v>398</v>
      </c>
      <c r="E971" s="141" t="s">
        <v>1068</v>
      </c>
      <c r="F971" s="184" t="s">
        <v>445</v>
      </c>
      <c r="G971" s="118">
        <v>8624.2</v>
      </c>
    </row>
    <row r="972" spans="1:7" ht="28.5">
      <c r="A972" s="136" t="s">
        <v>260</v>
      </c>
      <c r="B972" s="143"/>
      <c r="C972" s="141" t="s">
        <v>259</v>
      </c>
      <c r="D972" s="141" t="s">
        <v>398</v>
      </c>
      <c r="E972" s="141" t="s">
        <v>565</v>
      </c>
      <c r="F972" s="184"/>
      <c r="G972" s="118">
        <f>SUM(G973)</f>
        <v>11665.4</v>
      </c>
    </row>
    <row r="973" spans="1:7" ht="28.5">
      <c r="A973" s="85" t="s">
        <v>447</v>
      </c>
      <c r="B973" s="156"/>
      <c r="C973" s="141" t="s">
        <v>259</v>
      </c>
      <c r="D973" s="141" t="s">
        <v>398</v>
      </c>
      <c r="E973" s="141" t="s">
        <v>565</v>
      </c>
      <c r="F973" s="185" t="s">
        <v>445</v>
      </c>
      <c r="G973" s="118">
        <v>11665.4</v>
      </c>
    </row>
    <row r="974" spans="1:7" ht="15">
      <c r="A974" s="136" t="s">
        <v>208</v>
      </c>
      <c r="B974" s="137"/>
      <c r="C974" s="141" t="s">
        <v>259</v>
      </c>
      <c r="D974" s="141" t="s">
        <v>400</v>
      </c>
      <c r="E974" s="141"/>
      <c r="F974" s="184"/>
      <c r="G974" s="118">
        <f>SUM(G975)</f>
        <v>23393</v>
      </c>
    </row>
    <row r="975" spans="1:7" ht="28.5">
      <c r="A975" s="136" t="s">
        <v>562</v>
      </c>
      <c r="B975" s="137"/>
      <c r="C975" s="141" t="s">
        <v>259</v>
      </c>
      <c r="D975" s="141" t="s">
        <v>400</v>
      </c>
      <c r="E975" s="141" t="s">
        <v>563</v>
      </c>
      <c r="F975" s="184"/>
      <c r="G975" s="118">
        <f>SUM(G980)+G983+G976</f>
        <v>23393</v>
      </c>
    </row>
    <row r="976" spans="1:7" ht="15">
      <c r="A976" s="294" t="s">
        <v>85</v>
      </c>
      <c r="B976" s="100"/>
      <c r="C976" s="141" t="s">
        <v>259</v>
      </c>
      <c r="D976" s="141" t="s">
        <v>400</v>
      </c>
      <c r="E976" s="89" t="s">
        <v>564</v>
      </c>
      <c r="F976" s="95"/>
      <c r="G976" s="118">
        <f>SUM(G977)</f>
        <v>1393.1</v>
      </c>
    </row>
    <row r="977" spans="1:7" ht="15">
      <c r="A977" s="85" t="s">
        <v>140</v>
      </c>
      <c r="B977" s="137"/>
      <c r="C977" s="141" t="s">
        <v>259</v>
      </c>
      <c r="D977" s="141" t="s">
        <v>400</v>
      </c>
      <c r="E977" s="89" t="s">
        <v>1067</v>
      </c>
      <c r="F977" s="184"/>
      <c r="G977" s="118">
        <f>SUM(G978)</f>
        <v>1393.1</v>
      </c>
    </row>
    <row r="978" spans="1:7" ht="15">
      <c r="A978" s="376" t="s">
        <v>137</v>
      </c>
      <c r="B978" s="54"/>
      <c r="C978" s="89" t="s">
        <v>259</v>
      </c>
      <c r="D978" s="89" t="s">
        <v>400</v>
      </c>
      <c r="E978" s="89" t="s">
        <v>1068</v>
      </c>
      <c r="F978" s="95"/>
      <c r="G978" s="118">
        <f>G979</f>
        <v>1393.1</v>
      </c>
    </row>
    <row r="979" spans="1:7" ht="28.5">
      <c r="A979" s="294" t="s">
        <v>447</v>
      </c>
      <c r="B979" s="54"/>
      <c r="C979" s="89" t="s">
        <v>259</v>
      </c>
      <c r="D979" s="89" t="s">
        <v>400</v>
      </c>
      <c r="E979" s="89" t="s">
        <v>1068</v>
      </c>
      <c r="F979" s="95" t="s">
        <v>445</v>
      </c>
      <c r="G979" s="118">
        <v>1393.1</v>
      </c>
    </row>
    <row r="980" spans="1:7" ht="41.25" customHeight="1">
      <c r="A980" s="136" t="s">
        <v>571</v>
      </c>
      <c r="B980" s="143"/>
      <c r="C980" s="141" t="s">
        <v>259</v>
      </c>
      <c r="D980" s="141" t="s">
        <v>400</v>
      </c>
      <c r="E980" s="141" t="s">
        <v>650</v>
      </c>
      <c r="F980" s="184"/>
      <c r="G980" s="118">
        <f>SUM(G981)</f>
        <v>9870.4</v>
      </c>
    </row>
    <row r="981" spans="1:7" ht="31.5" customHeight="1">
      <c r="A981" s="136" t="s">
        <v>260</v>
      </c>
      <c r="B981" s="143"/>
      <c r="C981" s="141" t="s">
        <v>259</v>
      </c>
      <c r="D981" s="141" t="s">
        <v>400</v>
      </c>
      <c r="E981" s="141" t="s">
        <v>651</v>
      </c>
      <c r="F981" s="184"/>
      <c r="G981" s="118">
        <f>SUM(G982)</f>
        <v>9870.4</v>
      </c>
    </row>
    <row r="982" spans="1:7" ht="18" customHeight="1">
      <c r="A982" s="85" t="s">
        <v>447</v>
      </c>
      <c r="B982" s="156"/>
      <c r="C982" s="141" t="s">
        <v>259</v>
      </c>
      <c r="D982" s="141" t="s">
        <v>400</v>
      </c>
      <c r="E982" s="141" t="s">
        <v>651</v>
      </c>
      <c r="F982" s="185" t="s">
        <v>445</v>
      </c>
      <c r="G982" s="118">
        <v>9870.4</v>
      </c>
    </row>
    <row r="983" spans="1:7" ht="27.75" customHeight="1">
      <c r="A983" s="136" t="s">
        <v>572</v>
      </c>
      <c r="B983" s="137"/>
      <c r="C983" s="141" t="s">
        <v>259</v>
      </c>
      <c r="D983" s="141" t="s">
        <v>400</v>
      </c>
      <c r="E983" s="141" t="s">
        <v>652</v>
      </c>
      <c r="F983" s="184"/>
      <c r="G983" s="118">
        <f>SUM(G989:G989)+G984</f>
        <v>12129.5</v>
      </c>
    </row>
    <row r="984" spans="1:7" ht="15" customHeight="1" hidden="1">
      <c r="A984" s="85" t="s">
        <v>140</v>
      </c>
      <c r="B984" s="137"/>
      <c r="C984" s="141" t="s">
        <v>259</v>
      </c>
      <c r="D984" s="141" t="s">
        <v>400</v>
      </c>
      <c r="E984" s="141" t="s">
        <v>186</v>
      </c>
      <c r="F984" s="184"/>
      <c r="G984" s="118">
        <f>SUM(G985)+G987</f>
        <v>0</v>
      </c>
    </row>
    <row r="985" spans="1:7" ht="28.5" customHeight="1" hidden="1">
      <c r="A985" s="85" t="s">
        <v>128</v>
      </c>
      <c r="B985" s="143"/>
      <c r="C985" s="141" t="s">
        <v>259</v>
      </c>
      <c r="D985" s="141" t="s">
        <v>400</v>
      </c>
      <c r="E985" s="141" t="s">
        <v>129</v>
      </c>
      <c r="F985" s="184"/>
      <c r="G985" s="118">
        <f>SUM(G986)</f>
        <v>0</v>
      </c>
    </row>
    <row r="986" spans="1:7" ht="28.5" customHeight="1" hidden="1">
      <c r="A986" s="85" t="s">
        <v>447</v>
      </c>
      <c r="B986" s="156"/>
      <c r="C986" s="141" t="s">
        <v>259</v>
      </c>
      <c r="D986" s="141" t="s">
        <v>400</v>
      </c>
      <c r="E986" s="141" t="s">
        <v>129</v>
      </c>
      <c r="F986" s="185" t="s">
        <v>445</v>
      </c>
      <c r="G986" s="118"/>
    </row>
    <row r="987" spans="1:7" ht="28.5" customHeight="1" hidden="1">
      <c r="A987" s="85" t="s">
        <v>355</v>
      </c>
      <c r="B987" s="143"/>
      <c r="C987" s="141" t="s">
        <v>259</v>
      </c>
      <c r="D987" s="141" t="s">
        <v>400</v>
      </c>
      <c r="E987" s="141" t="s">
        <v>420</v>
      </c>
      <c r="F987" s="184"/>
      <c r="G987" s="118">
        <f>SUM(G988)</f>
        <v>0</v>
      </c>
    </row>
    <row r="988" spans="1:7" ht="21" customHeight="1" hidden="1" thickBot="1">
      <c r="A988" s="85" t="s">
        <v>127</v>
      </c>
      <c r="B988" s="143"/>
      <c r="C988" s="141" t="s">
        <v>259</v>
      </c>
      <c r="D988" s="141" t="s">
        <v>400</v>
      </c>
      <c r="E988" s="141" t="s">
        <v>420</v>
      </c>
      <c r="F988" s="184" t="s">
        <v>77</v>
      </c>
      <c r="G988" s="118"/>
    </row>
    <row r="989" spans="1:7" ht="20.25" customHeight="1">
      <c r="A989" s="85" t="s">
        <v>260</v>
      </c>
      <c r="B989" s="137"/>
      <c r="C989" s="141" t="s">
        <v>259</v>
      </c>
      <c r="D989" s="141" t="s">
        <v>400</v>
      </c>
      <c r="E989" s="141" t="s">
        <v>653</v>
      </c>
      <c r="F989" s="184"/>
      <c r="G989" s="118">
        <f>SUM(G990)</f>
        <v>12129.5</v>
      </c>
    </row>
    <row r="990" spans="1:7" ht="28.5">
      <c r="A990" s="85" t="s">
        <v>447</v>
      </c>
      <c r="B990" s="156"/>
      <c r="C990" s="141" t="s">
        <v>259</v>
      </c>
      <c r="D990" s="141" t="s">
        <v>400</v>
      </c>
      <c r="E990" s="141" t="s">
        <v>653</v>
      </c>
      <c r="F990" s="185" t="s">
        <v>445</v>
      </c>
      <c r="G990" s="118">
        <v>12129.5</v>
      </c>
    </row>
    <row r="991" spans="1:7" ht="15">
      <c r="A991" s="85" t="s">
        <v>209</v>
      </c>
      <c r="B991" s="137"/>
      <c r="C991" s="141" t="s">
        <v>259</v>
      </c>
      <c r="D991" s="141" t="s">
        <v>109</v>
      </c>
      <c r="E991" s="141"/>
      <c r="F991" s="184"/>
      <c r="G991" s="118">
        <f>SUM(G994)+G992</f>
        <v>11445.3</v>
      </c>
    </row>
    <row r="992" spans="1:7" ht="95.25" customHeight="1">
      <c r="A992" s="136" t="s">
        <v>1320</v>
      </c>
      <c r="B992" s="137"/>
      <c r="C992" s="141" t="s">
        <v>259</v>
      </c>
      <c r="D992" s="141" t="s">
        <v>109</v>
      </c>
      <c r="E992" s="141" t="s">
        <v>1321</v>
      </c>
      <c r="F992" s="184"/>
      <c r="G992" s="118">
        <f>SUM(G993)</f>
        <v>79.4</v>
      </c>
    </row>
    <row r="993" spans="1:7" ht="32.25" customHeight="1">
      <c r="A993" s="85" t="s">
        <v>447</v>
      </c>
      <c r="B993" s="137"/>
      <c r="C993" s="141" t="s">
        <v>259</v>
      </c>
      <c r="D993" s="141" t="s">
        <v>109</v>
      </c>
      <c r="E993" s="141" t="s">
        <v>1321</v>
      </c>
      <c r="F993" s="184" t="s">
        <v>445</v>
      </c>
      <c r="G993" s="118">
        <v>79.4</v>
      </c>
    </row>
    <row r="994" spans="1:7" ht="28.5">
      <c r="A994" s="136" t="s">
        <v>562</v>
      </c>
      <c r="B994" s="137"/>
      <c r="C994" s="141" t="s">
        <v>259</v>
      </c>
      <c r="D994" s="141" t="s">
        <v>109</v>
      </c>
      <c r="E994" s="141" t="s">
        <v>563</v>
      </c>
      <c r="F994" s="184"/>
      <c r="G994" s="118">
        <f>SUM(G998)</f>
        <v>11365.9</v>
      </c>
    </row>
    <row r="995" spans="1:7" ht="15" customHeight="1" hidden="1">
      <c r="A995" s="136"/>
      <c r="B995" s="137"/>
      <c r="C995" s="141"/>
      <c r="D995" s="141"/>
      <c r="E995" s="141"/>
      <c r="F995" s="184"/>
      <c r="G995" s="118"/>
    </row>
    <row r="996" spans="1:7" ht="15" customHeight="1" hidden="1">
      <c r="A996" s="136"/>
      <c r="B996" s="137"/>
      <c r="C996" s="141"/>
      <c r="D996" s="141"/>
      <c r="E996" s="141"/>
      <c r="F996" s="184"/>
      <c r="G996" s="118"/>
    </row>
    <row r="997" spans="1:7" ht="15" customHeight="1" hidden="1">
      <c r="A997" s="136"/>
      <c r="B997" s="137"/>
      <c r="C997" s="141"/>
      <c r="D997" s="141"/>
      <c r="E997" s="141"/>
      <c r="F997" s="184"/>
      <c r="G997" s="118"/>
    </row>
    <row r="998" spans="1:7" ht="15">
      <c r="A998" s="136" t="s">
        <v>85</v>
      </c>
      <c r="B998" s="137"/>
      <c r="C998" s="141" t="s">
        <v>259</v>
      </c>
      <c r="D998" s="141" t="s">
        <v>109</v>
      </c>
      <c r="E998" s="141" t="s">
        <v>564</v>
      </c>
      <c r="F998" s="184"/>
      <c r="G998" s="118">
        <f>SUM(G1002)+G999</f>
        <v>11365.9</v>
      </c>
    </row>
    <row r="999" spans="1:7" ht="15">
      <c r="A999" s="85" t="s">
        <v>140</v>
      </c>
      <c r="B999" s="143"/>
      <c r="C999" s="141" t="s">
        <v>259</v>
      </c>
      <c r="D999" s="141" t="s">
        <v>109</v>
      </c>
      <c r="E999" s="141" t="s">
        <v>1067</v>
      </c>
      <c r="F999" s="184"/>
      <c r="G999" s="118">
        <f>SUM(G1000)</f>
        <v>7742.8</v>
      </c>
    </row>
    <row r="1000" spans="1:7" ht="15">
      <c r="A1000" s="136" t="s">
        <v>183</v>
      </c>
      <c r="B1000" s="143"/>
      <c r="C1000" s="141" t="s">
        <v>259</v>
      </c>
      <c r="D1000" s="141" t="s">
        <v>109</v>
      </c>
      <c r="E1000" s="141" t="s">
        <v>1068</v>
      </c>
      <c r="F1000" s="184"/>
      <c r="G1000" s="118">
        <f>SUM(G1001)</f>
        <v>7742.8</v>
      </c>
    </row>
    <row r="1001" spans="1:7" ht="28.5">
      <c r="A1001" s="85" t="s">
        <v>447</v>
      </c>
      <c r="B1001" s="143"/>
      <c r="C1001" s="141" t="s">
        <v>259</v>
      </c>
      <c r="D1001" s="141" t="s">
        <v>109</v>
      </c>
      <c r="E1001" s="141" t="s">
        <v>1068</v>
      </c>
      <c r="F1001" s="184" t="s">
        <v>445</v>
      </c>
      <c r="G1001" s="118">
        <v>7742.8</v>
      </c>
    </row>
    <row r="1002" spans="1:7" ht="28.5">
      <c r="A1002" s="85" t="s">
        <v>260</v>
      </c>
      <c r="B1002" s="137"/>
      <c r="C1002" s="141" t="s">
        <v>259</v>
      </c>
      <c r="D1002" s="141" t="s">
        <v>109</v>
      </c>
      <c r="E1002" s="141" t="s">
        <v>565</v>
      </c>
      <c r="F1002" s="184"/>
      <c r="G1002" s="118">
        <f>SUM(G1003)</f>
        <v>3623.1</v>
      </c>
    </row>
    <row r="1003" spans="1:7" ht="33.75" customHeight="1">
      <c r="A1003" s="85" t="s">
        <v>447</v>
      </c>
      <c r="B1003" s="156"/>
      <c r="C1003" s="141" t="s">
        <v>259</v>
      </c>
      <c r="D1003" s="141" t="s">
        <v>109</v>
      </c>
      <c r="E1003" s="141" t="s">
        <v>565</v>
      </c>
      <c r="F1003" s="185" t="s">
        <v>445</v>
      </c>
      <c r="G1003" s="118">
        <v>3623.1</v>
      </c>
    </row>
    <row r="1004" spans="1:7" ht="25.5" customHeight="1" hidden="1">
      <c r="A1004" s="111" t="s">
        <v>3</v>
      </c>
      <c r="B1004" s="137"/>
      <c r="C1004" s="141" t="s">
        <v>259</v>
      </c>
      <c r="D1004" s="141" t="s">
        <v>109</v>
      </c>
      <c r="E1004" s="141" t="s">
        <v>231</v>
      </c>
      <c r="F1004" s="183"/>
      <c r="G1004" s="118">
        <f>SUM(G1005)</f>
        <v>0</v>
      </c>
    </row>
    <row r="1005" spans="1:7" ht="12.75" customHeight="1" hidden="1">
      <c r="A1005" s="136" t="s">
        <v>293</v>
      </c>
      <c r="B1005" s="137"/>
      <c r="C1005" s="141" t="s">
        <v>259</v>
      </c>
      <c r="D1005" s="141" t="s">
        <v>109</v>
      </c>
      <c r="E1005" s="141" t="s">
        <v>231</v>
      </c>
      <c r="F1005" s="183" t="s">
        <v>232</v>
      </c>
      <c r="G1005" s="118"/>
    </row>
    <row r="1006" spans="1:7" ht="22.5" customHeight="1">
      <c r="A1006" s="111" t="s">
        <v>207</v>
      </c>
      <c r="B1006" s="145"/>
      <c r="C1006" s="141" t="s">
        <v>259</v>
      </c>
      <c r="D1006" s="141" t="s">
        <v>259</v>
      </c>
      <c r="E1006" s="141"/>
      <c r="F1006" s="184"/>
      <c r="G1006" s="118">
        <f>SUM(G1009)+G1014</f>
        <v>14448.300000000001</v>
      </c>
    </row>
    <row r="1007" spans="1:7" ht="18" customHeight="1" hidden="1">
      <c r="A1007" s="111" t="s">
        <v>188</v>
      </c>
      <c r="B1007" s="145"/>
      <c r="C1007" s="141" t="s">
        <v>259</v>
      </c>
      <c r="D1007" s="141" t="s">
        <v>259</v>
      </c>
      <c r="E1007" s="141" t="s">
        <v>189</v>
      </c>
      <c r="F1007" s="184"/>
      <c r="G1007" s="118">
        <f>SUM(G1008)</f>
        <v>0</v>
      </c>
    </row>
    <row r="1008" spans="1:7" ht="15" customHeight="1" hidden="1">
      <c r="A1008" s="85" t="s">
        <v>140</v>
      </c>
      <c r="B1008" s="145"/>
      <c r="C1008" s="141" t="s">
        <v>259</v>
      </c>
      <c r="D1008" s="141" t="s">
        <v>259</v>
      </c>
      <c r="E1008" s="141" t="s">
        <v>189</v>
      </c>
      <c r="F1008" s="184" t="s">
        <v>77</v>
      </c>
      <c r="G1008" s="118"/>
    </row>
    <row r="1009" spans="1:7" ht="28.5">
      <c r="A1009" s="136" t="s">
        <v>562</v>
      </c>
      <c r="B1009" s="137"/>
      <c r="C1009" s="141" t="s">
        <v>259</v>
      </c>
      <c r="D1009" s="141" t="s">
        <v>259</v>
      </c>
      <c r="E1009" s="141" t="s">
        <v>563</v>
      </c>
      <c r="F1009" s="184"/>
      <c r="G1009" s="118">
        <f>SUM(G1010)</f>
        <v>13156.6</v>
      </c>
    </row>
    <row r="1010" spans="1:7" ht="28.5">
      <c r="A1010" s="136" t="s">
        <v>50</v>
      </c>
      <c r="B1010" s="137"/>
      <c r="C1010" s="141" t="s">
        <v>259</v>
      </c>
      <c r="D1010" s="141" t="s">
        <v>259</v>
      </c>
      <c r="E1010" s="141" t="s">
        <v>566</v>
      </c>
      <c r="F1010" s="184"/>
      <c r="G1010" s="118">
        <f>SUM(G1011:G1013)</f>
        <v>13156.6</v>
      </c>
    </row>
    <row r="1011" spans="1:7" ht="28.5">
      <c r="A1011" s="136" t="s">
        <v>428</v>
      </c>
      <c r="B1011" s="137"/>
      <c r="C1011" s="141" t="s">
        <v>259</v>
      </c>
      <c r="D1011" s="141" t="s">
        <v>259</v>
      </c>
      <c r="E1011" s="141" t="s">
        <v>566</v>
      </c>
      <c r="F1011" s="183" t="s">
        <v>429</v>
      </c>
      <c r="G1011" s="118">
        <v>11611.4</v>
      </c>
    </row>
    <row r="1012" spans="1:7" ht="28.5">
      <c r="A1012" s="136" t="s">
        <v>675</v>
      </c>
      <c r="B1012" s="137"/>
      <c r="C1012" s="141" t="s">
        <v>259</v>
      </c>
      <c r="D1012" s="141" t="s">
        <v>259</v>
      </c>
      <c r="E1012" s="141" t="s">
        <v>566</v>
      </c>
      <c r="F1012" s="183" t="s">
        <v>107</v>
      </c>
      <c r="G1012" s="366">
        <v>1499.6</v>
      </c>
    </row>
    <row r="1013" spans="1:7" ht="15">
      <c r="A1013" s="201" t="s">
        <v>434</v>
      </c>
      <c r="B1013" s="202"/>
      <c r="C1013" s="203" t="s">
        <v>259</v>
      </c>
      <c r="D1013" s="203" t="s">
        <v>259</v>
      </c>
      <c r="E1013" s="203" t="s">
        <v>566</v>
      </c>
      <c r="F1013" s="394" t="s">
        <v>152</v>
      </c>
      <c r="G1013" s="526">
        <v>45.6</v>
      </c>
    </row>
    <row r="1014" spans="1:7" ht="15">
      <c r="A1014" s="85" t="s">
        <v>512</v>
      </c>
      <c r="B1014" s="137"/>
      <c r="C1014" s="203" t="s">
        <v>259</v>
      </c>
      <c r="D1014" s="203" t="s">
        <v>259</v>
      </c>
      <c r="E1014" s="141" t="s">
        <v>116</v>
      </c>
      <c r="F1014" s="184"/>
      <c r="G1014" s="118">
        <f>SUM(G1015)</f>
        <v>1291.7</v>
      </c>
    </row>
    <row r="1015" spans="1:7" ht="28.5">
      <c r="A1015" s="280" t="s">
        <v>654</v>
      </c>
      <c r="B1015" s="281"/>
      <c r="C1015" s="203" t="s">
        <v>259</v>
      </c>
      <c r="D1015" s="203" t="s">
        <v>259</v>
      </c>
      <c r="E1015" s="141" t="s">
        <v>655</v>
      </c>
      <c r="F1015" s="282"/>
      <c r="G1015" s="527">
        <f>SUM(G1016)</f>
        <v>1291.7</v>
      </c>
    </row>
    <row r="1016" spans="1:7" ht="28.5">
      <c r="A1016" s="85" t="s">
        <v>447</v>
      </c>
      <c r="B1016" s="137"/>
      <c r="C1016" s="141" t="s">
        <v>259</v>
      </c>
      <c r="D1016" s="141" t="s">
        <v>259</v>
      </c>
      <c r="E1016" s="141" t="s">
        <v>655</v>
      </c>
      <c r="F1016" s="184" t="s">
        <v>445</v>
      </c>
      <c r="G1016" s="118">
        <v>1291.7</v>
      </c>
    </row>
    <row r="1017" spans="1:7" ht="15">
      <c r="A1017" s="85" t="s">
        <v>159</v>
      </c>
      <c r="B1017" s="161"/>
      <c r="C1017" s="148" t="s">
        <v>5</v>
      </c>
      <c r="D1017" s="148"/>
      <c r="E1017" s="148"/>
      <c r="F1017" s="192"/>
      <c r="G1017" s="125">
        <f>SUM(G1018)</f>
        <v>148.5</v>
      </c>
    </row>
    <row r="1018" spans="1:7" ht="15">
      <c r="A1018" s="85" t="s">
        <v>23</v>
      </c>
      <c r="B1018" s="161"/>
      <c r="C1018" s="171" t="s">
        <v>5</v>
      </c>
      <c r="D1018" s="171" t="s">
        <v>95</v>
      </c>
      <c r="E1018" s="171"/>
      <c r="F1018" s="192"/>
      <c r="G1018" s="125">
        <f>SUM(G1019)</f>
        <v>148.5</v>
      </c>
    </row>
    <row r="1019" spans="1:7" ht="15">
      <c r="A1019" s="85" t="s">
        <v>24</v>
      </c>
      <c r="B1019" s="161"/>
      <c r="C1019" s="171" t="s">
        <v>5</v>
      </c>
      <c r="D1019" s="171" t="s">
        <v>95</v>
      </c>
      <c r="E1019" s="171" t="s">
        <v>25</v>
      </c>
      <c r="F1019" s="192"/>
      <c r="G1019" s="125">
        <f>SUM(G1020)</f>
        <v>148.5</v>
      </c>
    </row>
    <row r="1020" spans="1:7" ht="15">
      <c r="A1020" s="85" t="s">
        <v>250</v>
      </c>
      <c r="B1020" s="170"/>
      <c r="C1020" s="171" t="s">
        <v>5</v>
      </c>
      <c r="D1020" s="171" t="s">
        <v>95</v>
      </c>
      <c r="E1020" s="171" t="s">
        <v>504</v>
      </c>
      <c r="F1020" s="188"/>
      <c r="G1020" s="126">
        <f>SUM(G1021)</f>
        <v>148.5</v>
      </c>
    </row>
    <row r="1021" spans="1:7" ht="42.75">
      <c r="A1021" s="85" t="s">
        <v>413</v>
      </c>
      <c r="B1021" s="170"/>
      <c r="C1021" s="171" t="s">
        <v>5</v>
      </c>
      <c r="D1021" s="171" t="s">
        <v>95</v>
      </c>
      <c r="E1021" s="171" t="s">
        <v>507</v>
      </c>
      <c r="F1021" s="188"/>
      <c r="G1021" s="126">
        <f>SUM(G1022:G1022)</f>
        <v>148.5</v>
      </c>
    </row>
    <row r="1022" spans="1:7" ht="29.25" thickBot="1">
      <c r="A1022" s="85" t="s">
        <v>447</v>
      </c>
      <c r="B1022" s="137"/>
      <c r="C1022" s="171" t="s">
        <v>5</v>
      </c>
      <c r="D1022" s="171" t="s">
        <v>95</v>
      </c>
      <c r="E1022" s="171" t="s">
        <v>507</v>
      </c>
      <c r="F1022" s="184" t="s">
        <v>445</v>
      </c>
      <c r="G1022" s="118">
        <v>148.5</v>
      </c>
    </row>
    <row r="1023" spans="1:7" ht="21.75" customHeight="1" thickBot="1">
      <c r="A1023" s="164" t="s">
        <v>149</v>
      </c>
      <c r="B1023" s="165"/>
      <c r="C1023" s="166"/>
      <c r="D1023" s="166"/>
      <c r="E1023" s="166"/>
      <c r="F1023" s="395"/>
      <c r="G1023" s="544">
        <f>SUM(G12+G36+G56+G360+G406+G603+G660+G825+G944)</f>
        <v>3829826.6</v>
      </c>
    </row>
    <row r="1024" ht="12.75" customHeight="1">
      <c r="G1024" s="81"/>
    </row>
    <row r="1025" ht="15" hidden="1">
      <c r="G1025" s="87">
        <v>3829826.6</v>
      </c>
    </row>
    <row r="1026" ht="18.75" customHeight="1" hidden="1">
      <c r="G1026" s="82">
        <f>SUM(G1025-G1023)</f>
        <v>0</v>
      </c>
    </row>
    <row r="1027" ht="15">
      <c r="G1027" s="82"/>
    </row>
    <row r="1028" ht="15">
      <c r="G1028" s="83"/>
    </row>
  </sheetData>
  <sheetProtection/>
  <mergeCells count="3">
    <mergeCell ref="F6:G6"/>
    <mergeCell ref="A10:A11"/>
    <mergeCell ref="F5:G5"/>
  </mergeCells>
  <printOptions/>
  <pageMargins left="1.062992125984252" right="0.15748031496062992" top="0.15748031496062992" bottom="0.03937007874015748" header="0.5118110236220472" footer="0.2362204724409449"/>
  <pageSetup fitToHeight="14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6.25390625" style="59" customWidth="1"/>
    <col min="2" max="2" width="14.875" style="59" customWidth="1"/>
    <col min="3" max="3" width="15.00390625" style="59" hidden="1" customWidth="1"/>
    <col min="4" max="4" width="13.25390625" style="59" customWidth="1"/>
    <col min="5" max="5" width="12.75390625" style="59" customWidth="1"/>
    <col min="6" max="6" width="9.125" style="59" hidden="1" customWidth="1"/>
    <col min="7" max="16384" width="9.125" style="59" customWidth="1"/>
  </cols>
  <sheetData>
    <row r="1" spans="2:5" ht="12.75">
      <c r="B1" s="60" t="s">
        <v>1231</v>
      </c>
      <c r="D1" s="60"/>
      <c r="E1" s="61"/>
    </row>
    <row r="2" spans="1:6" ht="12.75">
      <c r="A2" s="457"/>
      <c r="B2" s="4" t="s">
        <v>1188</v>
      </c>
      <c r="C2" s="324"/>
      <c r="D2" s="457"/>
      <c r="E2" s="457"/>
      <c r="F2" s="457"/>
    </row>
    <row r="3" spans="1:6" ht="12.75">
      <c r="A3" s="457"/>
      <c r="B3" s="4" t="s">
        <v>1189</v>
      </c>
      <c r="C3" s="324"/>
      <c r="D3" s="457"/>
      <c r="E3" s="457"/>
      <c r="F3" s="457"/>
    </row>
    <row r="4" spans="1:6" ht="12.75">
      <c r="A4" s="457"/>
      <c r="B4" s="4" t="s">
        <v>1190</v>
      </c>
      <c r="C4" s="324"/>
      <c r="D4" s="457"/>
      <c r="E4" s="457"/>
      <c r="F4" s="457"/>
    </row>
    <row r="5" spans="2:5" ht="12.75">
      <c r="B5" s="568" t="s">
        <v>1191</v>
      </c>
      <c r="C5" s="568"/>
      <c r="D5" s="568"/>
      <c r="E5" s="568"/>
    </row>
    <row r="7" spans="1:5" ht="15">
      <c r="A7" s="573" t="s">
        <v>679</v>
      </c>
      <c r="B7" s="573"/>
      <c r="C7" s="573"/>
      <c r="D7" s="573"/>
      <c r="E7" s="573"/>
    </row>
    <row r="9" ht="13.5" thickBot="1">
      <c r="E9" s="59" t="s">
        <v>680</v>
      </c>
    </row>
    <row r="10" spans="1:5" s="289" customFormat="1" ht="15" thickBot="1">
      <c r="A10" s="574" t="s">
        <v>681</v>
      </c>
      <c r="B10" s="576" t="s">
        <v>682</v>
      </c>
      <c r="C10" s="577"/>
      <c r="D10" s="577"/>
      <c r="E10" s="578"/>
    </row>
    <row r="11" spans="1:5" s="289" customFormat="1" ht="29.25" thickBot="1">
      <c r="A11" s="575"/>
      <c r="B11" s="290" t="s">
        <v>683</v>
      </c>
      <c r="C11" s="290" t="s">
        <v>1133</v>
      </c>
      <c r="D11" s="290" t="s">
        <v>684</v>
      </c>
      <c r="E11" s="290" t="s">
        <v>685</v>
      </c>
    </row>
    <row r="12" spans="1:5" s="289" customFormat="1" ht="14.25">
      <c r="A12" s="396"/>
      <c r="B12" s="397"/>
      <c r="C12" s="397"/>
      <c r="D12" s="397"/>
      <c r="E12" s="397"/>
    </row>
    <row r="13" spans="1:5" s="289" customFormat="1" ht="28.5">
      <c r="A13" s="418" t="s">
        <v>686</v>
      </c>
      <c r="B13" s="419"/>
      <c r="C13" s="419"/>
      <c r="D13" s="419"/>
      <c r="E13" s="419"/>
    </row>
    <row r="14" spans="1:5" s="289" customFormat="1" ht="14.25">
      <c r="A14" s="420" t="s">
        <v>1216</v>
      </c>
      <c r="B14" s="345">
        <v>850</v>
      </c>
      <c r="C14" s="421"/>
      <c r="D14" s="421"/>
      <c r="E14" s="421"/>
    </row>
    <row r="15" spans="1:5" s="289" customFormat="1" ht="28.5">
      <c r="A15" s="420" t="s">
        <v>1217</v>
      </c>
      <c r="B15" s="345">
        <v>1720</v>
      </c>
      <c r="C15" s="345">
        <v>1720</v>
      </c>
      <c r="D15" s="421"/>
      <c r="E15" s="421"/>
    </row>
    <row r="16" spans="1:5" s="289" customFormat="1" ht="28.5">
      <c r="A16" s="422" t="s">
        <v>1218</v>
      </c>
      <c r="B16" s="346">
        <v>1503</v>
      </c>
      <c r="C16" s="346">
        <v>1503</v>
      </c>
      <c r="D16" s="423">
        <v>889.5</v>
      </c>
      <c r="E16" s="424"/>
    </row>
    <row r="17" spans="1:5" s="289" customFormat="1" ht="14.25">
      <c r="A17" s="422" t="s">
        <v>1129</v>
      </c>
      <c r="B17" s="346">
        <v>313.7</v>
      </c>
      <c r="C17" s="346">
        <v>234</v>
      </c>
      <c r="D17" s="424"/>
      <c r="E17" s="424"/>
    </row>
    <row r="18" spans="1:5" s="289" customFormat="1" ht="28.5">
      <c r="A18" s="422" t="s">
        <v>1130</v>
      </c>
      <c r="B18" s="346">
        <v>562.3</v>
      </c>
      <c r="C18" s="346">
        <v>97.1</v>
      </c>
      <c r="D18" s="424"/>
      <c r="E18" s="424"/>
    </row>
    <row r="19" spans="1:5" s="289" customFormat="1" ht="15" thickBot="1">
      <c r="A19" s="418" t="s">
        <v>1128</v>
      </c>
      <c r="B19" s="347">
        <v>2077.8</v>
      </c>
      <c r="C19" s="347">
        <v>1725.6</v>
      </c>
      <c r="D19" s="419"/>
      <c r="E19" s="419"/>
    </row>
    <row r="20" spans="1:5" s="289" customFormat="1" ht="15" thickBot="1">
      <c r="A20" s="425" t="s">
        <v>687</v>
      </c>
      <c r="B20" s="426">
        <f>SUM(B14:B19)</f>
        <v>7026.8</v>
      </c>
      <c r="C20" s="426">
        <f>SUM(C15:C19)</f>
        <v>5279.7</v>
      </c>
      <c r="D20" s="426">
        <f>SUM(D15:D19)</f>
        <v>889.5</v>
      </c>
      <c r="E20" s="426">
        <v>0</v>
      </c>
    </row>
    <row r="21" spans="1:5" s="289" customFormat="1" ht="42.75">
      <c r="A21" s="418" t="s">
        <v>688</v>
      </c>
      <c r="B21" s="347"/>
      <c r="C21" s="347"/>
      <c r="D21" s="427"/>
      <c r="E21" s="427"/>
    </row>
    <row r="22" spans="1:5" s="289" customFormat="1" ht="14.25">
      <c r="A22" s="420" t="s">
        <v>1220</v>
      </c>
      <c r="B22" s="345">
        <v>2206.1</v>
      </c>
      <c r="C22" s="345">
        <v>2206.1</v>
      </c>
      <c r="D22" s="428"/>
      <c r="E22" s="428"/>
    </row>
    <row r="23" spans="1:5" s="289" customFormat="1" ht="42.75">
      <c r="A23" s="420" t="s">
        <v>1055</v>
      </c>
      <c r="B23" s="345">
        <v>30</v>
      </c>
      <c r="C23" s="345">
        <v>3.8</v>
      </c>
      <c r="D23" s="428"/>
      <c r="E23" s="428"/>
    </row>
    <row r="24" spans="1:5" s="289" customFormat="1" ht="14.25">
      <c r="A24" s="420" t="s">
        <v>1222</v>
      </c>
      <c r="B24" s="345">
        <v>138.9</v>
      </c>
      <c r="C24" s="345"/>
      <c r="D24" s="428"/>
      <c r="E24" s="428"/>
    </row>
    <row r="25" spans="1:5" s="289" customFormat="1" ht="28.5">
      <c r="A25" s="422" t="s">
        <v>1219</v>
      </c>
      <c r="B25" s="346">
        <v>1033.2</v>
      </c>
      <c r="C25" s="346">
        <v>915.8</v>
      </c>
      <c r="D25" s="429"/>
      <c r="E25" s="429"/>
    </row>
    <row r="26" spans="1:5" s="289" customFormat="1" ht="15" thickBot="1">
      <c r="A26" s="418" t="s">
        <v>1221</v>
      </c>
      <c r="B26" s="347">
        <v>71.5</v>
      </c>
      <c r="C26" s="347"/>
      <c r="D26" s="427"/>
      <c r="E26" s="427"/>
    </row>
    <row r="27" spans="1:5" s="289" customFormat="1" ht="15" thickBot="1">
      <c r="A27" s="430" t="s">
        <v>687</v>
      </c>
      <c r="B27" s="431">
        <f>SUM(B22:B26)</f>
        <v>3479.7</v>
      </c>
      <c r="C27" s="431">
        <f>SUM(C22:C26)</f>
        <v>3125.7</v>
      </c>
      <c r="D27" s="426">
        <v>0</v>
      </c>
      <c r="E27" s="426">
        <v>0</v>
      </c>
    </row>
    <row r="28" spans="1:5" s="289" customFormat="1" ht="42.75">
      <c r="A28" s="438" t="s">
        <v>690</v>
      </c>
      <c r="B28" s="460"/>
      <c r="C28" s="434"/>
      <c r="D28" s="439"/>
      <c r="E28" s="439"/>
    </row>
    <row r="29" spans="1:5" s="289" customFormat="1" ht="42.75">
      <c r="A29" s="461" t="s">
        <v>1223</v>
      </c>
      <c r="B29" s="410">
        <f>1320-102.3</f>
        <v>1217.7</v>
      </c>
      <c r="C29" s="345"/>
      <c r="D29" s="428"/>
      <c r="E29" s="428"/>
    </row>
    <row r="30" spans="1:5" s="289" customFormat="1" ht="42.75">
      <c r="A30" s="461" t="s">
        <v>1224</v>
      </c>
      <c r="B30" s="410">
        <f>10400-414</f>
        <v>9986</v>
      </c>
      <c r="C30" s="345"/>
      <c r="D30" s="428"/>
      <c r="E30" s="428"/>
    </row>
    <row r="31" spans="1:5" s="289" customFormat="1" ht="28.5">
      <c r="A31" s="461" t="s">
        <v>1225</v>
      </c>
      <c r="B31" s="410">
        <v>896.4</v>
      </c>
      <c r="C31" s="345"/>
      <c r="D31" s="428"/>
      <c r="E31" s="428"/>
    </row>
    <row r="32" spans="1:5" s="289" customFormat="1" ht="42.75">
      <c r="A32" s="461" t="s">
        <v>1226</v>
      </c>
      <c r="B32" s="410">
        <f>6680+539.7</f>
        <v>7219.7</v>
      </c>
      <c r="C32" s="345"/>
      <c r="D32" s="428"/>
      <c r="E32" s="428"/>
    </row>
    <row r="33" spans="1:5" s="289" customFormat="1" ht="43.5" thickBot="1">
      <c r="A33" s="462" t="s">
        <v>1227</v>
      </c>
      <c r="B33" s="463">
        <f>3200-23.4</f>
        <v>3176.6</v>
      </c>
      <c r="C33" s="345">
        <v>896.4</v>
      </c>
      <c r="D33" s="428"/>
      <c r="E33" s="428"/>
    </row>
    <row r="34" spans="1:5" s="289" customFormat="1" ht="15" thickBot="1">
      <c r="A34" s="430" t="s">
        <v>687</v>
      </c>
      <c r="B34" s="426">
        <f>SUM(B29:B33)</f>
        <v>22496.399999999998</v>
      </c>
      <c r="C34" s="426">
        <f>SUM(C33)</f>
        <v>896.4</v>
      </c>
      <c r="D34" s="426">
        <f>SUM(D33)</f>
        <v>0</v>
      </c>
      <c r="E34" s="426">
        <f>SUM(E33)</f>
        <v>0</v>
      </c>
    </row>
    <row r="35" spans="1:5" s="289" customFormat="1" ht="42.75">
      <c r="A35" s="432" t="s">
        <v>1115</v>
      </c>
      <c r="B35" s="408"/>
      <c r="C35" s="405"/>
      <c r="D35" s="399"/>
      <c r="E35" s="402"/>
    </row>
    <row r="36" spans="1:5" s="289" customFormat="1" ht="15" thickBot="1">
      <c r="A36" s="398" t="s">
        <v>1125</v>
      </c>
      <c r="B36" s="411">
        <v>705</v>
      </c>
      <c r="C36" s="406">
        <v>71.6</v>
      </c>
      <c r="D36" s="400"/>
      <c r="E36" s="403"/>
    </row>
    <row r="37" spans="1:5" s="289" customFormat="1" ht="15" thickBot="1">
      <c r="A37" s="417" t="s">
        <v>687</v>
      </c>
      <c r="B37" s="412">
        <f>SUM(B36)</f>
        <v>705</v>
      </c>
      <c r="C37" s="407">
        <f>SUM(C36)</f>
        <v>71.6</v>
      </c>
      <c r="D37" s="401">
        <f>SUM(D36)</f>
        <v>0</v>
      </c>
      <c r="E37" s="404">
        <f>SUM(E36)</f>
        <v>0</v>
      </c>
    </row>
    <row r="38" spans="1:5" s="289" customFormat="1" ht="28.5">
      <c r="A38" s="420" t="s">
        <v>691</v>
      </c>
      <c r="B38" s="345"/>
      <c r="C38" s="345"/>
      <c r="D38" s="428"/>
      <c r="E38" s="428"/>
    </row>
    <row r="39" spans="1:5" s="289" customFormat="1" ht="29.25" thickBot="1">
      <c r="A39" s="418" t="s">
        <v>692</v>
      </c>
      <c r="B39" s="347">
        <v>31846.8</v>
      </c>
      <c r="C39" s="347">
        <v>5907.9</v>
      </c>
      <c r="D39" s="427"/>
      <c r="E39" s="427"/>
    </row>
    <row r="40" spans="1:5" s="289" customFormat="1" ht="15" thickBot="1">
      <c r="A40" s="430" t="s">
        <v>687</v>
      </c>
      <c r="B40" s="426">
        <f>SUM(B39)</f>
        <v>31846.8</v>
      </c>
      <c r="C40" s="426">
        <f>SUM(C39)</f>
        <v>5907.9</v>
      </c>
      <c r="D40" s="426">
        <f>SUM(D39)</f>
        <v>0</v>
      </c>
      <c r="E40" s="426">
        <f>SUM(E39)</f>
        <v>0</v>
      </c>
    </row>
    <row r="41" spans="1:5" s="289" customFormat="1" ht="28.5">
      <c r="A41" s="433" t="s">
        <v>1057</v>
      </c>
      <c r="B41" s="434"/>
      <c r="C41" s="434"/>
      <c r="D41" s="434"/>
      <c r="E41" s="434"/>
    </row>
    <row r="42" spans="1:5" s="289" customFormat="1" ht="29.25" thickBot="1">
      <c r="A42" s="435" t="s">
        <v>692</v>
      </c>
      <c r="B42" s="348">
        <v>1863.5</v>
      </c>
      <c r="C42" s="348">
        <v>724.9</v>
      </c>
      <c r="D42" s="436"/>
      <c r="E42" s="436"/>
    </row>
    <row r="43" spans="1:5" s="289" customFormat="1" ht="15" thickBot="1">
      <c r="A43" s="416" t="s">
        <v>687</v>
      </c>
      <c r="B43" s="348">
        <f>SUM(B42)</f>
        <v>1863.5</v>
      </c>
      <c r="C43" s="348">
        <f>SUM(C42)</f>
        <v>724.9</v>
      </c>
      <c r="D43" s="348"/>
      <c r="E43" s="348"/>
    </row>
    <row r="44" spans="1:5" s="289" customFormat="1" ht="28.5">
      <c r="A44" s="433" t="s">
        <v>1056</v>
      </c>
      <c r="B44" s="434"/>
      <c r="C44" s="434"/>
      <c r="D44" s="434"/>
      <c r="E44" s="434"/>
    </row>
    <row r="45" spans="1:5" s="289" customFormat="1" ht="28.5">
      <c r="A45" s="437" t="s">
        <v>1126</v>
      </c>
      <c r="B45" s="346">
        <v>473.6</v>
      </c>
      <c r="C45" s="346">
        <v>391.7</v>
      </c>
      <c r="D45" s="346"/>
      <c r="E45" s="346"/>
    </row>
    <row r="46" spans="1:5" s="289" customFormat="1" ht="15" thickBot="1">
      <c r="A46" s="416" t="s">
        <v>687</v>
      </c>
      <c r="B46" s="348">
        <f>SUM(B45)</f>
        <v>473.6</v>
      </c>
      <c r="C46" s="348">
        <f>SUM(C45:C45)</f>
        <v>391.7</v>
      </c>
      <c r="D46" s="348"/>
      <c r="E46" s="348"/>
    </row>
    <row r="47" spans="1:5" s="289" customFormat="1" ht="28.5">
      <c r="A47" s="440" t="s">
        <v>1113</v>
      </c>
      <c r="B47" s="408"/>
      <c r="C47" s="409"/>
      <c r="D47" s="408"/>
      <c r="E47" s="408"/>
    </row>
    <row r="48" spans="1:5" s="289" customFormat="1" ht="14.25">
      <c r="A48" s="440" t="s">
        <v>1131</v>
      </c>
      <c r="B48" s="410">
        <v>100</v>
      </c>
      <c r="C48" s="409">
        <v>100</v>
      </c>
      <c r="D48" s="410"/>
      <c r="E48" s="410"/>
    </row>
    <row r="49" spans="1:5" s="289" customFormat="1" ht="15" thickBot="1">
      <c r="A49" s="441" t="s">
        <v>1132</v>
      </c>
      <c r="B49" s="411">
        <v>128.9</v>
      </c>
      <c r="C49" s="406">
        <v>128.9</v>
      </c>
      <c r="D49" s="411"/>
      <c r="E49" s="411"/>
    </row>
    <row r="50" spans="1:5" s="289" customFormat="1" ht="15" thickBot="1">
      <c r="A50" s="417" t="s">
        <v>687</v>
      </c>
      <c r="B50" s="412">
        <f>SUM(B48:B49)</f>
        <v>228.9</v>
      </c>
      <c r="C50" s="407">
        <f>SUM(C48:C49)</f>
        <v>228.9</v>
      </c>
      <c r="D50" s="412">
        <f>SUM(D48:D49)</f>
        <v>0</v>
      </c>
      <c r="E50" s="412">
        <f>SUM(E48:E49)</f>
        <v>0</v>
      </c>
    </row>
    <row r="51" spans="1:5" s="289" customFormat="1" ht="28.5">
      <c r="A51" s="442" t="s">
        <v>1093</v>
      </c>
      <c r="B51" s="413"/>
      <c r="C51" s="414"/>
      <c r="D51" s="413"/>
      <c r="E51" s="413"/>
    </row>
    <row r="52" spans="1:5" s="289" customFormat="1" ht="43.5" thickBot="1">
      <c r="A52" s="443" t="s">
        <v>1127</v>
      </c>
      <c r="B52" s="415">
        <v>13773.3</v>
      </c>
      <c r="C52" s="406">
        <v>95</v>
      </c>
      <c r="D52" s="411"/>
      <c r="E52" s="411"/>
    </row>
    <row r="53" spans="1:5" s="289" customFormat="1" ht="15" thickBot="1">
      <c r="A53" s="417" t="s">
        <v>687</v>
      </c>
      <c r="B53" s="412">
        <f>SUM(B52)</f>
        <v>13773.3</v>
      </c>
      <c r="C53" s="407">
        <f>SUM(C52)</f>
        <v>95</v>
      </c>
      <c r="D53" s="412">
        <f>SUM(D52)</f>
        <v>0</v>
      </c>
      <c r="E53" s="412">
        <f>SUM(E52)</f>
        <v>0</v>
      </c>
    </row>
    <row r="54" spans="1:5" s="289" customFormat="1" ht="15" thickBot="1">
      <c r="A54" s="416" t="s">
        <v>689</v>
      </c>
      <c r="B54" s="348">
        <f>SUM(B20+B27+B34+B37+B40+B43+B46+B50+B53)</f>
        <v>81894</v>
      </c>
      <c r="C54" s="348">
        <f>SUM(C20+C27+C34+C37+C40+C43+C46+C50+C53)</f>
        <v>16721.8</v>
      </c>
      <c r="D54" s="348">
        <f>SUM(D20+D27+D34+D40)</f>
        <v>889.5</v>
      </c>
      <c r="E54" s="348">
        <f>SUM(E20+E27+E34+E40)</f>
        <v>0</v>
      </c>
    </row>
    <row r="55" ht="16.5">
      <c r="A55" s="291"/>
    </row>
  </sheetData>
  <sheetProtection/>
  <mergeCells count="5">
    <mergeCell ref="B5:C5"/>
    <mergeCell ref="D5:E5"/>
    <mergeCell ref="A7:E7"/>
    <mergeCell ref="A10:A11"/>
    <mergeCell ref="B10:E10"/>
  </mergeCells>
  <printOptions/>
  <pageMargins left="1.1023622047244095" right="0.31496062992125984" top="0.7480314960629921" bottom="0.15748031496062992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4.875" style="323" customWidth="1"/>
    <col min="2" max="2" width="22.375" style="323" customWidth="1"/>
    <col min="3" max="3" width="19.625" style="323" hidden="1" customWidth="1"/>
    <col min="4" max="4" width="9.125" style="323" hidden="1" customWidth="1"/>
    <col min="5" max="5" width="10.875" style="323" hidden="1" customWidth="1"/>
    <col min="6" max="16384" width="9.125" style="323" customWidth="1"/>
  </cols>
  <sheetData>
    <row r="1" spans="2:6" ht="18" customHeight="1">
      <c r="B1" s="14" t="s">
        <v>1261</v>
      </c>
      <c r="C1" s="325" t="s">
        <v>716</v>
      </c>
      <c r="F1" s="326"/>
    </row>
    <row r="2" spans="2:6" ht="12.75">
      <c r="B2" s="4" t="s">
        <v>1188</v>
      </c>
      <c r="C2" s="20"/>
      <c r="F2" s="326"/>
    </row>
    <row r="3" spans="2:6" ht="12.75">
      <c r="B3" s="4" t="s">
        <v>1189</v>
      </c>
      <c r="F3" s="326"/>
    </row>
    <row r="4" spans="2:6" ht="15.75" customHeight="1">
      <c r="B4" s="4" t="s">
        <v>1190</v>
      </c>
      <c r="F4" s="326"/>
    </row>
    <row r="5" spans="2:6" ht="15" customHeight="1">
      <c r="B5" s="458" t="s">
        <v>1191</v>
      </c>
      <c r="F5" s="326"/>
    </row>
    <row r="6" spans="1:5" ht="15">
      <c r="A6" s="327" t="s">
        <v>1044</v>
      </c>
      <c r="B6" s="326"/>
      <c r="C6" s="326"/>
      <c r="D6" s="326"/>
      <c r="E6" s="326"/>
    </row>
    <row r="7" spans="1:5" ht="15">
      <c r="A7" s="327" t="s">
        <v>1045</v>
      </c>
      <c r="B7" s="326"/>
      <c r="C7" s="327"/>
      <c r="D7" s="326"/>
      <c r="E7" s="326"/>
    </row>
    <row r="8" ht="15.75">
      <c r="A8" s="328"/>
    </row>
    <row r="9" spans="1:5" s="326" customFormat="1" ht="15">
      <c r="A9" s="327"/>
      <c r="B9" s="327"/>
      <c r="C9" s="327"/>
      <c r="D9" s="327"/>
      <c r="E9" s="327"/>
    </row>
    <row r="10" spans="1:5" s="326" customFormat="1" ht="15">
      <c r="A10" s="327" t="s">
        <v>1046</v>
      </c>
      <c r="B10" s="327"/>
      <c r="C10" s="327"/>
      <c r="D10" s="327"/>
      <c r="E10" s="327"/>
    </row>
    <row r="11" spans="1:5" ht="15">
      <c r="A11" s="327"/>
      <c r="B11" s="327"/>
      <c r="C11" s="327"/>
      <c r="D11" s="327"/>
      <c r="E11" s="327"/>
    </row>
    <row r="12" s="327" customFormat="1" ht="15.75" thickBot="1">
      <c r="B12" s="327" t="s">
        <v>1047</v>
      </c>
    </row>
    <row r="13" spans="1:3" s="327" customFormat="1" ht="30.75" thickBot="1">
      <c r="A13" s="329" t="s">
        <v>236</v>
      </c>
      <c r="B13" s="330" t="s">
        <v>1048</v>
      </c>
      <c r="C13" s="330" t="s">
        <v>1049</v>
      </c>
    </row>
    <row r="14" spans="1:5" s="327" customFormat="1" ht="45">
      <c r="A14" s="331" t="s">
        <v>1050</v>
      </c>
      <c r="B14" s="332">
        <f>SUM(B15-B16)</f>
        <v>-100880.6</v>
      </c>
      <c r="C14" s="332">
        <f>SUM(C15-C16)</f>
        <v>148939.8</v>
      </c>
      <c r="E14" s="333"/>
    </row>
    <row r="15" spans="1:3" s="327" customFormat="1" ht="15">
      <c r="A15" s="334" t="s">
        <v>1051</v>
      </c>
      <c r="B15" s="335">
        <f>246737.9-200000+40000</f>
        <v>86737.9</v>
      </c>
      <c r="C15" s="335">
        <f>259071.6+50000</f>
        <v>309071.6</v>
      </c>
    </row>
    <row r="16" spans="1:3" s="327" customFormat="1" ht="40.5" customHeight="1" thickBot="1">
      <c r="A16" s="336" t="s">
        <v>1052</v>
      </c>
      <c r="B16" s="335">
        <f>167618.5+20000</f>
        <v>187618.5</v>
      </c>
      <c r="C16" s="335">
        <v>160131.8</v>
      </c>
    </row>
    <row r="17" spans="1:3" s="327" customFormat="1" ht="45.75" customHeight="1" thickBot="1">
      <c r="A17" s="337" t="s">
        <v>1053</v>
      </c>
      <c r="B17" s="338">
        <f>SUM(B19-B20)</f>
        <v>-45000</v>
      </c>
      <c r="C17" s="338">
        <f>SUM(C19-C20)</f>
        <v>-50000</v>
      </c>
    </row>
    <row r="18" spans="1:3" s="327" customFormat="1" ht="24" customHeight="1">
      <c r="A18" s="339"/>
      <c r="B18" s="335"/>
      <c r="C18" s="335"/>
    </row>
    <row r="19" spans="1:3" s="327" customFormat="1" ht="25.5" customHeight="1">
      <c r="A19" s="334" t="s">
        <v>1051</v>
      </c>
      <c r="B19" s="335"/>
      <c r="C19" s="335"/>
    </row>
    <row r="20" spans="1:3" s="327" customFormat="1" ht="19.5" customHeight="1" thickBot="1">
      <c r="A20" s="340" t="s">
        <v>1052</v>
      </c>
      <c r="B20" s="341">
        <v>45000</v>
      </c>
      <c r="C20" s="341">
        <v>50000</v>
      </c>
    </row>
    <row r="21" spans="1:3" s="327" customFormat="1" ht="22.5" customHeight="1" thickBot="1">
      <c r="A21" s="342" t="s">
        <v>1054</v>
      </c>
      <c r="B21" s="338">
        <f>SUM(B22-B23)</f>
        <v>-145880.6</v>
      </c>
      <c r="C21" s="338">
        <f>SUM(C22-C23)</f>
        <v>98939.79999999999</v>
      </c>
    </row>
    <row r="22" spans="1:3" s="327" customFormat="1" ht="24" customHeight="1">
      <c r="A22" s="343" t="s">
        <v>1051</v>
      </c>
      <c r="B22" s="548">
        <f>SUM(B15+B19)</f>
        <v>86737.9</v>
      </c>
      <c r="C22" s="332">
        <f>SUM(C15+C19)</f>
        <v>309071.6</v>
      </c>
    </row>
    <row r="23" spans="1:3" s="327" customFormat="1" ht="25.5" customHeight="1" thickBot="1">
      <c r="A23" s="336" t="s">
        <v>1052</v>
      </c>
      <c r="B23" s="344">
        <f>SUM(B20)+B16</f>
        <v>232618.5</v>
      </c>
      <c r="C23" s="344">
        <f>SUM(C20)+C16</f>
        <v>210131.8</v>
      </c>
    </row>
    <row r="24" spans="1:5" s="327" customFormat="1" ht="21" customHeight="1">
      <c r="A24" s="323"/>
      <c r="B24" s="323"/>
      <c r="C24" s="323"/>
      <c r="D24" s="323"/>
      <c r="E24" s="323"/>
    </row>
    <row r="25" spans="1:5" s="327" customFormat="1" ht="24" customHeight="1">
      <c r="A25" s="323"/>
      <c r="B25" s="323"/>
      <c r="C25" s="323"/>
      <c r="D25" s="323"/>
      <c r="E25" s="323"/>
    </row>
    <row r="26" spans="1:5" s="327" customFormat="1" ht="21.75" customHeight="1">
      <c r="A26" s="323"/>
      <c r="B26" s="323"/>
      <c r="C26" s="323"/>
      <c r="D26" s="323"/>
      <c r="E26" s="323"/>
    </row>
  </sheetData>
  <sheetProtection/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4.625" style="323" customWidth="1"/>
    <col min="2" max="2" width="12.75390625" style="323" hidden="1" customWidth="1"/>
    <col min="3" max="3" width="17.375" style="323" customWidth="1"/>
    <col min="4" max="4" width="15.875" style="323" customWidth="1"/>
    <col min="5" max="16384" width="9.125" style="323" customWidth="1"/>
  </cols>
  <sheetData>
    <row r="1" spans="4:7" ht="18" customHeight="1">
      <c r="D1" s="14" t="s">
        <v>419</v>
      </c>
      <c r="G1" s="326"/>
    </row>
    <row r="2" spans="4:7" ht="12.75">
      <c r="D2" s="4" t="s">
        <v>1188</v>
      </c>
      <c r="G2" s="326"/>
    </row>
    <row r="3" spans="4:7" ht="12.75">
      <c r="D3" s="4" t="s">
        <v>1189</v>
      </c>
      <c r="G3" s="326"/>
    </row>
    <row r="4" spans="4:7" ht="12.75">
      <c r="D4" s="4" t="s">
        <v>1190</v>
      </c>
      <c r="G4" s="326"/>
    </row>
    <row r="5" spans="4:7" ht="14.25" customHeight="1">
      <c r="D5" s="568" t="s">
        <v>1240</v>
      </c>
      <c r="E5" s="568"/>
      <c r="G5" s="326"/>
    </row>
    <row r="6" ht="12.75">
      <c r="C6" s="326"/>
    </row>
    <row r="9" s="326" customFormat="1" ht="15">
      <c r="A9" s="327" t="s">
        <v>1044</v>
      </c>
    </row>
    <row r="10" spans="1:4" s="326" customFormat="1" ht="15">
      <c r="A10" s="327" t="s">
        <v>1228</v>
      </c>
      <c r="C10" s="327"/>
      <c r="D10" s="327"/>
    </row>
    <row r="11" ht="15.75">
      <c r="A11" s="328"/>
    </row>
    <row r="12" s="327" customFormat="1" ht="15"/>
    <row r="13" s="327" customFormat="1" ht="15">
      <c r="A13" s="327" t="s">
        <v>1046</v>
      </c>
    </row>
    <row r="14" s="327" customFormat="1" ht="15"/>
    <row r="15" spans="2:3" s="327" customFormat="1" ht="15.75" thickBot="1">
      <c r="B15" s="327" t="s">
        <v>1047</v>
      </c>
      <c r="C15" s="327" t="s">
        <v>1047</v>
      </c>
    </row>
    <row r="16" spans="1:4" s="327" customFormat="1" ht="40.5" customHeight="1" thickBot="1">
      <c r="A16" s="329" t="s">
        <v>236</v>
      </c>
      <c r="B16" s="330" t="s">
        <v>1049</v>
      </c>
      <c r="C16" s="330" t="s">
        <v>1229</v>
      </c>
      <c r="D16" s="330" t="s">
        <v>1230</v>
      </c>
    </row>
    <row r="17" spans="1:4" s="327" customFormat="1" ht="45.75" customHeight="1">
      <c r="A17" s="331" t="s">
        <v>1050</v>
      </c>
      <c r="B17" s="332">
        <f>SUM(B18-B19)</f>
        <v>98939.80000000002</v>
      </c>
      <c r="C17" s="332">
        <f>SUM(C18-C19)</f>
        <v>68712.9</v>
      </c>
      <c r="D17" s="332">
        <f>SUM(D18-D19)</f>
        <v>79603.79999999999</v>
      </c>
    </row>
    <row r="18" spans="1:4" s="327" customFormat="1" ht="24" customHeight="1">
      <c r="A18" s="334" t="s">
        <v>1051</v>
      </c>
      <c r="B18" s="335">
        <v>259071.6</v>
      </c>
      <c r="C18" s="335">
        <f>325450.8-10000-200000+40000</f>
        <v>155450.8</v>
      </c>
      <c r="D18" s="335">
        <f>405054.6-10000-200000+40000</f>
        <v>235054.59999999998</v>
      </c>
    </row>
    <row r="19" spans="1:4" s="327" customFormat="1" ht="25.5" customHeight="1" thickBot="1">
      <c r="A19" s="336" t="s">
        <v>1052</v>
      </c>
      <c r="B19" s="335">
        <v>160131.8</v>
      </c>
      <c r="C19" s="335">
        <f>246737.9-200000+40000</f>
        <v>86737.9</v>
      </c>
      <c r="D19" s="335">
        <f>325450.8-10000-200000+40000</f>
        <v>155450.8</v>
      </c>
    </row>
    <row r="20" spans="1:4" s="327" customFormat="1" ht="45.75" thickBot="1">
      <c r="A20" s="337" t="s">
        <v>1053</v>
      </c>
      <c r="B20" s="338">
        <f>SUM(B22-B23)</f>
        <v>0</v>
      </c>
      <c r="C20" s="338">
        <f>SUM(C22-C23)</f>
        <v>-21400</v>
      </c>
      <c r="D20" s="338">
        <f>SUM(D22-D23)</f>
        <v>-27000</v>
      </c>
    </row>
    <row r="21" spans="1:4" s="327" customFormat="1" ht="15" hidden="1">
      <c r="A21" s="339"/>
      <c r="B21" s="335"/>
      <c r="C21" s="335"/>
      <c r="D21" s="335"/>
    </row>
    <row r="22" spans="1:4" s="327" customFormat="1" ht="24" customHeight="1">
      <c r="A22" s="334" t="s">
        <v>1051</v>
      </c>
      <c r="B22" s="335">
        <v>50000</v>
      </c>
      <c r="C22" s="335"/>
      <c r="D22" s="335"/>
    </row>
    <row r="23" spans="1:4" s="327" customFormat="1" ht="25.5" customHeight="1" thickBot="1">
      <c r="A23" s="340" t="s">
        <v>1052</v>
      </c>
      <c r="B23" s="341">
        <v>50000</v>
      </c>
      <c r="C23" s="341">
        <v>21400</v>
      </c>
      <c r="D23" s="341">
        <v>27000</v>
      </c>
    </row>
    <row r="24" spans="1:4" s="327" customFormat="1" ht="21" customHeight="1" thickBot="1">
      <c r="A24" s="342" t="s">
        <v>1054</v>
      </c>
      <c r="B24" s="338">
        <f>SUM(B25-B26)</f>
        <v>98939.79999999999</v>
      </c>
      <c r="C24" s="338">
        <f>SUM(C25-C26)</f>
        <v>47312.899999999994</v>
      </c>
      <c r="D24" s="338">
        <f>SUM(D25-D26)</f>
        <v>52603.79999999999</v>
      </c>
    </row>
    <row r="25" spans="1:4" s="327" customFormat="1" ht="24" customHeight="1">
      <c r="A25" s="343" t="s">
        <v>1051</v>
      </c>
      <c r="B25" s="332">
        <f>SUM(B18+B22)</f>
        <v>309071.6</v>
      </c>
      <c r="C25" s="332">
        <f>SUM(C18+C22)</f>
        <v>155450.8</v>
      </c>
      <c r="D25" s="332">
        <f>SUM(D18+D22)</f>
        <v>235054.59999999998</v>
      </c>
    </row>
    <row r="26" spans="1:4" s="327" customFormat="1" ht="21.75" customHeight="1" thickBot="1">
      <c r="A26" s="336" t="s">
        <v>1052</v>
      </c>
      <c r="B26" s="344">
        <f>SUM(B23)+B19</f>
        <v>210131.8</v>
      </c>
      <c r="C26" s="344">
        <f>SUM(C23)+C19</f>
        <v>108137.9</v>
      </c>
      <c r="D26" s="344">
        <f>SUM(D23)+D19</f>
        <v>182450.8</v>
      </c>
    </row>
  </sheetData>
  <sheetProtection/>
  <mergeCells count="1">
    <mergeCell ref="D5:E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26" customWidth="1"/>
    <col min="2" max="2" width="57.75390625" style="28" customWidth="1"/>
    <col min="3" max="3" width="18.875" style="29" hidden="1" customWidth="1"/>
    <col min="4" max="4" width="21.25390625" style="27" customWidth="1"/>
    <col min="5" max="5" width="17.625" style="27" hidden="1" customWidth="1"/>
    <col min="6" max="6" width="12.25390625" style="27" hidden="1" customWidth="1"/>
    <col min="7" max="7" width="12.75390625" style="27" customWidth="1"/>
    <col min="8" max="16384" width="9.125" style="27" customWidth="1"/>
  </cols>
  <sheetData>
    <row r="1" spans="2:4" ht="12.75">
      <c r="B1" s="105"/>
      <c r="C1" s="105" t="s">
        <v>419</v>
      </c>
      <c r="D1" s="477" t="s">
        <v>1262</v>
      </c>
    </row>
    <row r="2" spans="2:4" ht="12.75">
      <c r="B2" s="105"/>
      <c r="C2" s="105"/>
      <c r="D2" s="4" t="s">
        <v>1188</v>
      </c>
    </row>
    <row r="3" spans="2:4" ht="12.75">
      <c r="B3" s="105"/>
      <c r="C3" s="105"/>
      <c r="D3" s="4" t="s">
        <v>1189</v>
      </c>
    </row>
    <row r="4" spans="2:4" ht="12.75">
      <c r="B4" s="105"/>
      <c r="C4" s="105"/>
      <c r="D4" s="4" t="s">
        <v>1190</v>
      </c>
    </row>
    <row r="5" spans="2:4" ht="12.75">
      <c r="B5" s="105"/>
      <c r="C5" s="105"/>
      <c r="D5" s="458" t="s">
        <v>1191</v>
      </c>
    </row>
    <row r="6" spans="3:5" ht="19.5" customHeight="1">
      <c r="C6" s="568"/>
      <c r="D6" s="568"/>
      <c r="E6" s="455"/>
    </row>
    <row r="7" spans="1:3" ht="74.25" customHeight="1">
      <c r="A7" s="580" t="s">
        <v>560</v>
      </c>
      <c r="B7" s="581"/>
      <c r="C7" s="581"/>
    </row>
    <row r="8" spans="1:2" s="29" customFormat="1" ht="15">
      <c r="A8" s="26"/>
      <c r="B8" s="28"/>
    </row>
    <row r="9" spans="1:4" s="29" customFormat="1" ht="12.75" customHeight="1">
      <c r="A9" s="582" t="s">
        <v>57</v>
      </c>
      <c r="B9" s="585" t="s">
        <v>9</v>
      </c>
      <c r="C9" s="579" t="s">
        <v>10</v>
      </c>
      <c r="D9" s="579" t="s">
        <v>10</v>
      </c>
    </row>
    <row r="10" spans="1:4" s="29" customFormat="1" ht="11.25" customHeight="1">
      <c r="A10" s="583"/>
      <c r="B10" s="585"/>
      <c r="C10" s="579"/>
      <c r="D10" s="579"/>
    </row>
    <row r="11" spans="1:4" s="106" customFormat="1" ht="37.5" customHeight="1">
      <c r="A11" s="584"/>
      <c r="B11" s="585"/>
      <c r="C11" s="579"/>
      <c r="D11" s="579"/>
    </row>
    <row r="12" spans="1:5" s="34" customFormat="1" ht="30" customHeight="1">
      <c r="A12" s="30" t="s">
        <v>11</v>
      </c>
      <c r="B12" s="36" t="s">
        <v>671</v>
      </c>
      <c r="C12" s="104">
        <f>C13+C19+C24+C33</f>
        <v>73995.59999999998</v>
      </c>
      <c r="D12" s="104">
        <f>D13+D19+D33+D24</f>
        <v>-144984.2</v>
      </c>
      <c r="E12" s="34">
        <v>73995.6</v>
      </c>
    </row>
    <row r="13" spans="1:4" s="34" customFormat="1" ht="30" customHeight="1">
      <c r="A13" s="30" t="s">
        <v>26</v>
      </c>
      <c r="B13" s="110" t="s">
        <v>27</v>
      </c>
      <c r="C13" s="104">
        <f>SUM(C14-C16)</f>
        <v>73995.59999999998</v>
      </c>
      <c r="D13" s="104">
        <f>SUM(D14-D16)</f>
        <v>-100880.6</v>
      </c>
    </row>
    <row r="14" spans="1:6" s="34" customFormat="1" ht="33" customHeight="1">
      <c r="A14" s="30" t="s">
        <v>28</v>
      </c>
      <c r="B14" s="31" t="s">
        <v>29</v>
      </c>
      <c r="C14" s="104">
        <f>SUM(C15)</f>
        <v>291614.1</v>
      </c>
      <c r="D14" s="104">
        <f>SUM(D15)</f>
        <v>86737.9</v>
      </c>
      <c r="F14" s="107">
        <f>SUM(C14+C20)</f>
        <v>291614.1</v>
      </c>
    </row>
    <row r="15" spans="1:4" s="34" customFormat="1" ht="50.25" customHeight="1">
      <c r="A15" s="30" t="s">
        <v>30</v>
      </c>
      <c r="B15" s="41" t="s">
        <v>534</v>
      </c>
      <c r="C15" s="104">
        <f>223995.6-15000+82618.5</f>
        <v>291614.1</v>
      </c>
      <c r="D15" s="104">
        <f>246737.9-200000+40000</f>
        <v>86737.9</v>
      </c>
    </row>
    <row r="16" spans="1:4" s="34" customFormat="1" ht="49.5" customHeight="1">
      <c r="A16" s="30" t="s">
        <v>31</v>
      </c>
      <c r="B16" s="53" t="s">
        <v>294</v>
      </c>
      <c r="C16" s="104">
        <f>SUM(C17)</f>
        <v>217618.5</v>
      </c>
      <c r="D16" s="104">
        <f>SUM(D17)</f>
        <v>187618.5</v>
      </c>
    </row>
    <row r="17" spans="1:4" s="34" customFormat="1" ht="46.5" customHeight="1">
      <c r="A17" s="30" t="s">
        <v>295</v>
      </c>
      <c r="B17" s="41" t="s">
        <v>535</v>
      </c>
      <c r="C17" s="104">
        <v>217618.5</v>
      </c>
      <c r="D17" s="104">
        <v>187618.5</v>
      </c>
    </row>
    <row r="18" spans="1:4" s="34" customFormat="1" ht="46.5" customHeight="1">
      <c r="A18" s="30" t="s">
        <v>672</v>
      </c>
      <c r="B18" s="53" t="s">
        <v>673</v>
      </c>
      <c r="C18" s="104"/>
      <c r="D18" s="104">
        <f>D19</f>
        <v>-45000</v>
      </c>
    </row>
    <row r="19" spans="1:4" s="34" customFormat="1" ht="49.5" customHeight="1">
      <c r="A19" s="30" t="s">
        <v>538</v>
      </c>
      <c r="B19" s="32" t="s">
        <v>674</v>
      </c>
      <c r="C19" s="104">
        <f>SUM(C20)-C22</f>
        <v>-15000</v>
      </c>
      <c r="D19" s="104">
        <f>SUM(D20)-D22</f>
        <v>-45000</v>
      </c>
    </row>
    <row r="20" spans="1:4" s="34" customFormat="1" ht="45" customHeight="1" hidden="1">
      <c r="A20" s="30" t="s">
        <v>296</v>
      </c>
      <c r="B20" s="33" t="s">
        <v>297</v>
      </c>
      <c r="C20" s="104"/>
      <c r="D20" s="104"/>
    </row>
    <row r="21" spans="1:4" s="34" customFormat="1" ht="20.25" customHeight="1" hidden="1">
      <c r="A21" s="30" t="s">
        <v>376</v>
      </c>
      <c r="B21" s="32" t="s">
        <v>150</v>
      </c>
      <c r="C21" s="104"/>
      <c r="D21" s="104"/>
    </row>
    <row r="22" spans="1:4" s="34" customFormat="1" ht="49.5" customHeight="1">
      <c r="A22" s="30" t="s">
        <v>539</v>
      </c>
      <c r="B22" s="35" t="s">
        <v>377</v>
      </c>
      <c r="C22" s="104">
        <v>15000</v>
      </c>
      <c r="D22" s="104">
        <f>SUM(D23)</f>
        <v>45000</v>
      </c>
    </row>
    <row r="23" spans="1:4" s="34" customFormat="1" ht="66.75" customHeight="1">
      <c r="A23" s="30" t="s">
        <v>540</v>
      </c>
      <c r="B23" s="41" t="s">
        <v>537</v>
      </c>
      <c r="C23" s="104">
        <v>15000</v>
      </c>
      <c r="D23" s="104">
        <f>35000+10000</f>
        <v>45000</v>
      </c>
    </row>
    <row r="24" spans="1:4" s="34" customFormat="1" ht="31.5" customHeight="1">
      <c r="A24" s="30" t="s">
        <v>298</v>
      </c>
      <c r="B24" s="36" t="s">
        <v>536</v>
      </c>
      <c r="C24" s="104">
        <f>SUM(C29)</f>
        <v>15000</v>
      </c>
      <c r="D24" s="104">
        <f>SUM(D25+D29)</f>
        <v>896.4</v>
      </c>
    </row>
    <row r="25" spans="1:4" s="34" customFormat="1" ht="31.5" customHeight="1" hidden="1">
      <c r="A25" s="88" t="s">
        <v>1137</v>
      </c>
      <c r="B25" s="444" t="s">
        <v>1134</v>
      </c>
      <c r="C25" s="104"/>
      <c r="D25" s="104">
        <f>SUM(D26)</f>
        <v>0</v>
      </c>
    </row>
    <row r="26" spans="1:4" s="34" customFormat="1" ht="31.5" customHeight="1" hidden="1">
      <c r="A26" s="88" t="s">
        <v>1138</v>
      </c>
      <c r="B26" s="444" t="s">
        <v>1135</v>
      </c>
      <c r="C26" s="104"/>
      <c r="D26" s="104">
        <f>SUM(D27)</f>
        <v>0</v>
      </c>
    </row>
    <row r="27" spans="1:4" s="34" customFormat="1" ht="31.5" customHeight="1" hidden="1">
      <c r="A27" s="88" t="s">
        <v>1139</v>
      </c>
      <c r="B27" s="444" t="s">
        <v>1136</v>
      </c>
      <c r="C27" s="104"/>
      <c r="D27" s="104">
        <f>SUM(D28)</f>
        <v>0</v>
      </c>
    </row>
    <row r="28" spans="1:4" s="34" customFormat="1" ht="31.5" customHeight="1" hidden="1">
      <c r="A28" s="88" t="s">
        <v>1140</v>
      </c>
      <c r="B28" s="444" t="s">
        <v>1136</v>
      </c>
      <c r="C28" s="104"/>
      <c r="D28" s="104"/>
    </row>
    <row r="29" spans="1:4" s="34" customFormat="1" ht="32.25" customHeight="1">
      <c r="A29" s="30" t="s">
        <v>299</v>
      </c>
      <c r="B29" s="36" t="s">
        <v>300</v>
      </c>
      <c r="C29" s="104">
        <f aca="true" t="shared" si="0" ref="C29:D31">SUM(C30)</f>
        <v>15000</v>
      </c>
      <c r="D29" s="104">
        <f t="shared" si="0"/>
        <v>896.4</v>
      </c>
    </row>
    <row r="30" spans="1:4" s="34" customFormat="1" ht="31.5" customHeight="1">
      <c r="A30" s="30" t="s">
        <v>301</v>
      </c>
      <c r="B30" s="36" t="s">
        <v>302</v>
      </c>
      <c r="C30" s="104">
        <f t="shared" si="0"/>
        <v>15000</v>
      </c>
      <c r="D30" s="104">
        <f t="shared" si="0"/>
        <v>896.4</v>
      </c>
    </row>
    <row r="31" spans="1:4" s="34" customFormat="1" ht="32.25" customHeight="1">
      <c r="A31" s="30" t="s">
        <v>303</v>
      </c>
      <c r="B31" s="36" t="s">
        <v>304</v>
      </c>
      <c r="C31" s="104">
        <f t="shared" si="0"/>
        <v>15000</v>
      </c>
      <c r="D31" s="104">
        <f t="shared" si="0"/>
        <v>896.4</v>
      </c>
    </row>
    <row r="32" spans="1:4" s="34" customFormat="1" ht="38.25" customHeight="1">
      <c r="A32" s="30" t="s">
        <v>305</v>
      </c>
      <c r="B32" s="36" t="s">
        <v>306</v>
      </c>
      <c r="C32" s="104">
        <v>15000</v>
      </c>
      <c r="D32" s="104">
        <f>896.4</f>
        <v>896.4</v>
      </c>
    </row>
    <row r="33" spans="1:6" ht="35.25" customHeight="1">
      <c r="A33" s="37" t="s">
        <v>307</v>
      </c>
      <c r="B33" s="108" t="s">
        <v>153</v>
      </c>
      <c r="C33" s="39">
        <f>C34+C37</f>
        <v>0</v>
      </c>
      <c r="D33" s="287">
        <f>D34+D37</f>
        <v>0</v>
      </c>
      <c r="E33" s="34"/>
      <c r="F33" s="34"/>
    </row>
    <row r="34" spans="1:6" ht="30.75" customHeight="1" hidden="1">
      <c r="A34" s="37" t="s">
        <v>308</v>
      </c>
      <c r="B34" s="38" t="s">
        <v>309</v>
      </c>
      <c r="C34" s="39">
        <f>SUM(C35)</f>
        <v>0</v>
      </c>
      <c r="D34" s="287">
        <f>SUM(D35)</f>
        <v>0</v>
      </c>
      <c r="E34" s="34"/>
      <c r="F34" s="34"/>
    </row>
    <row r="35" spans="1:6" ht="123.75" customHeight="1" hidden="1">
      <c r="A35" s="37" t="s">
        <v>310</v>
      </c>
      <c r="B35" s="40" t="s">
        <v>200</v>
      </c>
      <c r="C35" s="39"/>
      <c r="D35" s="287"/>
      <c r="E35" s="34"/>
      <c r="F35" s="34"/>
    </row>
    <row r="36" spans="1:6" ht="110.25" customHeight="1" hidden="1">
      <c r="A36" s="37" t="s">
        <v>201</v>
      </c>
      <c r="B36" s="41" t="s">
        <v>268</v>
      </c>
      <c r="C36" s="39">
        <v>-10000</v>
      </c>
      <c r="D36" s="287"/>
      <c r="E36" s="34"/>
      <c r="F36" s="34"/>
    </row>
    <row r="37" spans="1:6" ht="30" customHeight="1" hidden="1">
      <c r="A37" s="37" t="s">
        <v>269</v>
      </c>
      <c r="B37" s="38" t="s">
        <v>270</v>
      </c>
      <c r="C37" s="39">
        <f>SUM(C38)</f>
        <v>0</v>
      </c>
      <c r="D37" s="287">
        <f>SUM(D38)</f>
        <v>0</v>
      </c>
      <c r="E37" s="34"/>
      <c r="F37" s="34"/>
    </row>
    <row r="38" spans="1:6" ht="30" customHeight="1" hidden="1">
      <c r="A38" s="37" t="s">
        <v>271</v>
      </c>
      <c r="B38" s="38" t="s">
        <v>272</v>
      </c>
      <c r="C38" s="39"/>
      <c r="D38" s="287"/>
      <c r="E38" s="34"/>
      <c r="F38" s="34"/>
    </row>
    <row r="39" spans="1:6" ht="45" hidden="1">
      <c r="A39" s="37" t="s">
        <v>273</v>
      </c>
      <c r="B39" s="41" t="s">
        <v>274</v>
      </c>
      <c r="C39" s="39">
        <v>10000</v>
      </c>
      <c r="D39" s="287"/>
      <c r="E39" s="34"/>
      <c r="F39" s="34"/>
    </row>
    <row r="40" spans="1:6" ht="30">
      <c r="A40" s="37" t="s">
        <v>678</v>
      </c>
      <c r="B40" s="285" t="s">
        <v>677</v>
      </c>
      <c r="C40" s="286"/>
      <c r="D40" s="288">
        <v>0</v>
      </c>
      <c r="E40" s="34"/>
      <c r="F40" s="34"/>
    </row>
  </sheetData>
  <sheetProtection/>
  <mergeCells count="6">
    <mergeCell ref="D9:D11"/>
    <mergeCell ref="C6:D6"/>
    <mergeCell ref="A7:C7"/>
    <mergeCell ref="A9:A11"/>
    <mergeCell ref="B9:B11"/>
    <mergeCell ref="C9:C11"/>
  </mergeCells>
  <printOptions/>
  <pageMargins left="1.1023622047244095" right="0.31496062992125984" top="0.7480314960629921" bottom="0.15748031496062992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2015-12-04T06:43:19Z</cp:lastPrinted>
  <dcterms:created xsi:type="dcterms:W3CDTF">2010-10-13T06:28:56Z</dcterms:created>
  <dcterms:modified xsi:type="dcterms:W3CDTF">2015-12-09T04:02:18Z</dcterms:modified>
  <cp:category/>
  <cp:version/>
  <cp:contentType/>
  <cp:contentStatus/>
</cp:coreProperties>
</file>