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5805" windowHeight="7470" activeTab="3"/>
  </bookViews>
  <sheets>
    <sheet name="функцион.2015" sheetId="1" r:id="rId1"/>
    <sheet name="ведомствен.2015" sheetId="2" r:id="rId2"/>
    <sheet name="Кап.строительство" sheetId="3" r:id="rId3"/>
    <sheet name="источн.2015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<sst xmlns="http://schemas.openxmlformats.org/spreadsheetml/2006/main" count="7007" uniqueCount="757">
  <si>
    <t>Целевой финансовый резерв для предупреждения и ликвидации чрезвычайных ситуаций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</si>
  <si>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</si>
  <si>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</si>
  <si>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Региональные целевые программы</t>
  </si>
  <si>
    <t>522 00 00</t>
  </si>
  <si>
    <t>10</t>
  </si>
  <si>
    <t>Отдельные мероприятия в области автомобильного транспорта</t>
  </si>
  <si>
    <t>Субсидии юридическим лицам</t>
  </si>
  <si>
    <t>006</t>
  </si>
  <si>
    <t>Наименование источника средств</t>
  </si>
  <si>
    <t>Сумма,
тыс. руб.</t>
  </si>
  <si>
    <t>01  00  00  00  00  0000  000</t>
  </si>
  <si>
    <t>795 00 28</t>
  </si>
  <si>
    <t>795 00 29</t>
  </si>
  <si>
    <t>Предоставление субсидий бюджетным и автономным учреждениям</t>
  </si>
  <si>
    <t>Субсидии бюджетным и автономным учреждениям на финансовое обеспечение муниципального задания на оказание муниципальных услуг (выполнение работ)</t>
  </si>
  <si>
    <t>Расходы за счет субвенций из областного бюджета на содержание учреждений социального обслуживания населения</t>
  </si>
  <si>
    <t>507 99 00</t>
  </si>
  <si>
    <t>Расходы за счет бюджета округа на содержание учреждений социального обслуживания населения</t>
  </si>
  <si>
    <t>507 99 01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</si>
  <si>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</si>
  <si>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</si>
  <si>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</si>
  <si>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</si>
  <si>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Социальное обеспечение населения</t>
  </si>
  <si>
    <t>Социальная помощь</t>
  </si>
  <si>
    <t>505 00 00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</si>
  <si>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</si>
  <si>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</si>
  <si>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</si>
  <si>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</si>
  <si>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</si>
  <si>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01  02  00  00  00  0000  800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</si>
  <si>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</si>
  <si>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</si>
  <si>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600 05 00</t>
  </si>
  <si>
    <t>Мероприятия в области коммунального хозяйства</t>
  </si>
  <si>
    <t>795 19 11</t>
  </si>
  <si>
    <t>Благоустройство</t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</si>
  <si>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</si>
  <si>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</si>
  <si>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</si>
  <si>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</si>
  <si>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</si>
  <si>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</si>
  <si>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</si>
  <si>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</si>
  <si>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795 19 13</t>
  </si>
  <si>
    <t>Программа "Капитальное строительство на территории Миасского городского округа на 2009-2011 годы"</t>
  </si>
  <si>
    <t>795 25 00</t>
  </si>
  <si>
    <t>Коммунальное хозяйство</t>
  </si>
  <si>
    <t>Обеспечение деятельности (оказание услуг) подведомственных казенных учреждений</t>
  </si>
  <si>
    <t>Выполнение функций казенными учреждениями</t>
  </si>
  <si>
    <t>611</t>
  </si>
  <si>
    <t>Органы юстиции</t>
  </si>
  <si>
    <t>Лицензирование розничной продажи алкогольной продукции за счет субвенций из областного бюджета</t>
  </si>
  <si>
    <t>002 04 98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</si>
  <si>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</si>
  <si>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Код бюджетной классификации РФ</t>
  </si>
  <si>
    <t>Другие вопросы в области жилищно-коммунального хозяйства</t>
  </si>
  <si>
    <t xml:space="preserve">Бюджетные инвестиции </t>
  </si>
  <si>
    <t>Подпрограмма "Обеспечение земельных участков объектами коммунальной инфраструктуры"</t>
  </si>
  <si>
    <t>Охрана окружающей  среды</t>
  </si>
  <si>
    <t>Природоохранные учреждения</t>
  </si>
  <si>
    <t>Другие вопросы в области охраны окружающей среды</t>
  </si>
  <si>
    <t>795 00 22</t>
  </si>
  <si>
    <t>600 00 00</t>
  </si>
  <si>
    <t>Уличное освещение</t>
  </si>
  <si>
    <t>600 01 00</t>
  </si>
  <si>
    <t>Учреждения социального обслуживания населения</t>
  </si>
  <si>
    <t>507 00 00</t>
  </si>
  <si>
    <t>317 82 00</t>
  </si>
  <si>
    <t>317 82 10</t>
  </si>
  <si>
    <t>423 82 00</t>
  </si>
  <si>
    <t>423 82 10</t>
  </si>
  <si>
    <t>423 82 70</t>
  </si>
  <si>
    <t>441 82 00</t>
  </si>
  <si>
    <t>441 82 10</t>
  </si>
  <si>
    <t>612</t>
  </si>
  <si>
    <t>420 82 00</t>
  </si>
  <si>
    <t>420 82 10</t>
  </si>
  <si>
    <t>421 82 00</t>
  </si>
  <si>
    <t>421 82 10</t>
  </si>
  <si>
    <t>Мероприятия по проведению оздоровительной кампании детей, за исключением детей, находящихся в трудной жизненной ситуации</t>
  </si>
  <si>
    <t>432 01 00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</si>
  <si>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</t>
  </si>
  <si>
    <t>432 01 71</t>
  </si>
  <si>
    <t>Финансовое обеспечение муниципального задания на оказание муниципальных услуг ( выполнение работ)</t>
  </si>
  <si>
    <t>Предоставление субсидий бюджетным  и автономным учреждениям</t>
  </si>
  <si>
    <t>795 00 70</t>
  </si>
  <si>
    <t>795 00 71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</si>
  <si>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</si>
  <si>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</si>
  <si>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</si>
  <si>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</si>
  <si>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</si>
  <si>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</si>
  <si>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</si>
  <si>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</si>
  <si>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</si>
  <si>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</si>
  <si>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</si>
  <si>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</si>
  <si>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</si>
  <si>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</si>
  <si>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</si>
  <si>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</si>
  <si>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</si>
  <si>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Образование</t>
  </si>
  <si>
    <t>07</t>
  </si>
  <si>
    <t>Молодежная политика и оздоровление детей</t>
  </si>
  <si>
    <t>432 00 00</t>
  </si>
  <si>
    <t>200</t>
  </si>
  <si>
    <t>Национальная экономика</t>
  </si>
  <si>
    <t>04</t>
  </si>
  <si>
    <t>Транспорт</t>
  </si>
  <si>
    <t>08</t>
  </si>
  <si>
    <t>Другие виды транспорта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</si>
  <si>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</si>
  <si>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</si>
  <si>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>Целевые программы муниципальных образований</t>
  </si>
  <si>
    <t>795 00 00</t>
  </si>
  <si>
    <t>Судебная система</t>
  </si>
  <si>
    <t>05</t>
  </si>
  <si>
    <t>Бюджетные инвестиции в объекты капитального строительства, собственности муниципальных образований</t>
  </si>
  <si>
    <t>102 01 02</t>
  </si>
  <si>
    <t>Бюджетные инвестиции</t>
  </si>
  <si>
    <t>003</t>
  </si>
  <si>
    <t>440 00 00</t>
  </si>
  <si>
    <t>440 99 00</t>
  </si>
  <si>
    <t>Национальная безопасность и правоохранительная деятельность</t>
  </si>
  <si>
    <t>098 01 04</t>
  </si>
  <si>
    <t>470 82 20</t>
  </si>
  <si>
    <t>470 82 23</t>
  </si>
  <si>
    <t>Субсидии бюджетным и автономным учреждениям на  иные цели</t>
  </si>
  <si>
    <t>Субсидии бюджетным и автономным учреждениям на текущий ремонт зданий</t>
  </si>
  <si>
    <t>471 82 22</t>
  </si>
  <si>
    <t>Дорожное хозяйство (дорожные фонды)</t>
  </si>
  <si>
    <t>Реализация переданных государственных полномочий в области охраны труда</t>
  </si>
  <si>
    <t>002 04 99</t>
  </si>
  <si>
    <t>795 00 68</t>
  </si>
  <si>
    <t>423 82 20</t>
  </si>
  <si>
    <t>Муниципальная целевая программа "Содержание, ремонт и реконструкция спортивных сооружений Миасского городского округа в 2012-2015гг."</t>
  </si>
  <si>
    <t>441 82 23</t>
  </si>
  <si>
    <t>Другие субсидии бюджетным и автономным учреждениям на иные цели</t>
  </si>
  <si>
    <t>Массовый спорт</t>
  </si>
  <si>
    <t>Областная целевая программа "Развитие физической культуры и спорта в Челябинской области на 2012-2014 годы"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</si>
  <si>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(выполнение работ) </t>
  </si>
  <si>
    <t>Субсидии бюджетным и автономным учреждениям на иные цели</t>
  </si>
  <si>
    <t>Охрана семьи и детства</t>
  </si>
  <si>
    <t>Выплаты приемной семье на содержание подопечных детей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</si>
  <si>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</si>
  <si>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</si>
  <si>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</si>
  <si>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002 04 34</t>
  </si>
  <si>
    <t>Расходы за счет субвенции из областного бюджета на организацию и осуществление деятельности по опеке и попечительству</t>
  </si>
  <si>
    <t>002 04 74</t>
  </si>
  <si>
    <t>ВСЕГО РАСХОДОВ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</si>
  <si>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</si>
  <si>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700</t>
  </si>
  <si>
    <t>800</t>
  </si>
  <si>
    <t>Иные источники внутреннего финансирования  дефицитов бюджетов</t>
  </si>
  <si>
    <t>Стационарная медицинская помощь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</si>
  <si>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</si>
  <si>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</si>
  <si>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</si>
  <si>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</si>
  <si>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</si>
  <si>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</si>
  <si>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</si>
  <si>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</si>
  <si>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</si>
  <si>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</si>
  <si>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</si>
  <si>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</si>
  <si>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</si>
  <si>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</si>
  <si>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</si>
  <si>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</si>
  <si>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</si>
  <si>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283</t>
  </si>
  <si>
    <t>287</t>
  </si>
  <si>
    <t>440 82 00</t>
  </si>
  <si>
    <t>Финансовое обеспечение муниципального задания на оказание муниципальных услуг (выполнение работ)</t>
  </si>
  <si>
    <t>440 82 10</t>
  </si>
  <si>
    <t>Муниципальная целевая программа "Энергосбережение и повышение энергетической эффективности Миасского городского округа на 2011-2020 годы"</t>
  </si>
  <si>
    <t>810</t>
  </si>
  <si>
    <t>Муниципальная целевая программа "Пожарная безопасность Миасского городского округа на 2011-2013гг"</t>
  </si>
  <si>
    <t>Расходы за счет субсидий из областного бюджета на выплату ежемесячной надбавки к заработной плате молодым специалистам и оказание единовременной материальной помощи молодым специалистам</t>
  </si>
  <si>
    <t>423 82 01</t>
  </si>
  <si>
    <t>431 01 39</t>
  </si>
  <si>
    <t>Другие субсидии бюджетным и автономным учреждениям на иные цели.</t>
  </si>
  <si>
    <t>440 82 24</t>
  </si>
  <si>
    <t>441 82 20</t>
  </si>
  <si>
    <t>470 82 24</t>
  </si>
  <si>
    <t>471 82 20</t>
  </si>
  <si>
    <t>423 82 24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</si>
  <si>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</si>
  <si>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096 01 00</t>
  </si>
  <si>
    <t>Меры социальной поддержки граждан</t>
  </si>
  <si>
    <t>Мероприятия в сфере образования</t>
  </si>
  <si>
    <t>022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</si>
  <si>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</si>
  <si>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</si>
  <si>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</si>
  <si>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</si>
  <si>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431 99 00</t>
  </si>
  <si>
    <t xml:space="preserve">Мероприятия по проведению оздоровительной кампании детей </t>
  </si>
  <si>
    <t>Другие вопросы в области образования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</si>
  <si>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</si>
  <si>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01  06  04  00  04  0000  810</t>
  </si>
  <si>
    <t xml:space="preserve">Другие вопросы в области культуры, кинематографии </t>
  </si>
  <si>
    <t>13</t>
  </si>
  <si>
    <t>Обслуживание внутреннего государственного и муниципального долга</t>
  </si>
  <si>
    <t xml:space="preserve">Физическая культура </t>
  </si>
  <si>
    <t>Другие вопросы в области физической культуры и спорта</t>
  </si>
  <si>
    <t>Другие вопросы в области здравоохранения</t>
  </si>
  <si>
    <t>Амбулаторная помощь</t>
  </si>
  <si>
    <t>Скорая медицинская помощь</t>
  </si>
  <si>
    <t>Физическая культура и спорт</t>
  </si>
  <si>
    <t>Выполнение функций бюджетными учреждениями</t>
  </si>
  <si>
    <t>001</t>
  </si>
  <si>
    <t>092 03 00</t>
  </si>
  <si>
    <t>Бюджетные инвестиции в объекты капитального строительства, не включенные в целевые программы</t>
  </si>
  <si>
    <t>Составление (изменение) списков кандидатов в присяжные заседатели  федеральных судов общей юрисдикции в Российской Федерации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</si>
  <si>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</si>
  <si>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</si>
  <si>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</si>
  <si>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</si>
  <si>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</si>
  <si>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Организация и осуществление мероприятий по работе с детьми и молодежью за счет субсидий из областного бюджета</t>
  </si>
  <si>
    <t>Расходы на оплату ТЭР, услуг водоснабжения, водоотведения, потребляемых МБУ и эл.энергии, расходуемой на уличное освещение за счет субсидий из областного  бюджета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</si>
  <si>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</si>
  <si>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</si>
  <si>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</si>
  <si>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</si>
  <si>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288</t>
  </si>
  <si>
    <t>433 99 01</t>
  </si>
  <si>
    <t>289</t>
  </si>
  <si>
    <t>290</t>
  </si>
  <si>
    <t xml:space="preserve">522 00 00 </t>
  </si>
  <si>
    <t>455</t>
  </si>
  <si>
    <t>к решению Собрания</t>
  </si>
  <si>
    <t xml:space="preserve">депутатов Миасского </t>
  </si>
  <si>
    <t>городского округа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</si>
  <si>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</si>
  <si>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</si>
  <si>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</si>
  <si>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</si>
  <si>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Коды ведомственной классификации</t>
  </si>
  <si>
    <t>Сумма</t>
  </si>
  <si>
    <t>Исполнено</t>
  </si>
  <si>
    <t xml:space="preserve">% </t>
  </si>
  <si>
    <t>ведомство</t>
  </si>
  <si>
    <t>раздел</t>
  </si>
  <si>
    <t>подраздел</t>
  </si>
  <si>
    <t>целевая статья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</si>
  <si>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</si>
  <si>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</si>
  <si>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</si>
  <si>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</si>
  <si>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>Капитальный ремонт государственного жилищного фонда субъектов Российской Федерации и муниципального жилищного фонда</t>
  </si>
  <si>
    <t>Реализация мер социальной поддержки отдельных категорий граждан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</si>
  <si>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</si>
  <si>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</si>
  <si>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</si>
  <si>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522 08 00</t>
  </si>
  <si>
    <t xml:space="preserve">Поддержка коммунального хозяйства </t>
  </si>
  <si>
    <t>Социальные выплаты</t>
  </si>
  <si>
    <t>005</t>
  </si>
  <si>
    <t>795 00 27</t>
  </si>
  <si>
    <t>Защита населения и территории от последствий  чрезвычайных ситуаций природного и техногенного характера гражданская оборона</t>
  </si>
  <si>
    <t>09</t>
  </si>
  <si>
    <t>Финансовое обеспечение государственного задания на оказание государственных услуг (выполнение работ)</t>
  </si>
  <si>
    <t>МКУ МГО "Образование"</t>
  </si>
  <si>
    <t>МКУ "Управление культуры" МГО</t>
  </si>
  <si>
    <t>МКУ "Управление здравоохранения" МГО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</si>
  <si>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</si>
  <si>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</si>
  <si>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>795 00 52</t>
  </si>
  <si>
    <t>795 00 53</t>
  </si>
  <si>
    <t>Исполнение государственных и муниципальных гарантий городских округов в валюте РФ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</si>
  <si>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01  06  05  00  00  0000  000</t>
  </si>
  <si>
    <t>Бюджетные кредиты, предоставленные внутри  страны в валюте Российской Федерации</t>
  </si>
  <si>
    <t>01  06  05  00  00  0000  600</t>
  </si>
  <si>
    <t>Возврат бюджетных кредитов, предоставленных  внутри страны в валюте Российской Федерации</t>
  </si>
  <si>
    <t>01  06  05  01  04  0000  640</t>
  </si>
  <si>
    <t>Возврат бюджетных кредитов, предоставленных юридическим лицам из бюджетов городских округов в валюте РФ</t>
  </si>
  <si>
    <t>Учреждения по внешкольной работе с детьми</t>
  </si>
  <si>
    <t xml:space="preserve">423 00 00 </t>
  </si>
  <si>
    <t>423 99 00</t>
  </si>
  <si>
    <t>424 99 00</t>
  </si>
  <si>
    <t>424 99 70</t>
  </si>
  <si>
    <t>Здравоохранение</t>
  </si>
  <si>
    <t>Культура, кинематография</t>
  </si>
  <si>
    <t xml:space="preserve">Специальные (коррекционные) учреждения </t>
  </si>
  <si>
    <t>433 00 00</t>
  </si>
  <si>
    <t>433 99 00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</si>
  <si>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</si>
  <si>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</si>
  <si>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</si>
  <si>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</si>
  <si>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</si>
  <si>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</si>
  <si>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</si>
  <si>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</si>
  <si>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Мероприятия в области здравоохранения, спорта и физической культуры, туризма</t>
  </si>
  <si>
    <t>Погашение кредитов, предоставленных кредитными организациями в валюте Российской Федерации</t>
  </si>
  <si>
    <t>01  02  00  00  04  0000  810</t>
  </si>
  <si>
    <t>01  03  00  00  00  0000  700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</si>
  <si>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</si>
  <si>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01  05  00  00  00  0000  000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</si>
  <si>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</si>
  <si>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</si>
  <si>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</si>
  <si>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</si>
  <si>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</si>
  <si>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</si>
  <si>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01  05  02  01  04  0000  610</t>
  </si>
  <si>
    <t>Уменьшение прочих остатков денежных средств  бюджетов городских округов</t>
  </si>
  <si>
    <t>01  06  00  00  00  0000  000</t>
  </si>
  <si>
    <t>01  06  04  00  00  0000  000</t>
  </si>
  <si>
    <t>Исполнение государственных и муниципальных  гарантий в валюте Российской Федерации</t>
  </si>
  <si>
    <t>01  06  04  00  00  0000  800</t>
  </si>
  <si>
    <t>795 00 67</t>
  </si>
  <si>
    <t>795 00 42</t>
  </si>
  <si>
    <t xml:space="preserve">Культура </t>
  </si>
  <si>
    <t>795 00 77</t>
  </si>
  <si>
    <t>Муниципальная целевая программа "Организация временной трудовой занятости несовершеннолетних граждан Миасского городского округа на 2012-2013 годы"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</si>
  <si>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</si>
  <si>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</si>
  <si>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440 99 68</t>
  </si>
  <si>
    <t>Музей и постоянные выставки</t>
  </si>
  <si>
    <t>441 00 00</t>
  </si>
  <si>
    <t>Библиотеки</t>
  </si>
  <si>
    <t>442 00 00</t>
  </si>
  <si>
    <t>442 99 00</t>
  </si>
  <si>
    <t>Комплектование книжных фондов библиотек муниципальных образований</t>
  </si>
  <si>
    <t>450 06 00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</si>
  <si>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</si>
  <si>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450 06 03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</si>
  <si>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</si>
  <si>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</si>
  <si>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</si>
  <si>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</si>
  <si>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</si>
  <si>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</si>
  <si>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 xml:space="preserve">00 140 00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</si>
  <si>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</si>
  <si>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</si>
  <si>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</si>
  <si>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</si>
  <si>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</si>
  <si>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</si>
  <si>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</si>
  <si>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</si>
  <si>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</si>
  <si>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020 00 03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</si>
  <si>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</si>
  <si>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</si>
  <si>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</si>
  <si>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</si>
  <si>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</si>
  <si>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</si>
  <si>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12</t>
  </si>
  <si>
    <t>070 00 00</t>
  </si>
  <si>
    <t>Руководство и управление в сфере установленных функций</t>
  </si>
  <si>
    <t>001 00 00</t>
  </si>
  <si>
    <t>795 00 74</t>
  </si>
  <si>
    <t>440 82 23</t>
  </si>
  <si>
    <t>Субсидии бюджетным и автономным учреждениям на приобретение оборудования</t>
  </si>
  <si>
    <t>440 82 20</t>
  </si>
  <si>
    <t>440 82 22</t>
  </si>
  <si>
    <t>317 00 00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</si>
  <si>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</si>
  <si>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</si>
  <si>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</si>
  <si>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</si>
  <si>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102 00 00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</si>
  <si>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</si>
  <si>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</si>
  <si>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</si>
  <si>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</si>
  <si>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</si>
  <si>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</si>
  <si>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</si>
  <si>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</si>
  <si>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 на капитальный ремонт многоквартирных домов</t>
  </si>
  <si>
    <t>910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</si>
  <si>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</si>
  <si>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</si>
  <si>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01  03  00  00  04  0000  710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</si>
  <si>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</si>
  <si>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</si>
  <si>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</si>
  <si>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</si>
  <si>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</si>
  <si>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</si>
  <si>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</si>
  <si>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</si>
  <si>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</si>
  <si>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</si>
  <si>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</si>
  <si>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</si>
  <si>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</si>
  <si>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</si>
  <si>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</si>
  <si>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</si>
  <si>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</si>
  <si>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ОАП "Капитальный ремонт многоквартирных домов в Челябинской области на 2008-2011 гг. </t>
  </si>
  <si>
    <t>522 21 00</t>
  </si>
  <si>
    <t>на 9 мес.2010 года                (тыс. руб.)</t>
  </si>
  <si>
    <t>исполнения (%)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</si>
  <si>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</si>
  <si>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</si>
  <si>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</si>
  <si>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</si>
  <si>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Субсидии бюджетным и автономным учреждениям на текущий ремонт здания</t>
  </si>
  <si>
    <t>423 82 22</t>
  </si>
  <si>
    <t>441 82 22</t>
  </si>
  <si>
    <t>505 21 04</t>
  </si>
  <si>
    <t>Расходы за счет субвенций из областного бюджета 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</si>
  <si>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Ежемесячное пособие по уходу за ребенком в возрасте от полутора до трех лет (Закон Челябинской области "О ежемесячном пособии по уходу за ребенком в возрасте от полутора до трех лет")</t>
  </si>
  <si>
    <t>Ежемесячное пособие на ребенка (Закон Челябинской области "О ежемесячном пособи на ребенка")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</si>
  <si>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</si>
  <si>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</si>
  <si>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</si>
  <si>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(ежемесячная денежная выплата)</t>
  </si>
  <si>
    <t>Расходы за счет субвенции из областного бюджета на обеспечение дополнительных мер социальной защиты ветеранов в Челябинской области по Закону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</si>
  <si>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граждан, работающих и проживающих в сельских населенных пунктах и рабочих поселках Челябинской области</t>
  </si>
  <si>
    <t>Расходы за счет субвенции из областного бюджета на выплату областного единовременного пособия при рождении ребенка</t>
  </si>
  <si>
    <t xml:space="preserve">Расходы за счет субвенции из областного бюджета на возмещение стоимости услуг по погребению и выплату социального пособия на погребение </t>
  </si>
  <si>
    <t>Расходы за счет субвенции из областного бюджета на ежемесячную денежную выплату на оплату жилья и коммунальных услуг многодетной семье</t>
  </si>
  <si>
    <t>Вознаграждение, причитающееся приемному родителю</t>
  </si>
  <si>
    <t>Содержание ребенка в семье опекуна</t>
  </si>
  <si>
    <t>Приложение 10</t>
  </si>
  <si>
    <t>471 82 23</t>
  </si>
  <si>
    <t>Транспортное обеспечение органов местного самоуправления</t>
  </si>
  <si>
    <t>Эксплуатация оборудования, помещений, зданий органами местного самоуправления</t>
  </si>
  <si>
    <t>Муниципальное казенное учреждение "Управление по физической культуре, спорту, туризму"</t>
  </si>
  <si>
    <t>Реализация государственных функций в области физической культуры и спорта</t>
  </si>
  <si>
    <t>487 00 00</t>
  </si>
  <si>
    <t>487 99 00</t>
  </si>
  <si>
    <t>Целевая "Программа энергосбережения и повышения энергетической эффективности бюджетных организаций Миасского городского округа на 2011-2020 годы"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</si>
  <si>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</si>
  <si>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</si>
  <si>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Общее руководство и управление общими службами и услугами органов местного самоуправления</t>
  </si>
  <si>
    <t>005 00 00</t>
  </si>
  <si>
    <t>005 01 02</t>
  </si>
  <si>
    <t>Закупка товаров, работ и услуг для муниципальных нужд</t>
  </si>
  <si>
    <t>Иные бюджетные ассигнования</t>
  </si>
  <si>
    <t>005 02 02</t>
  </si>
  <si>
    <t>Реализация муниципальных функций, связанных с общегосударственным управлением</t>
  </si>
  <si>
    <t>005 03 00</t>
  </si>
  <si>
    <t>Социальное обеспечение и иные выплаты населению</t>
  </si>
  <si>
    <t>300</t>
  </si>
  <si>
    <t>004 00 00</t>
  </si>
  <si>
    <t>Обслуживание муниципального долга</t>
  </si>
  <si>
    <t>вид расходов (группы)</t>
  </si>
  <si>
    <t>Расходы на оплату задолженности по договорам 2013 года</t>
  </si>
  <si>
    <t>655 00 10</t>
  </si>
  <si>
    <t>600</t>
  </si>
  <si>
    <t>Программа "Культура. Искусство. Творчество." на 2014-2016гг.</t>
  </si>
  <si>
    <t>Предоставление субсидий бюджетным и автономным учреждениям и иным некоммерческим организациям</t>
  </si>
  <si>
    <t>Иные закупки товаров, работ и услуг для обеспечения муниципальных нужд</t>
  </si>
  <si>
    <t>240</t>
  </si>
  <si>
    <t>Прочая закупка товаров, работ и услуг для обеспечения муниципальных нужд</t>
  </si>
  <si>
    <t>244</t>
  </si>
  <si>
    <t>Оценка недвижимости, признание прав и регулирование отношений по муниципальной собственности</t>
  </si>
  <si>
    <t>005 02 03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</si>
  <si>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</si>
  <si>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</si>
  <si>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</si>
  <si>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Субсидии бюджетным учреждениям на финансовое обеспечение муниципального (государственного) задания на оказание муниципальных (государственных) услуг (выполнение работ)</t>
  </si>
  <si>
    <t>001 59 03</t>
  </si>
  <si>
    <t>007 00 00</t>
  </si>
  <si>
    <t>007 99 00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</si>
  <si>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</si>
  <si>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</si>
  <si>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</si>
  <si>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</si>
  <si>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</si>
  <si>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</si>
  <si>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008 00 00</t>
  </si>
  <si>
    <t>008 01 00</t>
  </si>
  <si>
    <t>008 01 50</t>
  </si>
  <si>
    <t>009 00 00</t>
  </si>
  <si>
    <t>009 01 00</t>
  </si>
  <si>
    <t>Реализация муниципальных функций в области национальной экономики</t>
  </si>
  <si>
    <t>310 00 00</t>
  </si>
  <si>
    <t>Мероприятия в области автомобильного транспорта</t>
  </si>
  <si>
    <t>313 00 00</t>
  </si>
  <si>
    <t>313 02 00</t>
  </si>
  <si>
    <t>Субсидии юридическим лицам (кроме некоммерческих организаций), индивидуальным предпринимателям, физическим лицам</t>
  </si>
  <si>
    <t>314 00 00</t>
  </si>
  <si>
    <t>314 03 00</t>
  </si>
  <si>
    <t>314 82 10</t>
  </si>
  <si>
    <t xml:space="preserve">Муниципальные программы  </t>
  </si>
  <si>
    <t>МП "Капитальное строительство на территории Миасского городского округа на 2014-2015 годы"</t>
  </si>
  <si>
    <t>Отдельные мероприятия по землеустройству и землепользованию</t>
  </si>
  <si>
    <t>314 82 00</t>
  </si>
  <si>
    <t>651  00 00</t>
  </si>
  <si>
    <t>651 05 00</t>
  </si>
  <si>
    <t>Муниципальная  программа "Чистая вода" на территории МГО на 2014-2020 г.г.</t>
  </si>
  <si>
    <t>Муниципальная программа "Обеспечение безопасности гидротехнических сооружений на территории Миасского городского округа на 2014-2015 годы"</t>
  </si>
  <si>
    <t xml:space="preserve">05 </t>
  </si>
  <si>
    <t>Капитальные вложения в объекты недвижимого имущества
муниципальной собственности</t>
  </si>
  <si>
    <t>400</t>
  </si>
  <si>
    <t>006 00 00</t>
  </si>
  <si>
    <t>006 99 00</t>
  </si>
  <si>
    <t xml:space="preserve">795 25 00 </t>
  </si>
  <si>
    <t>505 21 03</t>
  </si>
  <si>
    <t>Капитальные вложения в объекты недвижимого имущества муниципальной собственности</t>
  </si>
  <si>
    <t>410</t>
  </si>
  <si>
    <t>Бюджетные инвестиции на приобретение объектов
недвижимого имущества в муниципальную собственность</t>
  </si>
  <si>
    <t>412</t>
  </si>
  <si>
    <t>487 99 01</t>
  </si>
  <si>
    <t>505 52 50</t>
  </si>
  <si>
    <t>505 52 80</t>
  </si>
  <si>
    <t>505 53 80</t>
  </si>
  <si>
    <t xml:space="preserve"> 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</si>
  <si>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505 63 65</t>
  </si>
  <si>
    <t>505 75 00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</si>
  <si>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(компенсация расходов на оплату жилых помещений и коммнальных услуг)</t>
  </si>
  <si>
    <t>Расходы за счет субвенции из областного бюджета на обеспечение дополнительных мер социальной защиты ветеранов в Челябинской области "О дополнительных мерах социальной защиты ветеранов в Челябинской области" (компенсационные выплаты за пользование услугами связи)</t>
  </si>
  <si>
    <t>505 75 60</t>
  </si>
  <si>
    <t>505 75 70</t>
  </si>
  <si>
    <t>505 75 80</t>
  </si>
  <si>
    <t>Предоставление субсидий бюджетным,
автономным учреждениям и иным некоммерческим организациям</t>
  </si>
  <si>
    <t>505 75 90</t>
  </si>
  <si>
    <t>Муниципальные программы</t>
  </si>
  <si>
    <t xml:space="preserve">Муниципальная программа "Формирование доступной среды для инвалидов и маломобильных групп населения Миасского городского округа" на 2014-2016 годы </t>
  </si>
  <si>
    <t>795 00 80</t>
  </si>
  <si>
    <t>Расходы на выплаты персоналу в целях обеспечения
выполнения функций муниципальными органами, казенными учреждениями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</si>
  <si>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</si>
  <si>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Муниципальная программа "Оптимизация функций государственного (муниципального) управления в Миасском городском округе и повышение эффективности их обеспечения" на 2014-2016 годы</t>
  </si>
  <si>
    <t>Учреждения культуры, мероприятия в сфере культуры и кинематографии, архивного дела</t>
  </si>
  <si>
    <t>Реализция других функций, связанных с обеспечением национальной безопасности и правоохранительной деятельности</t>
  </si>
  <si>
    <t>Предупреждение и ликвидация последствий чрезвычайных ситуаций и стихийных бедствий</t>
  </si>
  <si>
    <t xml:space="preserve">Мероприятия по предупреждению и ликвидации последствий чрезвычайных ситуаций и стихийных бедствий 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</si>
  <si>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</si>
  <si>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600 05 91</t>
  </si>
  <si>
    <t>Прочие мероприятия по благоустройству
городских округов и поселений</t>
  </si>
  <si>
    <t>Предоставление субсидий бюджетным и автономным организациям</t>
  </si>
  <si>
    <t>Муниципальная программа "Поддержка и  развитие дошкольного образования в МГО на 2014-2015гг."</t>
  </si>
  <si>
    <t>433 9901</t>
  </si>
  <si>
    <t>Муниципальная программа "Молодежь Миасса на 2014-2016 годы"</t>
  </si>
  <si>
    <t>Реализация полномочий Российской Федерации на государственную регистрацию актов гражданского состояния</t>
  </si>
  <si>
    <t>340 82 00</t>
  </si>
  <si>
    <t>340 82 10</t>
  </si>
  <si>
    <t>655 00 20</t>
  </si>
  <si>
    <t>Расходы на реализацию мероприятий по обеспечению своевременной и полной выплаты заработной платы</t>
  </si>
  <si>
    <t>Коды бюджетной  классификации</t>
  </si>
  <si>
    <t xml:space="preserve">от                     № 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</si>
  <si>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</si>
  <si>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</si>
  <si>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 средств бюджетов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</si>
  <si>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</si>
  <si>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01  03  01  00  00  0000  000</t>
  </si>
  <si>
    <t>01  03  01  00  00  0000  800</t>
  </si>
  <si>
    <t>01  03  01  00  04  0000  810</t>
  </si>
  <si>
    <t>Финансовое обеспечение муниципального задания на оказание государственных услуг</t>
  </si>
  <si>
    <t>Организации по внешкольной работе с детьми</t>
  </si>
  <si>
    <t>Охрана объектов растительного и животного мира и среды их обитания</t>
  </si>
  <si>
    <t xml:space="preserve">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</si>
  <si>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441 82 24</t>
  </si>
  <si>
    <t>МП "Экология Миасского городского округа 2014-2016 гг."</t>
  </si>
  <si>
    <t>МП "Экология Миасского городского округа 2014-2016гг"</t>
  </si>
  <si>
    <t>НА 2015 ГОД</t>
  </si>
  <si>
    <t>на 2015 год                 (тыс. руб.)</t>
  </si>
  <si>
    <t>003 00 00</t>
  </si>
  <si>
    <t>Муниципальная программа  "Развитие муниципальной службы в Миасском городском округе"</t>
  </si>
  <si>
    <t>795 00 10</t>
  </si>
  <si>
    <t>Муниципальная программа"Обеспечение безопасности жизнедеятельности населения Миасского городского округа на 2014-2016гг."</t>
  </si>
  <si>
    <t>795 00 83</t>
  </si>
  <si>
    <t>Муниципальная программа "Предоставление субсидий (социальных выплат) на улучшение жилищных условий муниципальных служащих Миасского городского округа"</t>
  </si>
  <si>
    <t>795 00 07</t>
  </si>
  <si>
    <t>795 19 00</t>
  </si>
  <si>
    <t>Подпрограмма "Оказание молодым семьям господдержки для улучшения жилищных условий"</t>
  </si>
  <si>
    <t>795 19 14</t>
  </si>
  <si>
    <t>Муниципальная программа "Доступное и комфортное жилье - гражданам России"  на территории Миасского городского округа на 2014-2020 г.г."</t>
  </si>
  <si>
    <t xml:space="preserve">Источники 
внутреннего финансирования дефицита бюджета Миасского  городского округа 
на 2015 год   </t>
  </si>
  <si>
    <t>Расходы на оплату задолженности по договорам 2014 года</t>
  </si>
  <si>
    <t>Государственная программа Челябинской области "Развитие здравоохранения Челябинской области" на 2015-2017 годы</t>
  </si>
  <si>
    <t>601 00 00</t>
  </si>
  <si>
    <t>601 82 00</t>
  </si>
  <si>
    <t>601 82 30</t>
  </si>
  <si>
    <t>601 99 00</t>
  </si>
  <si>
    <t>440 02 00</t>
  </si>
  <si>
    <t xml:space="preserve">Муниципальная программа "Безопасность учреждений культуры" на 2014 -2016 годы </t>
  </si>
  <si>
    <t>Муниципальная программа "Укрепление и модернизация материально-техничекой базы учреждений культуры на 2014-2016 годы"</t>
  </si>
  <si>
    <t>795 00 54</t>
  </si>
  <si>
    <t>Предоставление субсидий бюджетным и автономным учреждениям, оказывающим амбулатоно-поликлиническую помощь в городских больницах</t>
  </si>
  <si>
    <t xml:space="preserve">Предоставление субсидий бюджетным и автономным учреждениям, оказывающим амбулаторную помощь в поликлиниках </t>
  </si>
  <si>
    <t>Государственная программа Челябинской области "Дети Южного Урала" на 2014-2017 годы</t>
  </si>
  <si>
    <t>607 00 00</t>
  </si>
  <si>
    <t>607 99 00</t>
  </si>
  <si>
    <t>607 99 01</t>
  </si>
  <si>
    <t>607 50 82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</si>
  <si>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</si>
  <si>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505 51 37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</si>
  <si>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</si>
  <si>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505 52 20</t>
  </si>
  <si>
    <t>Государственная программа Челябинской области "Повышение качества жизни граждан пожилого возраста в Челябинской области" на 2014-2017 годы</t>
  </si>
  <si>
    <t>606 00 00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</si>
  <si>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переданных для осуществления органами местного самоуправления в установленном порядке в рамках государственной программы Челябинской области "Повышение качества жизни пожилого возраста в Челябинской области" на 2014-2017 годы</t>
  </si>
  <si>
    <t>606 02 00</t>
  </si>
  <si>
    <t>606 02 22</t>
  </si>
  <si>
    <t>606 02 25</t>
  </si>
  <si>
    <t>606 02 32</t>
  </si>
  <si>
    <t>606 02 35</t>
  </si>
  <si>
    <t>606 02 42</t>
  </si>
  <si>
    <t>606 02 51</t>
  </si>
  <si>
    <t>606 02 53</t>
  </si>
  <si>
    <t>Государственная программа Челябинской области  "Дети Южного Урала" на 2014-2017 годы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</si>
  <si>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переданных для осуществления органами местного самоуправления в установленном порядке в рамках государственной программы Челябинской области "Дети Южного Урала" на 2014-2017 годы</t>
  </si>
  <si>
    <t>607 02 00</t>
  </si>
  <si>
    <t>607 02 08</t>
  </si>
  <si>
    <t>607 02 11</t>
  </si>
  <si>
    <t>607 02 70</t>
  </si>
  <si>
    <t>607 02 90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</si>
  <si>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лиувидацией организаций (прекращение деятельности, полномочий физическими лицами), в соотвествии с Федеральным законом от 19 мая 1995 года №81-ФЗ "О государственных пособиях гражданам имеющим детей"</t>
  </si>
  <si>
    <t>607 53 80</t>
  </si>
  <si>
    <t xml:space="preserve">Муниципальная программа "Доступная среда" на 2014-2015 годы </t>
  </si>
  <si>
    <t>607 02 10</t>
  </si>
  <si>
    <t>607 02 12</t>
  </si>
  <si>
    <t>607 02 76</t>
  </si>
  <si>
    <t>607 02 09</t>
  </si>
  <si>
    <t>420 82 20</t>
  </si>
  <si>
    <t>420 82 24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</si>
  <si>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</si>
  <si>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604 00 00</t>
  </si>
  <si>
    <t>604 99 00</t>
  </si>
  <si>
    <t>604 82 10</t>
  </si>
  <si>
    <t>604 82 23</t>
  </si>
  <si>
    <t>604 82 20</t>
  </si>
  <si>
    <t>Муниципальная программа "Безопасность образовательных организаций Миасского городского округа на 2014-2015 годы "</t>
  </si>
  <si>
    <t>795 00 43</t>
  </si>
  <si>
    <t>421 82 20</t>
  </si>
  <si>
    <t>421 82 24</t>
  </si>
  <si>
    <t>Государственная программа Челябинской области «Развитие образования в Челябинской области на 2014–2017 годы»</t>
  </si>
  <si>
    <t>603 00 00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</si>
  <si>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«Развитие образования в Челябинской области на 2014–2017 годы»</t>
  </si>
  <si>
    <t>603 02 00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</si>
  <si>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</si>
  <si>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603 02 82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</si>
  <si>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</si>
  <si>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603 02 73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</si>
  <si>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</si>
  <si>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603 99 00</t>
  </si>
  <si>
    <t>603 82 10</t>
  </si>
  <si>
    <t>603 82 23</t>
  </si>
  <si>
    <t>603 82 20</t>
  </si>
  <si>
    <t>603 82 00</t>
  </si>
  <si>
    <t>Муниципальная программа "Программа развития образования в Миасском городском округе на 2014-2015 годы"</t>
  </si>
  <si>
    <t>795 00 45</t>
  </si>
  <si>
    <t>Муниципальная программа "Противодействие злоупотреблению наркотическими средствами и их незаконному обороту в Миасском городском округе на 2014-2015гг."</t>
  </si>
  <si>
    <t>795 00 41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</si>
  <si>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</si>
  <si>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603 02 03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</si>
  <si>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«Поддержка и развитие дошкольного образования в Челябинской области» на 2015–2025 годы</t>
  </si>
  <si>
    <t>604 02 00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</si>
  <si>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</si>
  <si>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604 02 04</t>
  </si>
  <si>
    <t>604 82 00</t>
  </si>
  <si>
    <t>РАСПРЕДЕЛЕНИЕ БЮДЖЕТНЫХ АССИГНОВАНИЙ НА 2015 ГОД</t>
  </si>
  <si>
    <t>на 2015 год  (тыс. руб.)</t>
  </si>
  <si>
    <t>Мероприятия в области малого и среднего предпринимательства</t>
  </si>
  <si>
    <t>312 00 00</t>
  </si>
  <si>
    <t>312 82 00</t>
  </si>
  <si>
    <t>312 82 10</t>
  </si>
  <si>
    <t>601 8Г 00</t>
  </si>
  <si>
    <t>601 8Г 30</t>
  </si>
  <si>
    <t>601 8Д 00</t>
  </si>
  <si>
    <t>601 8Д 30</t>
  </si>
  <si>
    <t>Муниципальная программа "развитие здравоохранения Миасского городского округа на 2014 год и плановый период 2015 и 2016 годов"</t>
  </si>
  <si>
    <t>795 00 38</t>
  </si>
  <si>
    <t>Муниципальная целевая программа " Капитальное строительство на территории Миасского городского округа на 2014-2015 годы"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</si>
  <si>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</si>
  <si>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</si>
  <si>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098 95 00</t>
  </si>
  <si>
    <t>Обеспечение мероприятий по переселению граждан из аварийного жилищного фонда</t>
  </si>
  <si>
    <t>098 95 02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</si>
  <si>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</si>
  <si>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098 96 00</t>
  </si>
  <si>
    <t>098 96 02</t>
  </si>
  <si>
    <t xml:space="preserve">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</si>
  <si>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607 02 04</t>
  </si>
  <si>
    <t>Муниципальная программа "Регулирование численности безнадзорных собак на территории Миасского городского округа на 2014-2016гг"</t>
  </si>
  <si>
    <t>795 00 81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</si>
  <si>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</si>
  <si>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520 51 44</t>
  </si>
  <si>
    <t>Обеспечение деятельности  (оказание услуг) подведомственных казенных учреждений в области физической культуры, спорта, туризма</t>
  </si>
  <si>
    <t>Источники внутреннего финансирования дефицитов бюджетов</t>
  </si>
  <si>
    <t>01  03  00  00  00  0000  000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</si>
  <si>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</si>
  <si>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</si>
  <si>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</si>
  <si>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</si>
  <si>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Операции по управлению остатками средств на единых счетах бюджетов</t>
  </si>
  <si>
    <t>01  06  10  00  00  0000  000</t>
  </si>
  <si>
    <t>Распределение бюджетных ассигнований на капитальные вложения в объекты муниципальной  собственности Миасского городского округа на 2015-2017 годы</t>
  </si>
  <si>
    <t>(тыс. рублей)</t>
  </si>
  <si>
    <t>Наименование объектов</t>
  </si>
  <si>
    <t>Объем бюджетных ассигнований</t>
  </si>
  <si>
    <t>2015 год</t>
  </si>
  <si>
    <t>2016 год</t>
  </si>
  <si>
    <t>2017 год</t>
  </si>
  <si>
    <t>Муниципальная программа  «Капитальное строительство на территории Миасского городского округа на 2014-2015 годы»:</t>
  </si>
  <si>
    <t>- блочно-модульная котельная в п. Новоандреевка;</t>
  </si>
  <si>
    <t>- котельная к зданию школы в п. Северные Печи;</t>
  </si>
  <si>
    <t>- ГТС Миасского городского пруда,</t>
  </si>
  <si>
    <t>в том числе проектно-изыскательские работы</t>
  </si>
  <si>
    <t xml:space="preserve"> - крытый каток с искусственным льдом, </t>
  </si>
  <si>
    <t>Всего по программе</t>
  </si>
  <si>
    <t>Муниципальная программа по реализации Национального Проекта «Доступное и комфортное жилье - гражданам России» на территории МГО на 2014-2015г.г., подпрограмма «Модернизация объектов коммунальной инфраструктуры»:</t>
  </si>
  <si>
    <t>- газоснабжение ж/д п.Ленинск;</t>
  </si>
  <si>
    <t>- газопровод от п.Сыростан до п.Хребет в том числе проектно-изыскательские работы;</t>
  </si>
  <si>
    <t>-  очистные сооружения п.Хребет, в том числе проектно-изыскательские работы</t>
  </si>
  <si>
    <t>Итого</t>
  </si>
  <si>
    <t>Государственная программа Челябинской области "Обеспечение доступным и комфортным жильем  граждан Российской  Федерации" в Челябинской областина 2014-2020г.г., подпрограмма «Модернизация объектов коммунальной инфраструктуры»:</t>
  </si>
  <si>
    <t xml:space="preserve"> - газификация запрудной части г.Миасса Челябинской области (1 очередь), ул.Трактовая, Полевая, пер. Крутой, в том числе проектно-изыскательские работы</t>
  </si>
  <si>
    <t>Государственная программа Челябинской области "Энергосбережение и повышение энергетической эффективности" на 2014-2020 годы:</t>
  </si>
  <si>
    <t xml:space="preserve"> - строительство проводящих сетей к котельной п.Хребет, в том числе проектно-изыскательские работы</t>
  </si>
  <si>
    <t>Муниципальная программа "Поддержки и развития малого и среднего предпринимательства в Миасском городском округе на 2014-2015 годы"</t>
  </si>
  <si>
    <t>795 00 03</t>
  </si>
  <si>
    <t>Государственная программа Челябинской области "Развитие дорожного хозяйства в Челябинской области на 2015-2017 годы"</t>
  </si>
  <si>
    <t>618 00 00</t>
  </si>
  <si>
    <t>Субсидии местным бюджетам для софинансирования расходных обязательств, возникших при выполнении полномочий органов местного самоуправления по вопросам местного значения, в рамках государственной программы Челябинской области  "Развитие дорожного хозяйства в Челябинской области на 2015-2017 годы"</t>
  </si>
  <si>
    <t>618 05 00</t>
  </si>
  <si>
    <t>Капитальный ремонт, ремонт и содержание автомобильных дорог общего пользования местного значения</t>
  </si>
  <si>
    <t>618 05 02</t>
  </si>
  <si>
    <t xml:space="preserve"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 </t>
  </si>
  <si>
    <t>Подпрограмма "Модернизация объектов коммунальной инфраструктуры"</t>
  </si>
  <si>
    <t>614 00 00</t>
  </si>
  <si>
    <t>614 20 00</t>
  </si>
  <si>
    <t>Государственная программа Челябинской области "Энергосбережениеи повышение энергетической эффективности" на 2014-2020 годы</t>
  </si>
  <si>
    <t>617 00 00</t>
  </si>
  <si>
    <t>Социальное обеспечение и ные выплаты населению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</si>
  <si>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значения, в рамках государственной программы Челябинской области "Развитие образования в Челябинской области" на 2014 - 2017 годы</t>
  </si>
  <si>
    <t>603 01 00</t>
  </si>
  <si>
    <t>Оборудование пунктов проведения государственной итоговой аттестации в форме основного государственного экзамена</t>
  </si>
  <si>
    <t>603 01 01</t>
  </si>
  <si>
    <t>Оборудование пунктов проведения государственной итоговой аттестации в форме единого государственного экзамена</t>
  </si>
  <si>
    <t>603 01 02</t>
  </si>
  <si>
    <t>Муниципальная программа "Организация и обеспечение отдыха, оздоровления и занятости детей Миасского городского округа на 2015 год"</t>
  </si>
  <si>
    <t>7950050</t>
  </si>
  <si>
    <t>Приложение 1</t>
  </si>
  <si>
    <t>Приложение 3</t>
  </si>
  <si>
    <t>Приложение 5</t>
  </si>
  <si>
    <t>Приложение  6</t>
  </si>
  <si>
    <t>МП "Капитальное строительство на территории Миасского городского округа на 2014-2016 годы"</t>
  </si>
  <si>
    <t>МП по реализации НП "Доступное и комфортное жилье - гражданам России"  на территории МГО на 2014-2020 г.г., подпрограмма "Модернизация объектов коммунальной инфраструктуры"</t>
  </si>
  <si>
    <t>Муниципальная  программа "Развитие физической культуры и спорта в Миасском городском округе на 2014-2016 годы"</t>
  </si>
  <si>
    <t>к Решению Собрания</t>
  </si>
  <si>
    <t>от 24.04.2015 г. №2</t>
  </si>
  <si>
    <t>от  24.04.2015 г. №2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</si>
</sst>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(* #,##0.0_);_(* \(#,##0.0\);_(* &quot;-&quot;??_);_(@_)"/>
    <numFmt numFmtId="188" formatCode="_-* #,##0.0_р_._-;\-* #,##0.0_р_._-;_-* &quot;-&quot;?_р_._-;_-@_-"/>
    <numFmt numFmtId="189" formatCode="[$-FC19]d\ mmmm\ yyyy\ &quot;г.&quot;"/>
    <numFmt numFmtId="190" formatCode="#,##0.000"/>
  </numFmts>
  <fonts count="52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 Cyr"/>
      <family val="2"/>
    </font>
    <font>
      <sz val="12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i/>
      <sz val="11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1.5"/>
      <name val="Arial Cyr"/>
      <family val="2"/>
    </font>
    <font>
      <sz val="8"/>
      <color indexed="8"/>
      <name val="Arial"/>
      <family val="2"/>
    </font>
    <font>
      <b/>
      <sz val="11"/>
      <name val="Arial Cyr"/>
      <family val="2"/>
    </font>
    <font>
      <i/>
      <sz val="11"/>
      <name val="Arial Cyr"/>
      <family val="0"/>
    </font>
    <font>
      <sz val="13"/>
      <name val="Arial"/>
      <family val="2"/>
    </font>
    <font>
      <sz val="11"/>
      <color indexed="8"/>
      <name val="Times New Roman"/>
      <family val="1"/>
    </font>
    <font>
      <sz val="12"/>
      <color indexed="10"/>
      <name val="Arial"/>
      <family val="2"/>
    </font>
    <font>
      <sz val="10"/>
      <color indexed="10"/>
      <name val="Arial Cyr"/>
      <family val="0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2"/>
      <color rgb="FFFF0000"/>
      <name val="Arial"/>
      <family val="2"/>
    </font>
    <font>
      <sz val="10"/>
      <color rgb="FFFF000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 vertical="justify"/>
    </xf>
    <xf numFmtId="164" fontId="3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5" fillId="0" borderId="13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64" fontId="5" fillId="0" borderId="13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64" fontId="8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14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4" fontId="3" fillId="0" borderId="11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4" fontId="0" fillId="24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11" fillId="0" borderId="0" xfId="57" applyNumberFormat="1" applyFont="1" applyAlignment="1">
      <alignment horizontal="left"/>
      <protection/>
    </xf>
    <xf numFmtId="0" fontId="11" fillId="0" borderId="0" xfId="57" applyFont="1">
      <alignment/>
      <protection/>
    </xf>
    <xf numFmtId="0" fontId="0" fillId="0" borderId="0" xfId="0" applyFont="1" applyAlignment="1">
      <alignment horizontal="right"/>
    </xf>
    <xf numFmtId="0" fontId="9" fillId="0" borderId="0" xfId="57" applyFont="1" applyAlignment="1">
      <alignment/>
      <protection/>
    </xf>
    <xf numFmtId="0" fontId="11" fillId="0" borderId="0" xfId="57" applyFont="1" applyAlignment="1">
      <alignment/>
      <protection/>
    </xf>
    <xf numFmtId="49" fontId="7" fillId="0" borderId="15" xfId="57" applyNumberFormat="1" applyFont="1" applyBorder="1" applyAlignment="1">
      <alignment horizontal="left" vertical="center" wrapText="1"/>
      <protection/>
    </xf>
    <xf numFmtId="0" fontId="5" fillId="0" borderId="15" xfId="56" applyFont="1" applyBorder="1" applyAlignment="1">
      <alignment vertical="justify"/>
      <protection/>
    </xf>
    <xf numFmtId="164" fontId="7" fillId="0" borderId="15" xfId="57" applyNumberFormat="1" applyFont="1" applyBorder="1" applyAlignment="1">
      <alignment vertical="center" wrapText="1"/>
      <protection/>
    </xf>
    <xf numFmtId="0" fontId="9" fillId="0" borderId="16" xfId="0" applyFont="1" applyBorder="1" applyAlignment="1">
      <alignment horizontal="left" vertical="justify" wrapText="1"/>
    </xf>
    <xf numFmtId="0" fontId="9" fillId="0" borderId="16" xfId="0" applyFont="1" applyBorder="1" applyAlignment="1">
      <alignment horizontal="left" vertical="justify" wrapText="1" readingOrder="1"/>
    </xf>
    <xf numFmtId="0" fontId="7" fillId="0" borderId="0" xfId="57" applyFont="1">
      <alignment/>
      <protection/>
    </xf>
    <xf numFmtId="0" fontId="9" fillId="0" borderId="17" xfId="0" applyFont="1" applyBorder="1" applyAlignment="1">
      <alignment horizontal="left" vertical="justify" wrapText="1"/>
    </xf>
    <xf numFmtId="0" fontId="9" fillId="0" borderId="15" xfId="0" applyFont="1" applyBorder="1" applyAlignment="1">
      <alignment vertical="center" wrapText="1"/>
    </xf>
    <xf numFmtId="49" fontId="7" fillId="0" borderId="15" xfId="57" applyNumberFormat="1" applyFont="1" applyBorder="1" applyAlignment="1">
      <alignment horizontal="left" vertical="center"/>
      <protection/>
    </xf>
    <xf numFmtId="0" fontId="9" fillId="0" borderId="15" xfId="0" applyFont="1" applyBorder="1" applyAlignment="1">
      <alignment vertical="justify"/>
    </xf>
    <xf numFmtId="164" fontId="7" fillId="0" borderId="15" xfId="57" applyNumberFormat="1" applyFont="1" applyBorder="1" applyAlignment="1">
      <alignment vertical="center"/>
      <protection/>
    </xf>
    <xf numFmtId="0" fontId="9" fillId="0" borderId="15" xfId="0" applyNumberFormat="1" applyFont="1" applyBorder="1" applyAlignment="1">
      <alignment vertical="justify"/>
    </xf>
    <xf numFmtId="0" fontId="9" fillId="0" borderId="15" xfId="0" applyFont="1" applyFill="1" applyBorder="1" applyAlignment="1">
      <alignment vertical="center" wrapText="1"/>
    </xf>
    <xf numFmtId="164" fontId="3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49" fontId="7" fillId="0" borderId="18" xfId="0" applyNumberFormat="1" applyFont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43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49" fontId="15" fillId="0" borderId="0" xfId="57" applyNumberFormat="1" applyFont="1" applyFill="1" applyAlignment="1">
      <alignment horizontal="left"/>
      <protection/>
    </xf>
    <xf numFmtId="164" fontId="5" fillId="0" borderId="13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164" fontId="2" fillId="0" borderId="0" xfId="0" applyNumberFormat="1" applyFont="1" applyAlignment="1">
      <alignment/>
    </xf>
    <xf numFmtId="0" fontId="9" fillId="0" borderId="16" xfId="0" applyFont="1" applyFill="1" applyBorder="1" applyAlignment="1">
      <alignment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164" fontId="9" fillId="0" borderId="13" xfId="0" applyNumberFormat="1" applyFont="1" applyFill="1" applyBorder="1" applyAlignment="1">
      <alignment horizontal="center" vertical="center"/>
    </xf>
    <xf numFmtId="49" fontId="7" fillId="25" borderId="18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4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4" fillId="0" borderId="0" xfId="0" applyNumberFormat="1" applyFont="1" applyAlignment="1">
      <alignment horizontal="center"/>
    </xf>
    <xf numFmtId="164" fontId="14" fillId="0" borderId="19" xfId="0" applyNumberFormat="1" applyFont="1" applyFill="1" applyBorder="1" applyAlignment="1">
      <alignment horizontal="center"/>
    </xf>
    <xf numFmtId="164" fontId="14" fillId="0" borderId="13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 wrapText="1"/>
    </xf>
    <xf numFmtId="164" fontId="9" fillId="25" borderId="13" xfId="0" applyNumberFormat="1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164" fontId="14" fillId="0" borderId="20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justify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justify"/>
    </xf>
    <xf numFmtId="0" fontId="9" fillId="24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9" fillId="25" borderId="0" xfId="0" applyFont="1" applyFill="1" applyAlignment="1">
      <alignment horizontal="center"/>
    </xf>
    <xf numFmtId="0" fontId="9" fillId="25" borderId="0" xfId="0" applyFont="1" applyFill="1" applyAlignment="1">
      <alignment/>
    </xf>
    <xf numFmtId="0" fontId="35" fillId="25" borderId="0" xfId="0" applyFont="1" applyFill="1" applyAlignment="1">
      <alignment/>
    </xf>
    <xf numFmtId="0" fontId="9" fillId="0" borderId="0" xfId="0" applyFont="1" applyAlignment="1">
      <alignment horizontal="left"/>
    </xf>
    <xf numFmtId="0" fontId="14" fillId="0" borderId="0" xfId="0" applyFont="1" applyAlignment="1">
      <alignment/>
    </xf>
    <xf numFmtId="164" fontId="35" fillId="0" borderId="13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35" fillId="0" borderId="0" xfId="0" applyFont="1" applyAlignment="1">
      <alignment/>
    </xf>
    <xf numFmtId="164" fontId="9" fillId="0" borderId="0" xfId="0" applyNumberFormat="1" applyFont="1" applyAlignment="1">
      <alignment/>
    </xf>
    <xf numFmtId="43" fontId="9" fillId="0" borderId="0" xfId="65" applyFont="1" applyAlignment="1">
      <alignment horizontal="center"/>
    </xf>
    <xf numFmtId="43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7" fillId="25" borderId="21" xfId="0" applyFont="1" applyFill="1" applyBorder="1" applyAlignment="1">
      <alignment horizontal="left" vertical="center" wrapText="1"/>
    </xf>
    <xf numFmtId="0" fontId="7" fillId="25" borderId="21" xfId="0" applyFont="1" applyFill="1" applyBorder="1" applyAlignment="1">
      <alignment vertical="center" wrapText="1"/>
    </xf>
    <xf numFmtId="0" fontId="6" fillId="25" borderId="21" xfId="0" applyFont="1" applyFill="1" applyBorder="1" applyAlignment="1">
      <alignment vertical="center" wrapText="1"/>
    </xf>
    <xf numFmtId="43" fontId="7" fillId="0" borderId="0" xfId="0" applyNumberFormat="1" applyFont="1" applyAlignment="1">
      <alignment horizontal="center"/>
    </xf>
    <xf numFmtId="49" fontId="7" fillId="25" borderId="15" xfId="0" applyNumberFormat="1" applyFont="1" applyFill="1" applyBorder="1" applyAlignment="1">
      <alignment horizontal="left" vertical="center" wrapText="1"/>
    </xf>
    <xf numFmtId="49" fontId="13" fillId="0" borderId="22" xfId="0" applyNumberFormat="1" applyFont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49" fontId="13" fillId="0" borderId="23" xfId="0" applyNumberFormat="1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justify"/>
    </xf>
    <xf numFmtId="49" fontId="13" fillId="0" borderId="26" xfId="0" applyNumberFormat="1" applyFont="1" applyBorder="1" applyAlignment="1">
      <alignment horizontal="left" vertical="center" wrapText="1"/>
    </xf>
    <xf numFmtId="49" fontId="13" fillId="0" borderId="27" xfId="0" applyNumberFormat="1" applyFont="1" applyBorder="1" applyAlignment="1">
      <alignment horizontal="left" vertical="center" wrapText="1"/>
    </xf>
    <xf numFmtId="49" fontId="7" fillId="0" borderId="28" xfId="0" applyNumberFormat="1" applyFont="1" applyBorder="1" applyAlignment="1">
      <alignment horizontal="left" vertical="center" wrapText="1"/>
    </xf>
    <xf numFmtId="49" fontId="7" fillId="0" borderId="28" xfId="0" applyNumberFormat="1" applyFont="1" applyFill="1" applyBorder="1" applyAlignment="1">
      <alignment horizontal="left" vertical="center" wrapText="1"/>
    </xf>
    <xf numFmtId="49" fontId="7" fillId="24" borderId="28" xfId="0" applyNumberFormat="1" applyFont="1" applyFill="1" applyBorder="1" applyAlignment="1">
      <alignment horizontal="left" vertical="center" wrapText="1"/>
    </xf>
    <xf numFmtId="49" fontId="13" fillId="0" borderId="18" xfId="0" applyNumberFormat="1" applyFont="1" applyBorder="1" applyAlignment="1">
      <alignment horizontal="left" vertical="center" wrapText="1"/>
    </xf>
    <xf numFmtId="49" fontId="13" fillId="0" borderId="28" xfId="0" applyNumberFormat="1" applyFont="1" applyFill="1" applyBorder="1" applyAlignment="1">
      <alignment horizontal="left" vertical="center" wrapText="1"/>
    </xf>
    <xf numFmtId="49" fontId="13" fillId="0" borderId="28" xfId="0" applyNumberFormat="1" applyFont="1" applyBorder="1" applyAlignment="1">
      <alignment horizontal="left" vertical="center" wrapText="1"/>
    </xf>
    <xf numFmtId="49" fontId="13" fillId="0" borderId="18" xfId="0" applyNumberFormat="1" applyFont="1" applyFill="1" applyBorder="1" applyAlignment="1">
      <alignment horizontal="left" vertical="center" wrapText="1"/>
    </xf>
    <xf numFmtId="49" fontId="13" fillId="24" borderId="28" xfId="0" applyNumberFormat="1" applyFont="1" applyFill="1" applyBorder="1" applyAlignment="1">
      <alignment horizontal="left" vertical="center" wrapText="1"/>
    </xf>
    <xf numFmtId="49" fontId="13" fillId="0" borderId="29" xfId="0" applyNumberFormat="1" applyFont="1" applyFill="1" applyBorder="1" applyAlignment="1">
      <alignment horizontal="left" vertical="center" wrapText="1"/>
    </xf>
    <xf numFmtId="49" fontId="7" fillId="25" borderId="28" xfId="0" applyNumberFormat="1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justify" wrapText="1"/>
    </xf>
    <xf numFmtId="164" fontId="7" fillId="0" borderId="15" xfId="57" applyNumberFormat="1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right"/>
    </xf>
    <xf numFmtId="0" fontId="41" fillId="0" borderId="0" xfId="57" applyFont="1" applyAlignment="1">
      <alignment horizontal="center" vertical="center" wrapText="1"/>
      <protection/>
    </xf>
    <xf numFmtId="164" fontId="7" fillId="0" borderId="0" xfId="57" applyNumberFormat="1" applyFont="1">
      <alignment/>
      <protection/>
    </xf>
    <xf numFmtId="49" fontId="9" fillId="0" borderId="15" xfId="0" applyNumberFormat="1" applyFont="1" applyBorder="1" applyAlignment="1">
      <alignment horizontal="left" vertical="justify"/>
    </xf>
    <xf numFmtId="0" fontId="7" fillId="0" borderId="21" xfId="0" applyFont="1" applyFill="1" applyBorder="1" applyAlignment="1">
      <alignment vertical="center" wrapText="1"/>
    </xf>
    <xf numFmtId="0" fontId="5" fillId="0" borderId="15" xfId="56" applyFont="1" applyBorder="1" applyAlignment="1">
      <alignment horizontal="left" vertical="center" wrapText="1"/>
      <protection/>
    </xf>
    <xf numFmtId="165" fontId="9" fillId="0" borderId="0" xfId="0" applyNumberFormat="1" applyFont="1" applyAlignment="1">
      <alignment/>
    </xf>
    <xf numFmtId="0" fontId="6" fillId="0" borderId="21" xfId="0" applyFont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left" vertical="center" wrapText="1"/>
    </xf>
    <xf numFmtId="49" fontId="4" fillId="0" borderId="28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64" fontId="5" fillId="0" borderId="3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horizontal="left" vertical="center" wrapText="1"/>
    </xf>
    <xf numFmtId="164" fontId="39" fillId="0" borderId="30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vertical="center"/>
    </xf>
    <xf numFmtId="49" fontId="7" fillId="0" borderId="30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164" fontId="40" fillId="0" borderId="30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vertical="center" wrapText="1"/>
    </xf>
    <xf numFmtId="164" fontId="39" fillId="0" borderId="30" xfId="0" applyNumberFormat="1" applyFont="1" applyFill="1" applyBorder="1" applyAlignment="1">
      <alignment horizontal="center" vertical="center"/>
    </xf>
    <xf numFmtId="164" fontId="38" fillId="0" borderId="30" xfId="0" applyNumberFormat="1" applyFont="1" applyFill="1" applyBorder="1" applyAlignment="1">
      <alignment horizontal="center" vertical="center" wrapText="1"/>
    </xf>
    <xf numFmtId="164" fontId="39" fillId="0" borderId="30" xfId="65" applyNumberFormat="1" applyFont="1" applyFill="1" applyBorder="1" applyAlignment="1">
      <alignment horizontal="center"/>
    </xf>
    <xf numFmtId="164" fontId="39" fillId="25" borderId="30" xfId="65" applyNumberFormat="1" applyFont="1" applyFill="1" applyBorder="1" applyAlignment="1">
      <alignment horizontal="center"/>
    </xf>
    <xf numFmtId="164" fontId="39" fillId="0" borderId="30" xfId="0" applyNumberFormat="1" applyFont="1" applyBorder="1" applyAlignment="1">
      <alignment horizontal="center"/>
    </xf>
    <xf numFmtId="164" fontId="39" fillId="25" borderId="30" xfId="0" applyNumberFormat="1" applyFont="1" applyFill="1" applyBorder="1" applyAlignment="1">
      <alignment horizontal="center" vertical="center" wrapText="1"/>
    </xf>
    <xf numFmtId="164" fontId="39" fillId="25" borderId="30" xfId="0" applyNumberFormat="1" applyFont="1" applyFill="1" applyBorder="1" applyAlignment="1">
      <alignment horizontal="center"/>
    </xf>
    <xf numFmtId="164" fontId="38" fillId="0" borderId="32" xfId="0" applyNumberFormat="1" applyFont="1" applyFill="1" applyBorder="1" applyAlignment="1">
      <alignment horizontal="center" vertical="center" wrapText="1"/>
    </xf>
    <xf numFmtId="164" fontId="39" fillId="25" borderId="30" xfId="0" applyNumberFormat="1" applyFont="1" applyFill="1" applyBorder="1" applyAlignment="1">
      <alignment horizontal="center" vertical="center"/>
    </xf>
    <xf numFmtId="164" fontId="38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left" vertical="center" wrapText="1"/>
    </xf>
    <xf numFmtId="164" fontId="39" fillId="0" borderId="13" xfId="0" applyNumberFormat="1" applyFont="1" applyFill="1" applyBorder="1" applyAlignment="1">
      <alignment horizontal="center" vertical="center" wrapText="1"/>
    </xf>
    <xf numFmtId="164" fontId="39" fillId="0" borderId="13" xfId="0" applyNumberFormat="1" applyFont="1" applyFill="1" applyBorder="1" applyAlignment="1">
      <alignment horizontal="center" vertical="center"/>
    </xf>
    <xf numFmtId="164" fontId="38" fillId="0" borderId="13" xfId="0" applyNumberFormat="1" applyFont="1" applyFill="1" applyBorder="1" applyAlignment="1">
      <alignment horizontal="center" vertical="center" wrapText="1"/>
    </xf>
    <xf numFmtId="164" fontId="39" fillId="25" borderId="13" xfId="0" applyNumberFormat="1" applyFont="1" applyFill="1" applyBorder="1" applyAlignment="1">
      <alignment horizontal="center" vertical="center" wrapText="1"/>
    </xf>
    <xf numFmtId="164" fontId="40" fillId="0" borderId="13" xfId="0" applyNumberFormat="1" applyFont="1" applyFill="1" applyBorder="1" applyAlignment="1">
      <alignment horizontal="center" vertical="center" wrapText="1"/>
    </xf>
    <xf numFmtId="164" fontId="39" fillId="25" borderId="13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0" fontId="7" fillId="0" borderId="21" xfId="0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49" fontId="13" fillId="0" borderId="18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49" fontId="13" fillId="0" borderId="18" xfId="0" applyNumberFormat="1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49" fontId="7" fillId="0" borderId="18" xfId="0" applyNumberFormat="1" applyFont="1" applyFill="1" applyBorder="1" applyAlignment="1">
      <alignment vertical="center" wrapText="1"/>
    </xf>
    <xf numFmtId="49" fontId="7" fillId="25" borderId="21" xfId="0" applyNumberFormat="1" applyFont="1" applyFill="1" applyBorder="1" applyAlignment="1">
      <alignment vertical="center" wrapText="1"/>
    </xf>
    <xf numFmtId="49" fontId="7" fillId="0" borderId="21" xfId="0" applyNumberFormat="1" applyFont="1" applyFill="1" applyBorder="1" applyAlignment="1">
      <alignment vertical="center" wrapText="1"/>
    </xf>
    <xf numFmtId="49" fontId="7" fillId="25" borderId="15" xfId="0" applyNumberFormat="1" applyFont="1" applyFill="1" applyBorder="1" applyAlignment="1">
      <alignment vertical="center" wrapText="1"/>
    </xf>
    <xf numFmtId="49" fontId="7" fillId="0" borderId="21" xfId="0" applyNumberFormat="1" applyFont="1" applyBorder="1" applyAlignment="1">
      <alignment vertical="center" wrapText="1"/>
    </xf>
    <xf numFmtId="49" fontId="37" fillId="0" borderId="18" xfId="0" applyNumberFormat="1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43" fillId="0" borderId="18" xfId="0" applyNumberFormat="1" applyFont="1" applyBorder="1" applyAlignment="1">
      <alignment vertical="center" wrapText="1"/>
    </xf>
    <xf numFmtId="49" fontId="13" fillId="25" borderId="18" xfId="0" applyNumberFormat="1" applyFont="1" applyFill="1" applyBorder="1" applyAlignment="1">
      <alignment vertical="center" wrapText="1"/>
    </xf>
    <xf numFmtId="49" fontId="37" fillId="25" borderId="18" xfId="0" applyNumberFormat="1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49" fontId="13" fillId="0" borderId="26" xfId="0" applyNumberFormat="1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49" fontId="13" fillId="0" borderId="15" xfId="0" applyNumberFormat="1" applyFont="1" applyFill="1" applyBorder="1" applyAlignment="1">
      <alignment vertical="center" wrapText="1"/>
    </xf>
    <xf numFmtId="49" fontId="7" fillId="25" borderId="18" xfId="0" applyNumberFormat="1" applyFont="1" applyFill="1" applyBorder="1" applyAlignment="1">
      <alignment vertical="center" wrapText="1"/>
    </xf>
    <xf numFmtId="49" fontId="42" fillId="0" borderId="18" xfId="0" applyNumberFormat="1" applyFont="1" applyFill="1" applyBorder="1" applyAlignment="1">
      <alignment vertical="center" wrapText="1"/>
    </xf>
    <xf numFmtId="0" fontId="48" fillId="0" borderId="15" xfId="0" applyFont="1" applyFill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49" fontId="13" fillId="0" borderId="37" xfId="0" applyNumberFormat="1" applyFont="1" applyBorder="1" applyAlignment="1">
      <alignment vertical="center" wrapText="1"/>
    </xf>
    <xf numFmtId="49" fontId="13" fillId="0" borderId="23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49" fontId="7" fillId="25" borderId="18" xfId="0" applyNumberFormat="1" applyFont="1" applyFill="1" applyBorder="1" applyAlignment="1">
      <alignment vertical="center"/>
    </xf>
    <xf numFmtId="49" fontId="7" fillId="25" borderId="15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49" fontId="4" fillId="25" borderId="15" xfId="0" applyNumberFormat="1" applyFont="1" applyFill="1" applyBorder="1" applyAlignment="1">
      <alignment vertical="center"/>
    </xf>
    <xf numFmtId="49" fontId="4" fillId="25" borderId="15" xfId="0" applyNumberFormat="1" applyFont="1" applyFill="1" applyBorder="1" applyAlignment="1">
      <alignment vertical="center"/>
    </xf>
    <xf numFmtId="49" fontId="37" fillId="25" borderId="18" xfId="0" applyNumberFormat="1" applyFont="1" applyFill="1" applyBorder="1" applyAlignment="1">
      <alignment vertical="center"/>
    </xf>
    <xf numFmtId="49" fontId="6" fillId="25" borderId="18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vertical="center"/>
    </xf>
    <xf numFmtId="164" fontId="40" fillId="0" borderId="30" xfId="65" applyNumberFormat="1" applyFont="1" applyFill="1" applyBorder="1" applyAlignment="1">
      <alignment horizontal="center"/>
    </xf>
    <xf numFmtId="164" fontId="5" fillId="25" borderId="30" xfId="0" applyNumberFormat="1" applyFont="1" applyFill="1" applyBorder="1" applyAlignment="1">
      <alignment horizontal="center"/>
    </xf>
    <xf numFmtId="164" fontId="5" fillId="25" borderId="30" xfId="0" applyNumberFormat="1" applyFont="1" applyFill="1" applyBorder="1" applyAlignment="1">
      <alignment horizontal="center"/>
    </xf>
    <xf numFmtId="0" fontId="7" fillId="0" borderId="38" xfId="0" applyFont="1" applyBorder="1" applyAlignment="1">
      <alignment vertical="center"/>
    </xf>
    <xf numFmtId="49" fontId="7" fillId="0" borderId="39" xfId="0" applyNumberFormat="1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49" fontId="7" fillId="0" borderId="28" xfId="0" applyNumberFormat="1" applyFont="1" applyBorder="1" applyAlignment="1">
      <alignment vertical="center" wrapText="1"/>
    </xf>
    <xf numFmtId="49" fontId="7" fillId="0" borderId="28" xfId="0" applyNumberFormat="1" applyFont="1" applyFill="1" applyBorder="1" applyAlignment="1">
      <alignment vertical="center" wrapText="1"/>
    </xf>
    <xf numFmtId="49" fontId="7" fillId="24" borderId="28" xfId="0" applyNumberFormat="1" applyFont="1" applyFill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18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49" fontId="7" fillId="0" borderId="28" xfId="0" applyNumberFormat="1" applyFont="1" applyFill="1" applyBorder="1" applyAlignment="1">
      <alignment vertical="center"/>
    </xf>
    <xf numFmtId="49" fontId="7" fillId="25" borderId="28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vertical="center"/>
    </xf>
    <xf numFmtId="49" fontId="4" fillId="0" borderId="28" xfId="0" applyNumberFormat="1" applyFont="1" applyFill="1" applyBorder="1" applyAlignment="1">
      <alignment vertical="center"/>
    </xf>
    <xf numFmtId="186" fontId="7" fillId="0" borderId="28" xfId="65" applyNumberFormat="1" applyFont="1" applyFill="1" applyBorder="1" applyAlignment="1">
      <alignment vertical="center"/>
    </xf>
    <xf numFmtId="49" fontId="4" fillId="0" borderId="28" xfId="0" applyNumberFormat="1" applyFont="1" applyBorder="1" applyAlignment="1">
      <alignment vertical="center" wrapText="1"/>
    </xf>
    <xf numFmtId="49" fontId="4" fillId="0" borderId="28" xfId="0" applyNumberFormat="1" applyFont="1" applyFill="1" applyBorder="1" applyAlignment="1">
      <alignment vertical="center" wrapText="1"/>
    </xf>
    <xf numFmtId="49" fontId="4" fillId="25" borderId="18" xfId="0" applyNumberFormat="1" applyFont="1" applyFill="1" applyBorder="1" applyAlignment="1">
      <alignment vertical="center"/>
    </xf>
    <xf numFmtId="49" fontId="4" fillId="25" borderId="28" xfId="0" applyNumberFormat="1" applyFont="1" applyFill="1" applyBorder="1" applyAlignment="1">
      <alignment vertical="center"/>
    </xf>
    <xf numFmtId="49" fontId="4" fillId="25" borderId="28" xfId="0" applyNumberFormat="1" applyFont="1" applyFill="1" applyBorder="1" applyAlignment="1">
      <alignment vertical="center"/>
    </xf>
    <xf numFmtId="49" fontId="13" fillId="0" borderId="28" xfId="0" applyNumberFormat="1" applyFont="1" applyFill="1" applyBorder="1" applyAlignment="1">
      <alignment vertical="center" wrapText="1"/>
    </xf>
    <xf numFmtId="49" fontId="7" fillId="25" borderId="28" xfId="0" applyNumberFormat="1" applyFont="1" applyFill="1" applyBorder="1" applyAlignment="1">
      <alignment vertical="center" wrapText="1"/>
    </xf>
    <xf numFmtId="0" fontId="49" fillId="0" borderId="28" xfId="0" applyFont="1" applyFill="1" applyBorder="1" applyAlignment="1">
      <alignment vertical="center" wrapText="1"/>
    </xf>
    <xf numFmtId="0" fontId="48" fillId="0" borderId="28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25" borderId="21" xfId="0" applyFont="1" applyFill="1" applyBorder="1" applyAlignment="1">
      <alignment vertical="center" wrapText="1"/>
    </xf>
    <xf numFmtId="0" fontId="4" fillId="25" borderId="21" xfId="0" applyNumberFormat="1" applyFont="1" applyFill="1" applyBorder="1" applyAlignment="1">
      <alignment vertical="center" wrapText="1"/>
    </xf>
    <xf numFmtId="0" fontId="4" fillId="25" borderId="21" xfId="0" applyFont="1" applyFill="1" applyBorder="1" applyAlignment="1">
      <alignment vertical="center" wrapText="1"/>
    </xf>
    <xf numFmtId="0" fontId="48" fillId="0" borderId="21" xfId="0" applyFont="1" applyFill="1" applyBorder="1" applyAlignment="1">
      <alignment vertical="center" wrapText="1"/>
    </xf>
    <xf numFmtId="0" fontId="6" fillId="25" borderId="21" xfId="0" applyFont="1" applyFill="1" applyBorder="1" applyAlignment="1">
      <alignment vertical="center"/>
    </xf>
    <xf numFmtId="0" fontId="7" fillId="0" borderId="42" xfId="0" applyFont="1" applyBorder="1" applyAlignment="1">
      <alignment vertical="center" wrapText="1"/>
    </xf>
    <xf numFmtId="49" fontId="7" fillId="0" borderId="43" xfId="0" applyNumberFormat="1" applyFont="1" applyBorder="1" applyAlignment="1">
      <alignment vertical="center" wrapText="1"/>
    </xf>
    <xf numFmtId="49" fontId="7" fillId="0" borderId="44" xfId="0" applyNumberFormat="1" applyFont="1" applyFill="1" applyBorder="1" applyAlignment="1">
      <alignment vertical="center" wrapText="1"/>
    </xf>
    <xf numFmtId="49" fontId="7" fillId="0" borderId="45" xfId="0" applyNumberFormat="1" applyFont="1" applyFill="1" applyBorder="1" applyAlignment="1">
      <alignment vertical="center" wrapText="1"/>
    </xf>
    <xf numFmtId="49" fontId="13" fillId="0" borderId="29" xfId="0" applyNumberFormat="1" applyFont="1" applyFill="1" applyBorder="1" applyAlignment="1">
      <alignment vertical="center" wrapText="1"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49" fontId="7" fillId="0" borderId="46" xfId="0" applyNumberFormat="1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3" xfId="0" applyFont="1" applyBorder="1" applyAlignment="1">
      <alignment horizontal="left" vertical="justify"/>
    </xf>
    <xf numFmtId="49" fontId="7" fillId="25" borderId="18" xfId="0" applyNumberFormat="1" applyFont="1" applyFill="1" applyBorder="1" applyAlignment="1">
      <alignment horizontal="left" vertical="center"/>
    </xf>
    <xf numFmtId="49" fontId="7" fillId="25" borderId="15" xfId="0" applyNumberFormat="1" applyFont="1" applyFill="1" applyBorder="1" applyAlignment="1">
      <alignment horizontal="left" vertical="center"/>
    </xf>
    <xf numFmtId="49" fontId="7" fillId="25" borderId="28" xfId="0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 wrapText="1"/>
    </xf>
    <xf numFmtId="49" fontId="4" fillId="0" borderId="47" xfId="0" applyNumberFormat="1" applyFont="1" applyBorder="1" applyAlignment="1">
      <alignment horizontal="left"/>
    </xf>
    <xf numFmtId="0" fontId="7" fillId="0" borderId="37" xfId="0" applyFont="1" applyBorder="1" applyAlignment="1">
      <alignment horizontal="left" vertical="justify"/>
    </xf>
    <xf numFmtId="49" fontId="13" fillId="0" borderId="37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49" fontId="7" fillId="0" borderId="28" xfId="0" applyNumberFormat="1" applyFont="1" applyFill="1" applyBorder="1" applyAlignment="1">
      <alignment horizontal="left" vertical="center"/>
    </xf>
    <xf numFmtId="186" fontId="7" fillId="0" borderId="28" xfId="65" applyNumberFormat="1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48" fillId="0" borderId="31" xfId="0" applyFont="1" applyFill="1" applyBorder="1" applyAlignment="1">
      <alignment horizontal="left" vertical="center" wrapText="1"/>
    </xf>
    <xf numFmtId="0" fontId="6" fillId="25" borderId="28" xfId="0" applyFont="1" applyFill="1" applyBorder="1" applyAlignment="1">
      <alignment horizontal="left" vertical="center"/>
    </xf>
    <xf numFmtId="0" fontId="48" fillId="0" borderId="48" xfId="0" applyFont="1" applyFill="1" applyBorder="1" applyAlignment="1">
      <alignment horizontal="left" vertical="center" wrapText="1"/>
    </xf>
    <xf numFmtId="49" fontId="4" fillId="25" borderId="18" xfId="0" applyNumberFormat="1" applyFont="1" applyFill="1" applyBorder="1" applyAlignment="1">
      <alignment horizontal="left" vertical="center"/>
    </xf>
    <xf numFmtId="49" fontId="4" fillId="25" borderId="15" xfId="0" applyNumberFormat="1" applyFont="1" applyFill="1" applyBorder="1" applyAlignment="1">
      <alignment horizontal="left" vertical="center"/>
    </xf>
    <xf numFmtId="49" fontId="4" fillId="25" borderId="28" xfId="0" applyNumberFormat="1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49" fontId="4" fillId="25" borderId="18" xfId="0" applyNumberFormat="1" applyFont="1" applyFill="1" applyBorder="1" applyAlignment="1">
      <alignment horizontal="left" vertical="center"/>
    </xf>
    <xf numFmtId="49" fontId="4" fillId="25" borderId="15" xfId="0" applyNumberFormat="1" applyFont="1" applyFill="1" applyBorder="1" applyAlignment="1">
      <alignment horizontal="left" vertical="center"/>
    </xf>
    <xf numFmtId="49" fontId="4" fillId="25" borderId="28" xfId="0" applyNumberFormat="1" applyFont="1" applyFill="1" applyBorder="1" applyAlignment="1">
      <alignment horizontal="left" vertical="center"/>
    </xf>
    <xf numFmtId="164" fontId="38" fillId="0" borderId="12" xfId="0" applyNumberFormat="1" applyFont="1" applyFill="1" applyBorder="1" applyAlignment="1">
      <alignment horizontal="center" vertical="center"/>
    </xf>
    <xf numFmtId="164" fontId="39" fillId="0" borderId="13" xfId="65" applyNumberFormat="1" applyFont="1" applyFill="1" applyBorder="1" applyAlignment="1">
      <alignment horizontal="center" vertical="center"/>
    </xf>
    <xf numFmtId="164" fontId="38" fillId="0" borderId="13" xfId="0" applyNumberFormat="1" applyFont="1" applyFill="1" applyBorder="1" applyAlignment="1">
      <alignment horizontal="center" vertical="center"/>
    </xf>
    <xf numFmtId="164" fontId="39" fillId="25" borderId="13" xfId="65" applyNumberFormat="1" applyFont="1" applyFill="1" applyBorder="1" applyAlignment="1">
      <alignment horizontal="center" vertical="center"/>
    </xf>
    <xf numFmtId="164" fontId="39" fillId="0" borderId="13" xfId="0" applyNumberFormat="1" applyFont="1" applyBorder="1" applyAlignment="1">
      <alignment horizontal="center" vertical="center"/>
    </xf>
    <xf numFmtId="164" fontId="40" fillId="25" borderId="13" xfId="0" applyNumberFormat="1" applyFont="1" applyFill="1" applyBorder="1" applyAlignment="1">
      <alignment horizontal="center" vertical="center"/>
    </xf>
    <xf numFmtId="164" fontId="40" fillId="25" borderId="13" xfId="0" applyNumberFormat="1" applyFont="1" applyFill="1" applyBorder="1" applyAlignment="1">
      <alignment horizontal="center" vertical="center"/>
    </xf>
    <xf numFmtId="164" fontId="38" fillId="0" borderId="20" xfId="0" applyNumberFormat="1" applyFont="1" applyFill="1" applyBorder="1" applyAlignment="1">
      <alignment horizontal="center" vertical="center"/>
    </xf>
    <xf numFmtId="49" fontId="13" fillId="0" borderId="49" xfId="0" applyNumberFormat="1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9" fontId="7" fillId="0" borderId="34" xfId="0" applyNumberFormat="1" applyFont="1" applyFill="1" applyBorder="1" applyAlignment="1">
      <alignment horizontal="left" vertical="center"/>
    </xf>
    <xf numFmtId="49" fontId="13" fillId="0" borderId="34" xfId="0" applyNumberFormat="1" applyFont="1" applyBorder="1" applyAlignment="1">
      <alignment horizontal="left" vertical="center" wrapText="1"/>
    </xf>
    <xf numFmtId="49" fontId="7" fillId="25" borderId="34" xfId="0" applyNumberFormat="1" applyFont="1" applyFill="1" applyBorder="1" applyAlignment="1">
      <alignment horizontal="left" vertical="center"/>
    </xf>
    <xf numFmtId="49" fontId="13" fillId="0" borderId="34" xfId="0" applyNumberFormat="1" applyFont="1" applyFill="1" applyBorder="1" applyAlignment="1">
      <alignment horizontal="left" vertical="center"/>
    </xf>
    <xf numFmtId="49" fontId="13" fillId="0" borderId="34" xfId="0" applyNumberFormat="1" applyFont="1" applyFill="1" applyBorder="1" applyAlignment="1">
      <alignment horizontal="left" vertical="center" wrapText="1"/>
    </xf>
    <xf numFmtId="49" fontId="37" fillId="0" borderId="34" xfId="0" applyNumberFormat="1" applyFont="1" applyFill="1" applyBorder="1" applyAlignment="1">
      <alignment horizontal="left" vertical="center" wrapText="1"/>
    </xf>
    <xf numFmtId="49" fontId="13" fillId="25" borderId="34" xfId="0" applyNumberFormat="1" applyFont="1" applyFill="1" applyBorder="1" applyAlignment="1">
      <alignment horizontal="left" vertical="center" wrapText="1"/>
    </xf>
    <xf numFmtId="49" fontId="42" fillId="0" borderId="34" xfId="0" applyNumberFormat="1" applyFont="1" applyFill="1" applyBorder="1" applyAlignment="1">
      <alignment horizontal="left" vertical="center" wrapText="1"/>
    </xf>
    <xf numFmtId="49" fontId="7" fillId="25" borderId="34" xfId="0" applyNumberFormat="1" applyFont="1" applyFill="1" applyBorder="1" applyAlignment="1">
      <alignment horizontal="left" vertical="center" wrapText="1"/>
    </xf>
    <xf numFmtId="49" fontId="37" fillId="25" borderId="34" xfId="0" applyNumberFormat="1" applyFont="1" applyFill="1" applyBorder="1" applyAlignment="1">
      <alignment horizontal="left" vertical="center" wrapText="1"/>
    </xf>
    <xf numFmtId="49" fontId="6" fillId="25" borderId="34" xfId="0" applyNumberFormat="1" applyFont="1" applyFill="1" applyBorder="1" applyAlignment="1">
      <alignment horizontal="left" vertical="center"/>
    </xf>
    <xf numFmtId="49" fontId="6" fillId="0" borderId="34" xfId="0" applyNumberFormat="1" applyFont="1" applyFill="1" applyBorder="1" applyAlignment="1">
      <alignment horizontal="left" vertical="center"/>
    </xf>
    <xf numFmtId="49" fontId="4" fillId="25" borderId="34" xfId="0" applyNumberFormat="1" applyFont="1" applyFill="1" applyBorder="1" applyAlignment="1">
      <alignment horizontal="left" vertical="center"/>
    </xf>
    <xf numFmtId="49" fontId="4" fillId="0" borderId="34" xfId="0" applyNumberFormat="1" applyFont="1" applyBorder="1" applyAlignment="1">
      <alignment horizontal="left" vertical="center" wrapText="1"/>
    </xf>
    <xf numFmtId="49" fontId="4" fillId="0" borderId="34" xfId="0" applyNumberFormat="1" applyFont="1" applyFill="1" applyBorder="1" applyAlignment="1">
      <alignment horizontal="left" vertical="center" wrapText="1"/>
    </xf>
    <xf numFmtId="49" fontId="43" fillId="0" borderId="34" xfId="0" applyNumberFormat="1" applyFont="1" applyBorder="1" applyAlignment="1">
      <alignment horizontal="left" vertical="center" wrapText="1"/>
    </xf>
    <xf numFmtId="49" fontId="37" fillId="25" borderId="34" xfId="0" applyNumberFormat="1" applyFont="1" applyFill="1" applyBorder="1" applyAlignment="1">
      <alignment horizontal="left" vertical="center"/>
    </xf>
    <xf numFmtId="49" fontId="13" fillId="0" borderId="50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49" fontId="7" fillId="25" borderId="13" xfId="0" applyNumberFormat="1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25" borderId="13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0" fontId="7" fillId="25" borderId="13" xfId="0" applyFont="1" applyFill="1" applyBorder="1" applyAlignment="1">
      <alignment vertical="center" wrapText="1"/>
    </xf>
    <xf numFmtId="0" fontId="6" fillId="25" borderId="13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25" borderId="13" xfId="0" applyFont="1" applyFill="1" applyBorder="1" applyAlignment="1">
      <alignment horizontal="left" vertical="center" wrapText="1"/>
    </xf>
    <xf numFmtId="0" fontId="4" fillId="25" borderId="13" xfId="0" applyNumberFormat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25" borderId="13" xfId="0" applyFont="1" applyFill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49" fontId="7" fillId="0" borderId="50" xfId="0" applyNumberFormat="1" applyFont="1" applyBorder="1" applyAlignment="1">
      <alignment horizontal="left" vertical="justify"/>
    </xf>
    <xf numFmtId="0" fontId="13" fillId="0" borderId="12" xfId="0" applyNumberFormat="1" applyFont="1" applyBorder="1" applyAlignment="1">
      <alignment horizontal="left" vertical="center" wrapText="1"/>
    </xf>
    <xf numFmtId="190" fontId="0" fillId="0" borderId="0" xfId="0" applyNumberFormat="1" applyAlignment="1">
      <alignment/>
    </xf>
    <xf numFmtId="0" fontId="7" fillId="0" borderId="51" xfId="0" applyFont="1" applyBorder="1" applyAlignment="1">
      <alignment vertical="center" wrapText="1"/>
    </xf>
    <xf numFmtId="49" fontId="7" fillId="0" borderId="52" xfId="0" applyNumberFormat="1" applyFont="1" applyBorder="1" applyAlignment="1">
      <alignment vertical="center" wrapText="1"/>
    </xf>
    <xf numFmtId="49" fontId="7" fillId="0" borderId="53" xfId="0" applyNumberFormat="1" applyFont="1" applyFill="1" applyBorder="1" applyAlignment="1">
      <alignment vertical="center" wrapText="1"/>
    </xf>
    <xf numFmtId="164" fontId="39" fillId="0" borderId="48" xfId="0" applyNumberFormat="1" applyFont="1" applyFill="1" applyBorder="1" applyAlignment="1">
      <alignment horizontal="center" vertical="center" wrapText="1"/>
    </xf>
    <xf numFmtId="164" fontId="39" fillId="0" borderId="54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0" fontId="50" fillId="0" borderId="0" xfId="0" applyFont="1" applyAlignment="1">
      <alignment vertical="center" wrapText="1"/>
    </xf>
    <xf numFmtId="0" fontId="9" fillId="0" borderId="15" xfId="57" applyFont="1" applyBorder="1" applyAlignment="1">
      <alignment wrapText="1"/>
      <protection/>
    </xf>
    <xf numFmtId="0" fontId="7" fillId="0" borderId="15" xfId="57" applyFont="1" applyBorder="1" applyAlignment="1">
      <alignment/>
      <protection/>
    </xf>
    <xf numFmtId="0" fontId="7" fillId="0" borderId="15" xfId="57" applyFont="1" applyBorder="1">
      <alignment/>
      <protection/>
    </xf>
    <xf numFmtId="164" fontId="7" fillId="0" borderId="15" xfId="57" applyNumberFormat="1" applyFont="1" applyBorder="1" applyAlignment="1">
      <alignment horizontal="center" vertical="center"/>
      <protection/>
    </xf>
    <xf numFmtId="165" fontId="7" fillId="0" borderId="15" xfId="57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7" fillId="0" borderId="25" xfId="0" applyFont="1" applyBorder="1" applyAlignment="1">
      <alignment horizontal="center" wrapText="1"/>
    </xf>
    <xf numFmtId="0" fontId="7" fillId="0" borderId="31" xfId="0" applyFont="1" applyBorder="1" applyAlignment="1">
      <alignment vertical="top" wrapText="1"/>
    </xf>
    <xf numFmtId="0" fontId="7" fillId="0" borderId="48" xfId="0" applyFont="1" applyBorder="1" applyAlignment="1">
      <alignment horizontal="right" vertical="top" wrapText="1"/>
    </xf>
    <xf numFmtId="0" fontId="7" fillId="0" borderId="12" xfId="0" applyFont="1" applyBorder="1" applyAlignment="1">
      <alignment vertical="top" wrapText="1"/>
    </xf>
    <xf numFmtId="165" fontId="7" fillId="0" borderId="32" xfId="0" applyNumberFormat="1" applyFont="1" applyBorder="1" applyAlignment="1">
      <alignment horizontal="center" vertical="top" wrapText="1"/>
    </xf>
    <xf numFmtId="0" fontId="7" fillId="0" borderId="32" xfId="0" applyFont="1" applyBorder="1" applyAlignment="1">
      <alignment horizontal="right" vertical="top" wrapText="1"/>
    </xf>
    <xf numFmtId="0" fontId="7" fillId="0" borderId="13" xfId="0" applyFont="1" applyBorder="1" applyAlignment="1">
      <alignment vertical="top" wrapText="1"/>
    </xf>
    <xf numFmtId="165" fontId="7" fillId="0" borderId="30" xfId="0" applyNumberFormat="1" applyFont="1" applyBorder="1" applyAlignment="1">
      <alignment horizontal="center" vertical="top" wrapText="1"/>
    </xf>
    <xf numFmtId="0" fontId="7" fillId="0" borderId="30" xfId="0" applyFont="1" applyBorder="1" applyAlignment="1">
      <alignment horizontal="right" vertical="top" wrapText="1"/>
    </xf>
    <xf numFmtId="165" fontId="7" fillId="0" borderId="48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vertical="top" wrapText="1"/>
    </xf>
    <xf numFmtId="165" fontId="7" fillId="0" borderId="33" xfId="0" applyNumberFormat="1" applyFont="1" applyBorder="1" applyAlignment="1">
      <alignment horizontal="center" vertical="top" wrapText="1"/>
    </xf>
    <xf numFmtId="165" fontId="7" fillId="0" borderId="48" xfId="0" applyNumberFormat="1" applyFont="1" applyBorder="1" applyAlignment="1">
      <alignment horizontal="right" vertical="top" wrapText="1"/>
    </xf>
    <xf numFmtId="165" fontId="7" fillId="0" borderId="32" xfId="0" applyNumberFormat="1" applyFont="1" applyBorder="1" applyAlignment="1">
      <alignment horizontal="right" vertical="top" wrapText="1"/>
    </xf>
    <xf numFmtId="165" fontId="7" fillId="0" borderId="30" xfId="0" applyNumberFormat="1" applyFont="1" applyBorder="1" applyAlignment="1">
      <alignment horizontal="right" vertical="top" wrapText="1"/>
    </xf>
    <xf numFmtId="0" fontId="7" fillId="0" borderId="20" xfId="0" applyFont="1" applyBorder="1" applyAlignment="1">
      <alignment horizontal="justify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justify" vertical="top" wrapText="1"/>
    </xf>
    <xf numFmtId="165" fontId="7" fillId="0" borderId="25" xfId="0" applyNumberFormat="1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7" fillId="0" borderId="30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 wrapText="1"/>
    </xf>
    <xf numFmtId="49" fontId="7" fillId="25" borderId="21" xfId="0" applyNumberFormat="1" applyFont="1" applyFill="1" applyBorder="1" applyAlignment="1">
      <alignment horizontal="left" vertical="center" wrapText="1"/>
    </xf>
    <xf numFmtId="164" fontId="39" fillId="25" borderId="30" xfId="65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49" fontId="7" fillId="0" borderId="55" xfId="0" applyNumberFormat="1" applyFont="1" applyBorder="1" applyAlignment="1">
      <alignment vertical="center" wrapText="1"/>
    </xf>
    <xf numFmtId="0" fontId="7" fillId="0" borderId="56" xfId="0" applyFont="1" applyBorder="1" applyAlignment="1">
      <alignment vertical="center" wrapText="1"/>
    </xf>
    <xf numFmtId="0" fontId="48" fillId="25" borderId="21" xfId="0" applyNumberFormat="1" applyFont="1" applyFill="1" applyBorder="1" applyAlignment="1">
      <alignment vertical="center" wrapText="1"/>
    </xf>
    <xf numFmtId="0" fontId="48" fillId="25" borderId="15" xfId="0" applyFont="1" applyFill="1" applyBorder="1" applyAlignment="1">
      <alignment vertical="center" wrapText="1"/>
    </xf>
    <xf numFmtId="0" fontId="48" fillId="25" borderId="28" xfId="0" applyFont="1" applyFill="1" applyBorder="1" applyAlignment="1">
      <alignment vertical="center" wrapText="1"/>
    </xf>
    <xf numFmtId="0" fontId="48" fillId="25" borderId="21" xfId="0" applyFont="1" applyFill="1" applyBorder="1" applyAlignment="1">
      <alignment vertical="center" wrapText="1"/>
    </xf>
    <xf numFmtId="49" fontId="7" fillId="0" borderId="21" xfId="0" applyNumberFormat="1" applyFont="1" applyFill="1" applyBorder="1" applyAlignment="1">
      <alignment vertical="center"/>
    </xf>
    <xf numFmtId="49" fontId="7" fillId="25" borderId="21" xfId="0" applyNumberFormat="1" applyFont="1" applyFill="1" applyBorder="1" applyAlignment="1">
      <alignment horizontal="left" vertical="center"/>
    </xf>
    <xf numFmtId="49" fontId="13" fillId="0" borderId="34" xfId="0" applyNumberFormat="1" applyFont="1" applyFill="1" applyBorder="1" applyAlignment="1">
      <alignment vertical="center" wrapText="1"/>
    </xf>
    <xf numFmtId="49" fontId="6" fillId="25" borderId="21" xfId="0" applyNumberFormat="1" applyFont="1" applyFill="1" applyBorder="1" applyAlignment="1">
      <alignment vertical="center"/>
    </xf>
    <xf numFmtId="49" fontId="6" fillId="0" borderId="21" xfId="0" applyNumberFormat="1" applyFont="1" applyFill="1" applyBorder="1" applyAlignment="1">
      <alignment vertical="center"/>
    </xf>
    <xf numFmtId="49" fontId="13" fillId="25" borderId="21" xfId="0" applyNumberFormat="1" applyFont="1" applyFill="1" applyBorder="1" applyAlignment="1">
      <alignment vertical="center" wrapText="1"/>
    </xf>
    <xf numFmtId="49" fontId="37" fillId="25" borderId="21" xfId="0" applyNumberFormat="1" applyFont="1" applyFill="1" applyBorder="1" applyAlignment="1">
      <alignment vertical="center" wrapText="1"/>
    </xf>
    <xf numFmtId="49" fontId="7" fillId="0" borderId="51" xfId="0" applyNumberFormat="1" applyFont="1" applyBorder="1" applyAlignment="1">
      <alignment vertical="center" wrapText="1"/>
    </xf>
    <xf numFmtId="49" fontId="7" fillId="25" borderId="21" xfId="0" applyNumberFormat="1" applyFont="1" applyFill="1" applyBorder="1" applyAlignment="1">
      <alignment vertical="center"/>
    </xf>
    <xf numFmtId="49" fontId="4" fillId="25" borderId="21" xfId="0" applyNumberFormat="1" applyFont="1" applyFill="1" applyBorder="1" applyAlignment="1">
      <alignment vertical="center"/>
    </xf>
    <xf numFmtId="49" fontId="37" fillId="25" borderId="21" xfId="0" applyNumberFormat="1" applyFont="1" applyFill="1" applyBorder="1" applyAlignment="1">
      <alignment vertical="center"/>
    </xf>
    <xf numFmtId="49" fontId="7" fillId="0" borderId="43" xfId="0" applyNumberFormat="1" applyFont="1" applyFill="1" applyBorder="1" applyAlignment="1">
      <alignment vertical="center" wrapText="1"/>
    </xf>
    <xf numFmtId="49" fontId="4" fillId="25" borderId="18" xfId="0" applyNumberFormat="1" applyFont="1" applyFill="1" applyBorder="1" applyAlignment="1">
      <alignment vertical="center"/>
    </xf>
    <xf numFmtId="49" fontId="4" fillId="25" borderId="21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57" xfId="0" applyFont="1" applyBorder="1" applyAlignment="1">
      <alignment vertical="center" wrapText="1"/>
    </xf>
    <xf numFmtId="0" fontId="7" fillId="0" borderId="58" xfId="0" applyFont="1" applyBorder="1" applyAlignment="1">
      <alignment vertical="center" wrapText="1"/>
    </xf>
    <xf numFmtId="49" fontId="50" fillId="0" borderId="0" xfId="0" applyNumberFormat="1" applyFont="1" applyAlignment="1">
      <alignment wrapText="1"/>
    </xf>
    <xf numFmtId="0" fontId="51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15" xfId="57" applyFont="1" applyBorder="1" applyAlignment="1">
      <alignment horizontal="center" vertical="center" wrapText="1"/>
      <protection/>
    </xf>
    <xf numFmtId="0" fontId="12" fillId="0" borderId="0" xfId="57" applyFont="1" applyAlignment="1">
      <alignment horizontal="center" vertical="justify" wrapText="1"/>
      <protection/>
    </xf>
    <xf numFmtId="0" fontId="12" fillId="0" borderId="0" xfId="57" applyFont="1" applyAlignment="1">
      <alignment horizontal="center" vertical="justify"/>
      <protection/>
    </xf>
    <xf numFmtId="0" fontId="7" fillId="0" borderId="44" xfId="57" applyFont="1" applyBorder="1" applyAlignment="1">
      <alignment horizontal="center" vertical="center" wrapText="1"/>
      <protection/>
    </xf>
    <xf numFmtId="0" fontId="7" fillId="0" borderId="59" xfId="57" applyFont="1" applyBorder="1" applyAlignment="1">
      <alignment horizontal="center" vertical="center" wrapText="1"/>
      <protection/>
    </xf>
    <xf numFmtId="0" fontId="7" fillId="0" borderId="22" xfId="57" applyFont="1" applyBorder="1" applyAlignment="1">
      <alignment horizontal="center" vertical="center" wrapText="1"/>
      <protection/>
    </xf>
    <xf numFmtId="49" fontId="36" fillId="0" borderId="15" xfId="57" applyNumberFormat="1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Источники" xfId="56"/>
    <cellStyle name="Обычный_Приложение №1+№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%20&#1091;&#1090;&#1086;&#1095;&#1085;&#1077;&#1085;&#1080;&#1102;%202008%20&#1075;&#1086;&#1076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."/>
      <sheetName val="Ведомств."/>
      <sheetName val="Госполномочия"/>
      <sheetName val="заим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733"/>
  <sheetViews>
    <sheetView zoomScalePageLayoutView="0" workbookViewId="0" topLeftCell="A1">
      <selection activeCell="F6" sqref="F6"/>
    </sheetView>
  </sheetViews>
  <sheetFormatPr defaultColWidth="9.125" defaultRowHeight="12.75"/>
  <cols>
    <col min="1" max="1" width="69.125" style="62" customWidth="1"/>
    <col min="2" max="2" width="7.00390625" style="1" hidden="1" customWidth="1"/>
    <col min="3" max="3" width="7.75390625" style="0" customWidth="1"/>
    <col min="4" max="4" width="7.875" style="0" customWidth="1"/>
    <col min="5" max="5" width="12.25390625" style="0" customWidth="1"/>
    <col min="6" max="6" width="11.375" style="0" customWidth="1"/>
    <col min="7" max="7" width="13.125" style="3" customWidth="1"/>
    <col min="8" max="8" width="6.125" style="3" hidden="1" customWidth="1"/>
    <col min="9" max="9" width="10.25390625" style="3" hidden="1" customWidth="1"/>
    <col min="10" max="10" width="13.25390625" style="36" hidden="1" customWidth="1"/>
    <col min="11" max="11" width="11.625" style="0" hidden="1" customWidth="1"/>
    <col min="12" max="13" width="11.375" style="0" hidden="1" customWidth="1"/>
    <col min="14" max="14" width="5.25390625" style="0" hidden="1" customWidth="1"/>
    <col min="15" max="15" width="12.625" style="0" hidden="1" customWidth="1"/>
    <col min="16" max="16" width="9.125" style="0" hidden="1" customWidth="1"/>
  </cols>
  <sheetData>
    <row r="1" spans="6:7" ht="12.75">
      <c r="F1" s="16" t="s">
        <v>747</v>
      </c>
      <c r="G1" s="35"/>
    </row>
    <row r="2" spans="6:7" ht="12.75">
      <c r="F2" s="4" t="s">
        <v>754</v>
      </c>
      <c r="G2" s="35"/>
    </row>
    <row r="3" spans="6:7" ht="12.75">
      <c r="F3" s="4" t="s">
        <v>243</v>
      </c>
      <c r="G3" s="35"/>
    </row>
    <row r="4" spans="6:7" ht="12.75">
      <c r="F4" s="4" t="s">
        <v>244</v>
      </c>
      <c r="G4" s="35"/>
    </row>
    <row r="5" spans="6:9" ht="12.75">
      <c r="F5" s="412" t="s">
        <v>755</v>
      </c>
      <c r="G5" s="412"/>
      <c r="H5" s="5"/>
      <c r="I5" s="5"/>
    </row>
    <row r="6" spans="3:6" ht="12.75">
      <c r="C6" s="6" t="s">
        <v>665</v>
      </c>
      <c r="F6" s="4"/>
    </row>
    <row r="7" spans="3:6" ht="12.75">
      <c r="C7" s="6" t="s">
        <v>245</v>
      </c>
      <c r="F7" s="7"/>
    </row>
    <row r="8" spans="3:6" ht="12.75">
      <c r="C8" s="6" t="s">
        <v>246</v>
      </c>
      <c r="F8" s="7"/>
    </row>
    <row r="9" ht="12.75">
      <c r="C9" s="8" t="s">
        <v>247</v>
      </c>
    </row>
    <row r="10" spans="2:9" ht="16.5" thickBot="1">
      <c r="B10" s="9"/>
      <c r="G10" s="5"/>
      <c r="H10" s="5"/>
      <c r="I10" s="5"/>
    </row>
    <row r="11" spans="1:15" ht="15" thickBot="1">
      <c r="A11" s="413" t="s">
        <v>248</v>
      </c>
      <c r="B11" s="284"/>
      <c r="C11" s="275" t="s">
        <v>552</v>
      </c>
      <c r="D11" s="276"/>
      <c r="E11" s="276"/>
      <c r="F11" s="277"/>
      <c r="G11" s="91" t="s">
        <v>250</v>
      </c>
      <c r="H11" s="10" t="s">
        <v>251</v>
      </c>
      <c r="I11" s="10" t="s">
        <v>252</v>
      </c>
      <c r="O11" s="61"/>
    </row>
    <row r="12" spans="1:9" ht="42" customHeight="1" thickBot="1">
      <c r="A12" s="414"/>
      <c r="B12" s="351" t="s">
        <v>253</v>
      </c>
      <c r="C12" s="285" t="s">
        <v>254</v>
      </c>
      <c r="D12" s="278" t="s">
        <v>255</v>
      </c>
      <c r="E12" s="278" t="s">
        <v>256</v>
      </c>
      <c r="F12" s="143" t="s">
        <v>458</v>
      </c>
      <c r="G12" s="92" t="s">
        <v>666</v>
      </c>
      <c r="H12" s="11" t="s">
        <v>411</v>
      </c>
      <c r="I12" s="11" t="s">
        <v>412</v>
      </c>
    </row>
    <row r="13" spans="1:13" s="13" customFormat="1" ht="15.75">
      <c r="A13" s="352" t="s">
        <v>413</v>
      </c>
      <c r="B13" s="311"/>
      <c r="C13" s="131" t="s">
        <v>414</v>
      </c>
      <c r="D13" s="123"/>
      <c r="E13" s="123"/>
      <c r="F13" s="132"/>
      <c r="G13" s="303">
        <f>SUM(G14+G18+G25+G47+G61+G64)+G56</f>
        <v>192642.7</v>
      </c>
      <c r="H13" s="12" t="e">
        <f>SUM(H14+H18+H25+H44+H47+H61+H64+#REF!+H56)</f>
        <v>#REF!</v>
      </c>
      <c r="I13" s="12" t="e">
        <f>SUM(H13/G13*100)</f>
        <v>#REF!</v>
      </c>
      <c r="K13" s="64">
        <f>SUM(J14:J89)</f>
        <v>192642.69999999995</v>
      </c>
      <c r="L13" s="13">
        <f>SUM('ведомствен.2015'!G12+'ведомствен.2015'!G36+'ведомствен.2015'!G55+'ведомствен.2015'!G315)</f>
        <v>192642.69999999998</v>
      </c>
      <c r="M13" s="64">
        <f>SUM(L13-K13)</f>
        <v>2.9103830456733704E-11</v>
      </c>
    </row>
    <row r="14" spans="1:15" ht="28.5">
      <c r="A14" s="332" t="s">
        <v>415</v>
      </c>
      <c r="B14" s="312"/>
      <c r="C14" s="63" t="s">
        <v>414</v>
      </c>
      <c r="D14" s="75" t="s">
        <v>416</v>
      </c>
      <c r="E14" s="75"/>
      <c r="F14" s="133"/>
      <c r="G14" s="180">
        <f>SUM(G15)</f>
        <v>1725</v>
      </c>
      <c r="H14" s="14">
        <f>SUM(H15)</f>
        <v>983.5</v>
      </c>
      <c r="I14" s="14">
        <f>SUM(H14/G14*100)</f>
        <v>57.014492753623195</v>
      </c>
      <c r="J14"/>
      <c r="M14" s="273">
        <f>SUM(G13-K13)</f>
        <v>5.820766091346741E-11</v>
      </c>
      <c r="O14" s="61" t="e">
        <f>SUM(G14+G18+G25+G47+#REF!)</f>
        <v>#REF!</v>
      </c>
    </row>
    <row r="15" spans="1:10" ht="42.75">
      <c r="A15" s="332" t="s">
        <v>91</v>
      </c>
      <c r="B15" s="312"/>
      <c r="C15" s="63" t="s">
        <v>414</v>
      </c>
      <c r="D15" s="75" t="s">
        <v>416</v>
      </c>
      <c r="E15" s="75" t="s">
        <v>92</v>
      </c>
      <c r="F15" s="133"/>
      <c r="G15" s="180">
        <f>SUM(G17)</f>
        <v>1725</v>
      </c>
      <c r="H15" s="14">
        <f>SUM(H17:H17)</f>
        <v>983.5</v>
      </c>
      <c r="I15" s="14">
        <f aca="true" t="shared" si="0" ref="I15:I54">SUM(H15/G15*100)</f>
        <v>57.014492753623195</v>
      </c>
      <c r="J15"/>
    </row>
    <row r="16" spans="1:10" ht="15">
      <c r="A16" s="332" t="s">
        <v>93</v>
      </c>
      <c r="B16" s="312"/>
      <c r="C16" s="63" t="s">
        <v>414</v>
      </c>
      <c r="D16" s="75" t="s">
        <v>416</v>
      </c>
      <c r="E16" s="75" t="s">
        <v>94</v>
      </c>
      <c r="F16" s="133"/>
      <c r="G16" s="180">
        <f>SUM(G17)</f>
        <v>1725</v>
      </c>
      <c r="H16" s="14">
        <f>SUM(H17)</f>
        <v>983.5</v>
      </c>
      <c r="I16" s="14">
        <f t="shared" si="0"/>
        <v>57.014492753623195</v>
      </c>
      <c r="J16"/>
    </row>
    <row r="17" spans="1:10" ht="28.5">
      <c r="A17" s="332" t="s">
        <v>444</v>
      </c>
      <c r="B17" s="312"/>
      <c r="C17" s="63" t="s">
        <v>414</v>
      </c>
      <c r="D17" s="75" t="s">
        <v>416</v>
      </c>
      <c r="E17" s="75" t="s">
        <v>94</v>
      </c>
      <c r="F17" s="133" t="s">
        <v>445</v>
      </c>
      <c r="G17" s="180">
        <v>1725</v>
      </c>
      <c r="H17" s="14">
        <v>983.5</v>
      </c>
      <c r="I17" s="14">
        <f t="shared" si="0"/>
        <v>57.014492753623195</v>
      </c>
      <c r="J17" s="36">
        <f>SUM('ведомствен.2015'!G16)</f>
        <v>1725</v>
      </c>
    </row>
    <row r="18" spans="1:10" ht="42.75">
      <c r="A18" s="332" t="s">
        <v>97</v>
      </c>
      <c r="B18" s="312"/>
      <c r="C18" s="63" t="s">
        <v>414</v>
      </c>
      <c r="D18" s="75" t="s">
        <v>98</v>
      </c>
      <c r="E18" s="75"/>
      <c r="F18" s="133"/>
      <c r="G18" s="180">
        <f>SUM(G19)</f>
        <v>11601.1</v>
      </c>
      <c r="H18" s="14">
        <f>SUM(H19)</f>
        <v>8231.8</v>
      </c>
      <c r="I18" s="14">
        <f t="shared" si="0"/>
        <v>70.95706441630534</v>
      </c>
      <c r="J18"/>
    </row>
    <row r="19" spans="1:10" ht="42.75">
      <c r="A19" s="332" t="s">
        <v>91</v>
      </c>
      <c r="B19" s="312"/>
      <c r="C19" s="63" t="s">
        <v>414</v>
      </c>
      <c r="D19" s="75" t="s">
        <v>98</v>
      </c>
      <c r="E19" s="75" t="s">
        <v>92</v>
      </c>
      <c r="F19" s="134"/>
      <c r="G19" s="180">
        <f>SUM(G20+G23)</f>
        <v>11601.1</v>
      </c>
      <c r="H19" s="14">
        <f>SUM(H20+H23)</f>
        <v>8231.8</v>
      </c>
      <c r="I19" s="14">
        <f t="shared" si="0"/>
        <v>70.95706441630534</v>
      </c>
      <c r="J19"/>
    </row>
    <row r="20" spans="1:10" ht="15">
      <c r="A20" s="332" t="s">
        <v>99</v>
      </c>
      <c r="B20" s="312"/>
      <c r="C20" s="63" t="s">
        <v>100</v>
      </c>
      <c r="D20" s="75" t="s">
        <v>98</v>
      </c>
      <c r="E20" s="75" t="s">
        <v>101</v>
      </c>
      <c r="F20" s="134"/>
      <c r="G20" s="180">
        <f>SUM(G21)+G22</f>
        <v>11601.1</v>
      </c>
      <c r="H20" s="14">
        <f>SUM(H21)</f>
        <v>8068.7</v>
      </c>
      <c r="I20" s="14">
        <f t="shared" si="0"/>
        <v>69.55116325176061</v>
      </c>
      <c r="J20"/>
    </row>
    <row r="21" spans="1:10" ht="28.5">
      <c r="A21" s="332" t="s">
        <v>444</v>
      </c>
      <c r="B21" s="312"/>
      <c r="C21" s="63" t="s">
        <v>414</v>
      </c>
      <c r="D21" s="75" t="s">
        <v>98</v>
      </c>
      <c r="E21" s="75" t="s">
        <v>101</v>
      </c>
      <c r="F21" s="133" t="s">
        <v>445</v>
      </c>
      <c r="G21" s="180">
        <v>11591.5</v>
      </c>
      <c r="H21" s="14">
        <v>8068.7</v>
      </c>
      <c r="I21" s="14">
        <f t="shared" si="0"/>
        <v>69.60876504335073</v>
      </c>
      <c r="J21" s="36">
        <f>SUM('ведомствен.2015'!G20)</f>
        <v>11591.5</v>
      </c>
    </row>
    <row r="22" spans="1:10" ht="28.5">
      <c r="A22" s="187" t="s">
        <v>697</v>
      </c>
      <c r="B22" s="312"/>
      <c r="C22" s="63" t="s">
        <v>414</v>
      </c>
      <c r="D22" s="75" t="s">
        <v>98</v>
      </c>
      <c r="E22" s="75" t="s">
        <v>101</v>
      </c>
      <c r="F22" s="133" t="s">
        <v>112</v>
      </c>
      <c r="G22" s="181">
        <v>9.6</v>
      </c>
      <c r="H22" s="14"/>
      <c r="I22" s="14"/>
      <c r="J22" s="36">
        <f>SUM('ведомствен.2015'!G21)</f>
        <v>9.6</v>
      </c>
    </row>
    <row r="23" spans="1:10" ht="15" hidden="1">
      <c r="A23" s="332" t="s">
        <v>102</v>
      </c>
      <c r="B23" s="312"/>
      <c r="C23" s="63" t="s">
        <v>100</v>
      </c>
      <c r="D23" s="75" t="s">
        <v>98</v>
      </c>
      <c r="E23" s="75" t="s">
        <v>103</v>
      </c>
      <c r="F23" s="133"/>
      <c r="G23" s="181">
        <f>SUM(G24)</f>
        <v>0</v>
      </c>
      <c r="H23" s="14">
        <f>SUM(H24)</f>
        <v>163.10000000000002</v>
      </c>
      <c r="I23" s="14" t="e">
        <f t="shared" si="0"/>
        <v>#DIV/0!</v>
      </c>
      <c r="J23"/>
    </row>
    <row r="24" spans="1:10" ht="15" hidden="1">
      <c r="A24" s="332" t="s">
        <v>95</v>
      </c>
      <c r="B24" s="312"/>
      <c r="C24" s="63" t="s">
        <v>100</v>
      </c>
      <c r="D24" s="75" t="s">
        <v>98</v>
      </c>
      <c r="E24" s="75" t="s">
        <v>103</v>
      </c>
      <c r="F24" s="133" t="s">
        <v>96</v>
      </c>
      <c r="G24" s="181"/>
      <c r="H24" s="14">
        <f>913.5-750.4</f>
        <v>163.10000000000002</v>
      </c>
      <c r="I24" s="14" t="e">
        <f t="shared" si="0"/>
        <v>#DIV/0!</v>
      </c>
      <c r="J24"/>
    </row>
    <row r="25" spans="1:10" ht="42.75">
      <c r="A25" s="332" t="s">
        <v>229</v>
      </c>
      <c r="B25" s="312"/>
      <c r="C25" s="63" t="s">
        <v>414</v>
      </c>
      <c r="D25" s="75" t="s">
        <v>114</v>
      </c>
      <c r="E25" s="75"/>
      <c r="F25" s="133"/>
      <c r="G25" s="180">
        <f>SUM(G26)</f>
        <v>96380.4</v>
      </c>
      <c r="H25" s="14">
        <f>SUM(H26)+H41+H39</f>
        <v>52319.90000000001</v>
      </c>
      <c r="I25" s="14">
        <f t="shared" si="0"/>
        <v>54.28479234367155</v>
      </c>
      <c r="J25"/>
    </row>
    <row r="26" spans="1:10" ht="42.75">
      <c r="A26" s="332" t="s">
        <v>91</v>
      </c>
      <c r="B26" s="312"/>
      <c r="C26" s="63" t="s">
        <v>414</v>
      </c>
      <c r="D26" s="75" t="s">
        <v>114</v>
      </c>
      <c r="E26" s="75" t="s">
        <v>92</v>
      </c>
      <c r="F26" s="134"/>
      <c r="G26" s="180">
        <f>SUM(G27+G42+G30+G33+G36+G39)</f>
        <v>96380.4</v>
      </c>
      <c r="H26" s="14">
        <f>SUM(H27+H37)</f>
        <v>51899.200000000004</v>
      </c>
      <c r="I26" s="14">
        <f t="shared" si="0"/>
        <v>53.84829280642123</v>
      </c>
      <c r="J26"/>
    </row>
    <row r="27" spans="1:10" ht="15">
      <c r="A27" s="332" t="s">
        <v>99</v>
      </c>
      <c r="B27" s="312"/>
      <c r="C27" s="63" t="s">
        <v>414</v>
      </c>
      <c r="D27" s="75" t="s">
        <v>114</v>
      </c>
      <c r="E27" s="75" t="s">
        <v>101</v>
      </c>
      <c r="F27" s="134"/>
      <c r="G27" s="180">
        <f>SUM(G28+G29)</f>
        <v>93250</v>
      </c>
      <c r="H27" s="14">
        <f>SUM(H28:H28+H29+H31+H34)+H30</f>
        <v>51161.8</v>
      </c>
      <c r="I27" s="14">
        <f t="shared" si="0"/>
        <v>54.86520107238606</v>
      </c>
      <c r="J27"/>
    </row>
    <row r="28" spans="1:10" ht="28.5">
      <c r="A28" s="332" t="s">
        <v>444</v>
      </c>
      <c r="B28" s="312"/>
      <c r="C28" s="63" t="s">
        <v>414</v>
      </c>
      <c r="D28" s="75" t="s">
        <v>114</v>
      </c>
      <c r="E28" s="75" t="s">
        <v>101</v>
      </c>
      <c r="F28" s="133" t="s">
        <v>445</v>
      </c>
      <c r="G28" s="180">
        <v>93220.1</v>
      </c>
      <c r="H28" s="14">
        <v>50612.1</v>
      </c>
      <c r="I28" s="14">
        <f t="shared" si="0"/>
        <v>54.29311918781464</v>
      </c>
      <c r="J28" s="36">
        <f>SUM('ведомствен.2015'!G59)</f>
        <v>93220.1</v>
      </c>
    </row>
    <row r="29" spans="1:10" ht="28.5">
      <c r="A29" s="187" t="s">
        <v>697</v>
      </c>
      <c r="B29" s="312"/>
      <c r="C29" s="63" t="s">
        <v>414</v>
      </c>
      <c r="D29" s="75" t="s">
        <v>114</v>
      </c>
      <c r="E29" s="75" t="s">
        <v>101</v>
      </c>
      <c r="F29" s="133" t="s">
        <v>112</v>
      </c>
      <c r="G29" s="181">
        <v>29.9</v>
      </c>
      <c r="H29" s="14">
        <v>507.8</v>
      </c>
      <c r="I29" s="14">
        <f t="shared" si="0"/>
        <v>1698.3277591973244</v>
      </c>
      <c r="J29" s="36">
        <f>SUM('ведомствен.2015'!G60)</f>
        <v>29.900000000000006</v>
      </c>
    </row>
    <row r="30" spans="1:9" ht="42.75">
      <c r="A30" s="332" t="s">
        <v>118</v>
      </c>
      <c r="B30" s="312"/>
      <c r="C30" s="63" t="s">
        <v>414</v>
      </c>
      <c r="D30" s="75" t="s">
        <v>114</v>
      </c>
      <c r="E30" s="75" t="s">
        <v>119</v>
      </c>
      <c r="F30" s="133"/>
      <c r="G30" s="180">
        <f>SUM(G31:G32)</f>
        <v>1392.3999999999999</v>
      </c>
      <c r="H30" s="14"/>
      <c r="I30" s="14">
        <f t="shared" si="0"/>
        <v>0</v>
      </c>
    </row>
    <row r="31" spans="1:10" ht="28.5">
      <c r="A31" s="332" t="s">
        <v>444</v>
      </c>
      <c r="B31" s="312"/>
      <c r="C31" s="63" t="s">
        <v>414</v>
      </c>
      <c r="D31" s="75" t="s">
        <v>114</v>
      </c>
      <c r="E31" s="75" t="s">
        <v>119</v>
      </c>
      <c r="F31" s="133" t="s">
        <v>445</v>
      </c>
      <c r="G31" s="180">
        <v>1368.8</v>
      </c>
      <c r="H31" s="14">
        <v>41.9</v>
      </c>
      <c r="I31" s="14">
        <f t="shared" si="0"/>
        <v>3.061075394506137</v>
      </c>
      <c r="J31" s="36">
        <f>SUM('ведомствен.2015'!G62)</f>
        <v>1368.8</v>
      </c>
    </row>
    <row r="32" spans="1:10" ht="28.5">
      <c r="A32" s="187" t="s">
        <v>697</v>
      </c>
      <c r="B32" s="312"/>
      <c r="C32" s="63" t="s">
        <v>414</v>
      </c>
      <c r="D32" s="75" t="s">
        <v>114</v>
      </c>
      <c r="E32" s="75" t="s">
        <v>119</v>
      </c>
      <c r="F32" s="133" t="s">
        <v>112</v>
      </c>
      <c r="G32" s="181">
        <v>23.6</v>
      </c>
      <c r="H32" s="14"/>
      <c r="I32" s="14">
        <f>SUM(H32/G32*100)</f>
        <v>0</v>
      </c>
      <c r="J32" s="36">
        <f>SUM('ведомствен.2015'!G63)</f>
        <v>23.6</v>
      </c>
    </row>
    <row r="33" spans="1:9" ht="42.75">
      <c r="A33" s="332" t="s">
        <v>341</v>
      </c>
      <c r="B33" s="312"/>
      <c r="C33" s="63" t="s">
        <v>414</v>
      </c>
      <c r="D33" s="75" t="s">
        <v>114</v>
      </c>
      <c r="E33" s="75" t="s">
        <v>342</v>
      </c>
      <c r="F33" s="133"/>
      <c r="G33" s="180">
        <f>SUM(G34:G35)</f>
        <v>93.8</v>
      </c>
      <c r="H33" s="14"/>
      <c r="I33" s="14"/>
    </row>
    <row r="34" spans="1:10" ht="28.5">
      <c r="A34" s="332" t="s">
        <v>444</v>
      </c>
      <c r="B34" s="312"/>
      <c r="C34" s="63" t="s">
        <v>414</v>
      </c>
      <c r="D34" s="75" t="s">
        <v>114</v>
      </c>
      <c r="E34" s="75" t="s">
        <v>342</v>
      </c>
      <c r="F34" s="133" t="s">
        <v>445</v>
      </c>
      <c r="G34" s="180">
        <v>72.3</v>
      </c>
      <c r="H34" s="14"/>
      <c r="I34" s="14">
        <f t="shared" si="0"/>
        <v>0</v>
      </c>
      <c r="J34" s="36">
        <f>SUM('ведомствен.2015'!G65)</f>
        <v>72.3</v>
      </c>
    </row>
    <row r="35" spans="1:10" ht="31.5" customHeight="1">
      <c r="A35" s="187" t="s">
        <v>697</v>
      </c>
      <c r="B35" s="312"/>
      <c r="C35" s="63" t="s">
        <v>414</v>
      </c>
      <c r="D35" s="75" t="s">
        <v>114</v>
      </c>
      <c r="E35" s="75" t="s">
        <v>342</v>
      </c>
      <c r="F35" s="133" t="s">
        <v>112</v>
      </c>
      <c r="G35" s="181">
        <v>21.5</v>
      </c>
      <c r="H35" s="14"/>
      <c r="I35" s="14"/>
      <c r="J35" s="36">
        <f>SUM('ведомствен.2015'!G66)</f>
        <v>21.5</v>
      </c>
    </row>
    <row r="36" spans="1:9" ht="28.5" hidden="1">
      <c r="A36" s="158" t="s">
        <v>55</v>
      </c>
      <c r="B36" s="179"/>
      <c r="C36" s="74" t="s">
        <v>414</v>
      </c>
      <c r="D36" s="124" t="s">
        <v>114</v>
      </c>
      <c r="E36" s="124" t="s">
        <v>56</v>
      </c>
      <c r="F36" s="134"/>
      <c r="G36" s="180">
        <f>SUM(G37:G38)</f>
        <v>0</v>
      </c>
      <c r="H36" s="14"/>
      <c r="I36" s="14"/>
    </row>
    <row r="37" spans="1:10" ht="28.5" hidden="1">
      <c r="A37" s="332" t="s">
        <v>444</v>
      </c>
      <c r="B37" s="312"/>
      <c r="C37" s="63" t="s">
        <v>414</v>
      </c>
      <c r="D37" s="75" t="s">
        <v>114</v>
      </c>
      <c r="E37" s="124" t="s">
        <v>56</v>
      </c>
      <c r="F37" s="133" t="s">
        <v>445</v>
      </c>
      <c r="G37" s="180"/>
      <c r="H37" s="14">
        <f>SUM(H38)</f>
        <v>737.4</v>
      </c>
      <c r="I37" s="14" t="e">
        <f t="shared" si="0"/>
        <v>#DIV/0!</v>
      </c>
      <c r="J37" s="36">
        <f>SUM('ведомствен.2015'!G68)</f>
        <v>0</v>
      </c>
    </row>
    <row r="38" spans="1:10" ht="15" hidden="1">
      <c r="A38" s="332" t="s">
        <v>449</v>
      </c>
      <c r="B38" s="312"/>
      <c r="C38" s="63" t="s">
        <v>414</v>
      </c>
      <c r="D38" s="75" t="s">
        <v>114</v>
      </c>
      <c r="E38" s="124" t="s">
        <v>56</v>
      </c>
      <c r="F38" s="133" t="s">
        <v>112</v>
      </c>
      <c r="G38" s="181"/>
      <c r="H38" s="14">
        <v>737.4</v>
      </c>
      <c r="I38" s="14" t="e">
        <f t="shared" si="0"/>
        <v>#DIV/0!</v>
      </c>
      <c r="J38" s="36">
        <f>SUM('ведомствен.2015'!G69)</f>
        <v>0</v>
      </c>
    </row>
    <row r="39" spans="1:10" ht="28.5">
      <c r="A39" s="158" t="s">
        <v>138</v>
      </c>
      <c r="B39" s="179"/>
      <c r="C39" s="74" t="s">
        <v>414</v>
      </c>
      <c r="D39" s="124" t="s">
        <v>114</v>
      </c>
      <c r="E39" s="124" t="s">
        <v>139</v>
      </c>
      <c r="F39" s="134"/>
      <c r="G39" s="180">
        <f>SUM(G40:G41)</f>
        <v>357.70000000000005</v>
      </c>
      <c r="H39" s="14">
        <f>SUM(H40)</f>
        <v>264.8</v>
      </c>
      <c r="I39" s="14">
        <f t="shared" si="0"/>
        <v>74.02851551579536</v>
      </c>
      <c r="J39"/>
    </row>
    <row r="40" spans="1:10" ht="28.5">
      <c r="A40" s="332" t="s">
        <v>444</v>
      </c>
      <c r="B40" s="312"/>
      <c r="C40" s="63" t="s">
        <v>414</v>
      </c>
      <c r="D40" s="75" t="s">
        <v>114</v>
      </c>
      <c r="E40" s="124" t="s">
        <v>139</v>
      </c>
      <c r="F40" s="133" t="s">
        <v>445</v>
      </c>
      <c r="G40" s="180">
        <v>288.8</v>
      </c>
      <c r="H40" s="14">
        <v>264.8</v>
      </c>
      <c r="I40" s="14">
        <f t="shared" si="0"/>
        <v>91.68975069252078</v>
      </c>
      <c r="J40" s="36">
        <f>SUM('ведомствен.2015'!G71)</f>
        <v>288.8</v>
      </c>
    </row>
    <row r="41" spans="1:10" ht="28.5">
      <c r="A41" s="187" t="s">
        <v>697</v>
      </c>
      <c r="B41" s="312"/>
      <c r="C41" s="63" t="s">
        <v>414</v>
      </c>
      <c r="D41" s="75" t="s">
        <v>114</v>
      </c>
      <c r="E41" s="124" t="s">
        <v>139</v>
      </c>
      <c r="F41" s="133" t="s">
        <v>112</v>
      </c>
      <c r="G41" s="181">
        <v>68.9</v>
      </c>
      <c r="H41" s="14">
        <f>SUM(H42)</f>
        <v>155.9</v>
      </c>
      <c r="I41" s="14">
        <f t="shared" si="0"/>
        <v>226.26995645863568</v>
      </c>
      <c r="J41" s="36">
        <f>SUM('ведомствен.2015'!G72)</f>
        <v>68.9</v>
      </c>
    </row>
    <row r="42" spans="1:10" ht="28.5">
      <c r="A42" s="332" t="s">
        <v>343</v>
      </c>
      <c r="B42" s="312"/>
      <c r="C42" s="63" t="s">
        <v>100</v>
      </c>
      <c r="D42" s="75" t="s">
        <v>114</v>
      </c>
      <c r="E42" s="75" t="s">
        <v>344</v>
      </c>
      <c r="F42" s="134"/>
      <c r="G42" s="180">
        <f>SUM(G43)</f>
        <v>1286.5</v>
      </c>
      <c r="H42" s="14">
        <f>SUM(H43:H43)</f>
        <v>155.9</v>
      </c>
      <c r="I42" s="14">
        <f t="shared" si="0"/>
        <v>12.11815001943257</v>
      </c>
      <c r="J42"/>
    </row>
    <row r="43" spans="1:10" ht="42" customHeight="1">
      <c r="A43" s="332" t="s">
        <v>444</v>
      </c>
      <c r="B43" s="312"/>
      <c r="C43" s="63" t="s">
        <v>414</v>
      </c>
      <c r="D43" s="75" t="s">
        <v>114</v>
      </c>
      <c r="E43" s="75" t="s">
        <v>344</v>
      </c>
      <c r="F43" s="133" t="s">
        <v>445</v>
      </c>
      <c r="G43" s="180">
        <v>1286.5</v>
      </c>
      <c r="H43" s="14">
        <v>155.9</v>
      </c>
      <c r="I43" s="14">
        <f t="shared" si="0"/>
        <v>12.11815001943257</v>
      </c>
      <c r="J43" s="36">
        <f>SUM('ведомствен.2015'!G74)</f>
        <v>1286.5</v>
      </c>
    </row>
    <row r="44" spans="1:10" ht="15" hidden="1">
      <c r="A44" s="332" t="s">
        <v>122</v>
      </c>
      <c r="B44" s="312"/>
      <c r="C44" s="63" t="s">
        <v>414</v>
      </c>
      <c r="D44" s="75" t="s">
        <v>123</v>
      </c>
      <c r="E44" s="75"/>
      <c r="F44" s="134"/>
      <c r="G44" s="181">
        <f>SUM(G45)</f>
        <v>0</v>
      </c>
      <c r="H44" s="14" t="e">
        <f>SUM(H45)</f>
        <v>#REF!</v>
      </c>
      <c r="I44" s="14" t="e">
        <f t="shared" si="0"/>
        <v>#REF!</v>
      </c>
      <c r="J44"/>
    </row>
    <row r="45" spans="1:10" ht="42.75" hidden="1">
      <c r="A45" s="333" t="s">
        <v>224</v>
      </c>
      <c r="B45" s="312"/>
      <c r="C45" s="63" t="s">
        <v>414</v>
      </c>
      <c r="D45" s="75" t="s">
        <v>123</v>
      </c>
      <c r="E45" s="75" t="s">
        <v>347</v>
      </c>
      <c r="F45" s="134"/>
      <c r="G45" s="181">
        <f>SUM(G46)</f>
        <v>0</v>
      </c>
      <c r="H45" s="14" t="e">
        <f>SUM(H46)</f>
        <v>#REF!</v>
      </c>
      <c r="I45" s="14" t="e">
        <f t="shared" si="0"/>
        <v>#REF!</v>
      </c>
      <c r="J45"/>
    </row>
    <row r="46" spans="1:10" ht="15" hidden="1">
      <c r="A46" s="332" t="s">
        <v>95</v>
      </c>
      <c r="B46" s="312"/>
      <c r="C46" s="63" t="s">
        <v>414</v>
      </c>
      <c r="D46" s="75" t="s">
        <v>123</v>
      </c>
      <c r="E46" s="75" t="s">
        <v>347</v>
      </c>
      <c r="F46" s="133" t="s">
        <v>96</v>
      </c>
      <c r="G46" s="181"/>
      <c r="H46" s="14" t="e">
        <f>SUM('[1]Ведомств.'!G83)</f>
        <v>#REF!</v>
      </c>
      <c r="I46" s="14" t="e">
        <f t="shared" si="0"/>
        <v>#REF!</v>
      </c>
      <c r="J46" s="36">
        <f>SUM('ведомствен.2015'!G77)</f>
        <v>0</v>
      </c>
    </row>
    <row r="47" spans="1:9" s="15" customFormat="1" ht="28.5">
      <c r="A47" s="332" t="s">
        <v>348</v>
      </c>
      <c r="B47" s="312"/>
      <c r="C47" s="63" t="s">
        <v>414</v>
      </c>
      <c r="D47" s="75" t="s">
        <v>349</v>
      </c>
      <c r="E47" s="75"/>
      <c r="F47" s="133"/>
      <c r="G47" s="180">
        <f>SUM(G48)</f>
        <v>24265.2</v>
      </c>
      <c r="H47" s="14">
        <f>SUM(H48)</f>
        <v>12415.9</v>
      </c>
      <c r="I47" s="14">
        <f t="shared" si="0"/>
        <v>51.16751561907588</v>
      </c>
    </row>
    <row r="48" spans="1:9" s="15" customFormat="1" ht="42.75">
      <c r="A48" s="332" t="s">
        <v>91</v>
      </c>
      <c r="B48" s="312"/>
      <c r="C48" s="63" t="s">
        <v>414</v>
      </c>
      <c r="D48" s="75" t="s">
        <v>349</v>
      </c>
      <c r="E48" s="75" t="s">
        <v>92</v>
      </c>
      <c r="F48" s="133"/>
      <c r="G48" s="180">
        <f>SUM(G49)+G52+G54</f>
        <v>24265.2</v>
      </c>
      <c r="H48" s="14">
        <f>SUM(H49+H54)</f>
        <v>12415.9</v>
      </c>
      <c r="I48" s="14">
        <f t="shared" si="0"/>
        <v>51.16751561907588</v>
      </c>
    </row>
    <row r="49" spans="1:9" s="15" customFormat="1" ht="15">
      <c r="A49" s="332" t="s">
        <v>99</v>
      </c>
      <c r="B49" s="312"/>
      <c r="C49" s="63" t="s">
        <v>414</v>
      </c>
      <c r="D49" s="75" t="s">
        <v>349</v>
      </c>
      <c r="E49" s="75" t="s">
        <v>101</v>
      </c>
      <c r="F49" s="133"/>
      <c r="G49" s="180">
        <f>SUM(G50+G51)</f>
        <v>22573.2</v>
      </c>
      <c r="H49" s="14">
        <f>SUM(H50+H52)</f>
        <v>11864.3</v>
      </c>
      <c r="I49" s="14">
        <f t="shared" si="0"/>
        <v>52.55922952882178</v>
      </c>
    </row>
    <row r="50" spans="1:10" s="15" customFormat="1" ht="28.5">
      <c r="A50" s="332" t="s">
        <v>444</v>
      </c>
      <c r="B50" s="312"/>
      <c r="C50" s="63" t="s">
        <v>100</v>
      </c>
      <c r="D50" s="75" t="s">
        <v>349</v>
      </c>
      <c r="E50" s="75" t="s">
        <v>101</v>
      </c>
      <c r="F50" s="135" t="s">
        <v>445</v>
      </c>
      <c r="G50" s="180">
        <v>22559.4</v>
      </c>
      <c r="H50" s="14">
        <v>2278</v>
      </c>
      <c r="I50" s="14">
        <f t="shared" si="0"/>
        <v>10.097786288642428</v>
      </c>
      <c r="J50" s="37">
        <f>SUM('ведомствен.2015'!G40+'ведомствен.2015'!G319)</f>
        <v>22559.4</v>
      </c>
    </row>
    <row r="51" spans="1:10" s="15" customFormat="1" ht="15" hidden="1">
      <c r="A51" s="332" t="s">
        <v>449</v>
      </c>
      <c r="B51" s="312"/>
      <c r="C51" s="63" t="s">
        <v>414</v>
      </c>
      <c r="D51" s="75" t="s">
        <v>349</v>
      </c>
      <c r="E51" s="75" t="s">
        <v>101</v>
      </c>
      <c r="F51" s="133" t="s">
        <v>112</v>
      </c>
      <c r="G51" s="181">
        <v>13.8</v>
      </c>
      <c r="H51" s="14"/>
      <c r="I51" s="14"/>
      <c r="J51" s="37">
        <f>SUM('ведомствен.2015'!G41+'ведомствен.2015'!G320)</f>
        <v>13.8</v>
      </c>
    </row>
    <row r="52" spans="1:10" ht="28.5" hidden="1">
      <c r="A52" s="332" t="s">
        <v>350</v>
      </c>
      <c r="B52" s="312"/>
      <c r="C52" s="63" t="s">
        <v>100</v>
      </c>
      <c r="D52" s="75" t="s">
        <v>349</v>
      </c>
      <c r="E52" s="75" t="s">
        <v>351</v>
      </c>
      <c r="F52" s="133"/>
      <c r="G52" s="180">
        <f>SUM(G53)</f>
        <v>0</v>
      </c>
      <c r="H52" s="14">
        <f>SUM(H53)</f>
        <v>9586.3</v>
      </c>
      <c r="I52" s="14" t="e">
        <f t="shared" si="0"/>
        <v>#DIV/0!</v>
      </c>
      <c r="J52"/>
    </row>
    <row r="53" spans="1:10" s="16" customFormat="1" ht="28.5" hidden="1">
      <c r="A53" s="332" t="s">
        <v>444</v>
      </c>
      <c r="B53" s="312"/>
      <c r="C53" s="63" t="s">
        <v>100</v>
      </c>
      <c r="D53" s="75" t="s">
        <v>349</v>
      </c>
      <c r="E53" s="75" t="s">
        <v>351</v>
      </c>
      <c r="F53" s="135" t="s">
        <v>445</v>
      </c>
      <c r="G53" s="180"/>
      <c r="H53" s="14">
        <v>9586.3</v>
      </c>
      <c r="I53" s="14" t="e">
        <f t="shared" si="0"/>
        <v>#DIV/0!</v>
      </c>
      <c r="J53" s="37">
        <f>SUM('ведомствен.2015'!G322)</f>
        <v>0</v>
      </c>
    </row>
    <row r="54" spans="1:10" ht="28.5">
      <c r="A54" s="332" t="s">
        <v>352</v>
      </c>
      <c r="B54" s="312"/>
      <c r="C54" s="63" t="s">
        <v>100</v>
      </c>
      <c r="D54" s="75" t="s">
        <v>349</v>
      </c>
      <c r="E54" s="75" t="s">
        <v>353</v>
      </c>
      <c r="F54" s="135"/>
      <c r="G54" s="180">
        <f>SUM(G55)</f>
        <v>1692</v>
      </c>
      <c r="H54" s="14">
        <f>SUM(H55)</f>
        <v>551.6</v>
      </c>
      <c r="I54" s="14">
        <f t="shared" si="0"/>
        <v>32.600472813238774</v>
      </c>
      <c r="J54"/>
    </row>
    <row r="55" spans="1:10" ht="28.5">
      <c r="A55" s="332" t="s">
        <v>444</v>
      </c>
      <c r="B55" s="312"/>
      <c r="C55" s="63" t="s">
        <v>100</v>
      </c>
      <c r="D55" s="75" t="s">
        <v>349</v>
      </c>
      <c r="E55" s="75" t="s">
        <v>353</v>
      </c>
      <c r="F55" s="133" t="s">
        <v>445</v>
      </c>
      <c r="G55" s="180">
        <v>1692</v>
      </c>
      <c r="H55" s="14">
        <v>551.6</v>
      </c>
      <c r="I55" s="14">
        <f aca="true" t="shared" si="1" ref="I55:I90">SUM(H55/G55*100)</f>
        <v>32.600472813238774</v>
      </c>
      <c r="J55" s="36">
        <f>SUM('ведомствен.2015'!G43)</f>
        <v>1692</v>
      </c>
    </row>
    <row r="56" spans="1:10" ht="15">
      <c r="A56" s="158" t="s">
        <v>354</v>
      </c>
      <c r="B56" s="179"/>
      <c r="C56" s="74" t="s">
        <v>414</v>
      </c>
      <c r="D56" s="124" t="s">
        <v>109</v>
      </c>
      <c r="E56" s="124"/>
      <c r="F56" s="134"/>
      <c r="G56" s="181">
        <f>SUM(G57)</f>
        <v>7169.3</v>
      </c>
      <c r="H56" s="14" t="e">
        <f>SUM(#REF!)</f>
        <v>#REF!</v>
      </c>
      <c r="I56" s="14" t="e">
        <f t="shared" si="1"/>
        <v>#REF!</v>
      </c>
      <c r="J56"/>
    </row>
    <row r="57" spans="1:10" ht="28.5">
      <c r="A57" s="332" t="s">
        <v>355</v>
      </c>
      <c r="B57" s="312"/>
      <c r="C57" s="63" t="s">
        <v>414</v>
      </c>
      <c r="D57" s="75" t="s">
        <v>109</v>
      </c>
      <c r="E57" s="75" t="s">
        <v>570</v>
      </c>
      <c r="F57" s="133"/>
      <c r="G57" s="180">
        <f>SUM(G58)</f>
        <v>7169.3</v>
      </c>
      <c r="H57" s="14">
        <f>SUM(H58:H58)</f>
        <v>2142.4</v>
      </c>
      <c r="I57" s="14">
        <f t="shared" si="1"/>
        <v>29.882973233091096</v>
      </c>
      <c r="J57"/>
    </row>
    <row r="58" spans="1:10" ht="15">
      <c r="A58" s="158" t="s">
        <v>450</v>
      </c>
      <c r="B58" s="312"/>
      <c r="C58" s="63" t="s">
        <v>414</v>
      </c>
      <c r="D58" s="75" t="s">
        <v>109</v>
      </c>
      <c r="E58" s="75" t="s">
        <v>570</v>
      </c>
      <c r="F58" s="133" t="s">
        <v>160</v>
      </c>
      <c r="G58" s="180">
        <v>7169.3</v>
      </c>
      <c r="H58" s="14">
        <v>2142.4</v>
      </c>
      <c r="I58" s="14">
        <f t="shared" si="1"/>
        <v>29.882973233091096</v>
      </c>
      <c r="J58">
        <f>SUM('ведомствен.2015'!G80)</f>
        <v>7169.3</v>
      </c>
    </row>
    <row r="59" spans="1:10" ht="15" hidden="1">
      <c r="A59" s="332" t="s">
        <v>356</v>
      </c>
      <c r="B59" s="179"/>
      <c r="C59" s="74" t="s">
        <v>414</v>
      </c>
      <c r="D59" s="124" t="s">
        <v>109</v>
      </c>
      <c r="E59" s="124" t="s">
        <v>357</v>
      </c>
      <c r="F59" s="134"/>
      <c r="G59" s="181">
        <f>SUM(G60)</f>
        <v>0</v>
      </c>
      <c r="H59" s="14">
        <f>SUM(H60)</f>
        <v>2077.4</v>
      </c>
      <c r="I59" s="14" t="e">
        <f t="shared" si="1"/>
        <v>#DIV/0!</v>
      </c>
      <c r="J59"/>
    </row>
    <row r="60" spans="1:10" ht="15" hidden="1">
      <c r="A60" s="332" t="s">
        <v>95</v>
      </c>
      <c r="B60" s="179"/>
      <c r="C60" s="74" t="s">
        <v>414</v>
      </c>
      <c r="D60" s="124" t="s">
        <v>109</v>
      </c>
      <c r="E60" s="124" t="s">
        <v>357</v>
      </c>
      <c r="F60" s="134" t="s">
        <v>96</v>
      </c>
      <c r="G60" s="181"/>
      <c r="H60" s="14">
        <v>2077.4</v>
      </c>
      <c r="I60" s="14" t="e">
        <f t="shared" si="1"/>
        <v>#DIV/0!</v>
      </c>
      <c r="J60"/>
    </row>
    <row r="61" spans="1:9" s="15" customFormat="1" ht="15">
      <c r="A61" s="332" t="s">
        <v>363</v>
      </c>
      <c r="B61" s="312"/>
      <c r="C61" s="63" t="s">
        <v>414</v>
      </c>
      <c r="D61" s="75" t="s">
        <v>375</v>
      </c>
      <c r="E61" s="75"/>
      <c r="F61" s="133"/>
      <c r="G61" s="180">
        <f>SUM(G62)</f>
        <v>145.9</v>
      </c>
      <c r="H61" s="14" t="e">
        <f>SUM(H62)</f>
        <v>#REF!</v>
      </c>
      <c r="I61" s="14" t="e">
        <f t="shared" si="1"/>
        <v>#REF!</v>
      </c>
    </row>
    <row r="62" spans="1:9" s="15" customFormat="1" ht="15">
      <c r="A62" s="332" t="s">
        <v>345</v>
      </c>
      <c r="B62" s="312"/>
      <c r="C62" s="63" t="s">
        <v>414</v>
      </c>
      <c r="D62" s="75" t="s">
        <v>375</v>
      </c>
      <c r="E62" s="75" t="s">
        <v>456</v>
      </c>
      <c r="F62" s="133"/>
      <c r="G62" s="180">
        <f>SUM(G63)</f>
        <v>145.9</v>
      </c>
      <c r="H62" s="14" t="e">
        <f>SUM(#REF!)</f>
        <v>#REF!</v>
      </c>
      <c r="I62" s="14" t="e">
        <f t="shared" si="1"/>
        <v>#REF!</v>
      </c>
    </row>
    <row r="63" spans="1:10" s="15" customFormat="1" ht="15">
      <c r="A63" s="332" t="s">
        <v>450</v>
      </c>
      <c r="B63" s="312"/>
      <c r="C63" s="63" t="s">
        <v>414</v>
      </c>
      <c r="D63" s="75" t="s">
        <v>375</v>
      </c>
      <c r="E63" s="75" t="s">
        <v>456</v>
      </c>
      <c r="F63" s="133" t="s">
        <v>160</v>
      </c>
      <c r="G63" s="180">
        <v>145.9</v>
      </c>
      <c r="H63" s="14" t="e">
        <f>SUM(#REF!)</f>
        <v>#REF!</v>
      </c>
      <c r="I63" s="14" t="e">
        <f t="shared" si="1"/>
        <v>#REF!</v>
      </c>
      <c r="J63" s="15">
        <f>SUM('ведомствен.2015'!G325)</f>
        <v>145.9000000000001</v>
      </c>
    </row>
    <row r="64" spans="1:10" ht="15">
      <c r="A64" s="332" t="s">
        <v>104</v>
      </c>
      <c r="B64" s="312"/>
      <c r="C64" s="63" t="s">
        <v>414</v>
      </c>
      <c r="D64" s="75" t="s">
        <v>212</v>
      </c>
      <c r="E64" s="75"/>
      <c r="F64" s="134"/>
      <c r="G64" s="180">
        <f>SUM(G65+G78)+G87</f>
        <v>51355.8</v>
      </c>
      <c r="H64" s="14" t="e">
        <f>SUM(H65+H80+#REF!+#REF!+#REF!+#REF!+H70+H77)</f>
        <v>#REF!</v>
      </c>
      <c r="I64" s="14" t="e">
        <f t="shared" si="1"/>
        <v>#REF!</v>
      </c>
      <c r="J64"/>
    </row>
    <row r="65" spans="1:10" ht="28.5">
      <c r="A65" s="158" t="s">
        <v>446</v>
      </c>
      <c r="B65" s="313"/>
      <c r="C65" s="287" t="s">
        <v>414</v>
      </c>
      <c r="D65" s="288" t="s">
        <v>212</v>
      </c>
      <c r="E65" s="288" t="s">
        <v>447</v>
      </c>
      <c r="F65" s="289"/>
      <c r="G65" s="304">
        <f>G66+G69+G71+G74</f>
        <v>48442</v>
      </c>
      <c r="H65" s="14">
        <f>SUM(H66+H68)</f>
        <v>2749.5</v>
      </c>
      <c r="I65" s="14">
        <f t="shared" si="1"/>
        <v>5.675859791090376</v>
      </c>
      <c r="J65"/>
    </row>
    <row r="66" spans="1:10" ht="15">
      <c r="A66" s="158" t="s">
        <v>437</v>
      </c>
      <c r="B66" s="314"/>
      <c r="C66" s="287" t="s">
        <v>414</v>
      </c>
      <c r="D66" s="288" t="s">
        <v>212</v>
      </c>
      <c r="E66" s="288" t="s">
        <v>448</v>
      </c>
      <c r="F66" s="290"/>
      <c r="G66" s="304">
        <f>G67+G68</f>
        <v>4883</v>
      </c>
      <c r="H66" s="14">
        <f>SUM(H67)</f>
        <v>2749.5</v>
      </c>
      <c r="I66" s="14">
        <f t="shared" si="1"/>
        <v>56.307597788244934</v>
      </c>
      <c r="J66"/>
    </row>
    <row r="67" spans="1:10" ht="28.5">
      <c r="A67" s="187" t="s">
        <v>697</v>
      </c>
      <c r="B67" s="314"/>
      <c r="C67" s="287" t="s">
        <v>414</v>
      </c>
      <c r="D67" s="288" t="s">
        <v>212</v>
      </c>
      <c r="E67" s="288" t="s">
        <v>448</v>
      </c>
      <c r="F67" s="290" t="s">
        <v>112</v>
      </c>
      <c r="G67" s="304">
        <v>4763.2</v>
      </c>
      <c r="H67" s="14">
        <v>2749.5</v>
      </c>
      <c r="I67" s="14">
        <f t="shared" si="1"/>
        <v>57.72379912663755</v>
      </c>
      <c r="J67" s="36">
        <f>SUM('ведомствен.2015'!G27+'ведомствен.2015'!G47+'ведомствен.2015'!G84+'ведомствен.2015'!G329)</f>
        <v>4763.2</v>
      </c>
    </row>
    <row r="68" spans="1:10" ht="15">
      <c r="A68" s="158" t="s">
        <v>450</v>
      </c>
      <c r="B68" s="314"/>
      <c r="C68" s="287" t="s">
        <v>414</v>
      </c>
      <c r="D68" s="288" t="s">
        <v>212</v>
      </c>
      <c r="E68" s="288" t="s">
        <v>448</v>
      </c>
      <c r="F68" s="290" t="s">
        <v>160</v>
      </c>
      <c r="G68" s="304">
        <v>119.8</v>
      </c>
      <c r="H68" s="14">
        <f>SUM(H69)</f>
        <v>0</v>
      </c>
      <c r="I68" s="14">
        <f t="shared" si="1"/>
        <v>0</v>
      </c>
      <c r="J68" s="36">
        <f>SUM('ведомствен.2015'!G28+'ведомствен.2015'!G48+'ведомствен.2015'!G85+'ведомствен.2015'!G330)</f>
        <v>119.79999999999998</v>
      </c>
    </row>
    <row r="69" spans="1:9" ht="28.5">
      <c r="A69" s="158" t="s">
        <v>438</v>
      </c>
      <c r="B69" s="314"/>
      <c r="C69" s="287" t="s">
        <v>414</v>
      </c>
      <c r="D69" s="288" t="s">
        <v>212</v>
      </c>
      <c r="E69" s="288" t="s">
        <v>451</v>
      </c>
      <c r="F69" s="290"/>
      <c r="G69" s="304">
        <f>SUM(G70)</f>
        <v>11379.5</v>
      </c>
      <c r="H69" s="14"/>
      <c r="I69" s="14">
        <f t="shared" si="1"/>
        <v>0</v>
      </c>
    </row>
    <row r="70" spans="1:10" ht="28.5">
      <c r="A70" s="187" t="s">
        <v>697</v>
      </c>
      <c r="B70" s="314"/>
      <c r="C70" s="287" t="s">
        <v>414</v>
      </c>
      <c r="D70" s="288" t="s">
        <v>212</v>
      </c>
      <c r="E70" s="288" t="s">
        <v>451</v>
      </c>
      <c r="F70" s="290" t="s">
        <v>112</v>
      </c>
      <c r="G70" s="304">
        <v>11379.5</v>
      </c>
      <c r="H70" s="14">
        <f>SUM(H74+H72)</f>
        <v>836.4</v>
      </c>
      <c r="I70" s="14">
        <f t="shared" si="1"/>
        <v>7.350059317193199</v>
      </c>
      <c r="J70" s="36">
        <f>SUM('ведомствен.2015'!G30+'ведомствен.2015'!G50+'ведомствен.2015'!G87+'ведомствен.2015'!G332)</f>
        <v>11379.500000000002</v>
      </c>
    </row>
    <row r="71" spans="1:10" ht="28.5">
      <c r="A71" s="158" t="s">
        <v>468</v>
      </c>
      <c r="B71" s="314"/>
      <c r="C71" s="287" t="s">
        <v>414</v>
      </c>
      <c r="D71" s="288" t="s">
        <v>212</v>
      </c>
      <c r="E71" s="288" t="s">
        <v>469</v>
      </c>
      <c r="F71" s="290"/>
      <c r="G71" s="304">
        <f>SUM(G72:G73)</f>
        <v>7990.8</v>
      </c>
      <c r="H71" s="14">
        <f>SUM(H72)</f>
        <v>0</v>
      </c>
      <c r="I71" s="14">
        <f t="shared" si="1"/>
        <v>0</v>
      </c>
      <c r="J71"/>
    </row>
    <row r="72" spans="1:10" ht="28.5">
      <c r="A72" s="187" t="s">
        <v>697</v>
      </c>
      <c r="B72" s="314"/>
      <c r="C72" s="287" t="s">
        <v>414</v>
      </c>
      <c r="D72" s="288" t="s">
        <v>212</v>
      </c>
      <c r="E72" s="288" t="s">
        <v>469</v>
      </c>
      <c r="F72" s="290" t="s">
        <v>112</v>
      </c>
      <c r="G72" s="304">
        <v>7940.8</v>
      </c>
      <c r="H72" s="14"/>
      <c r="I72" s="14">
        <f t="shared" si="1"/>
        <v>0</v>
      </c>
      <c r="J72">
        <f>SUM('ведомствен.2015'!G89)</f>
        <v>7940.8</v>
      </c>
    </row>
    <row r="73" spans="1:10" ht="15">
      <c r="A73" s="158" t="s">
        <v>450</v>
      </c>
      <c r="B73" s="314"/>
      <c r="C73" s="287" t="s">
        <v>414</v>
      </c>
      <c r="D73" s="288" t="s">
        <v>212</v>
      </c>
      <c r="E73" s="288" t="s">
        <v>469</v>
      </c>
      <c r="F73" s="290" t="s">
        <v>160</v>
      </c>
      <c r="G73" s="304">
        <v>50</v>
      </c>
      <c r="H73" s="14"/>
      <c r="I73" s="14"/>
      <c r="J73">
        <f>SUM('ведомствен.2015'!G90)</f>
        <v>50</v>
      </c>
    </row>
    <row r="74" spans="1:10" ht="28.5">
      <c r="A74" s="158" t="s">
        <v>452</v>
      </c>
      <c r="B74" s="314"/>
      <c r="C74" s="287" t="s">
        <v>414</v>
      </c>
      <c r="D74" s="288" t="s">
        <v>212</v>
      </c>
      <c r="E74" s="288" t="s">
        <v>453</v>
      </c>
      <c r="F74" s="290"/>
      <c r="G74" s="304">
        <f>SUM(G75:G77)</f>
        <v>24188.7</v>
      </c>
      <c r="H74" s="14">
        <f>SUM(H75)</f>
        <v>836.4</v>
      </c>
      <c r="I74" s="14">
        <f t="shared" si="1"/>
        <v>3.457812945714321</v>
      </c>
      <c r="J74"/>
    </row>
    <row r="75" spans="1:10" ht="28.5">
      <c r="A75" s="187" t="s">
        <v>697</v>
      </c>
      <c r="B75" s="314"/>
      <c r="C75" s="287" t="s">
        <v>414</v>
      </c>
      <c r="D75" s="288" t="s">
        <v>212</v>
      </c>
      <c r="E75" s="288" t="s">
        <v>453</v>
      </c>
      <c r="F75" s="290" t="s">
        <v>112</v>
      </c>
      <c r="G75" s="304">
        <v>20361.2</v>
      </c>
      <c r="H75" s="14">
        <v>836.4</v>
      </c>
      <c r="I75" s="14">
        <f t="shared" si="1"/>
        <v>4.107812899043278</v>
      </c>
      <c r="J75">
        <f>SUM('ведомствен.2015'!G32+'ведомствен.2015'!G52+'ведомствен.2015'!G92+'ведомствен.2015'!G334)</f>
        <v>20361.199999999997</v>
      </c>
    </row>
    <row r="76" spans="1:12" ht="15">
      <c r="A76" s="332" t="s">
        <v>454</v>
      </c>
      <c r="B76" s="312"/>
      <c r="C76" s="63" t="s">
        <v>414</v>
      </c>
      <c r="D76" s="75" t="s">
        <v>212</v>
      </c>
      <c r="E76" s="75" t="s">
        <v>453</v>
      </c>
      <c r="F76" s="135" t="s">
        <v>455</v>
      </c>
      <c r="G76" s="180">
        <v>667</v>
      </c>
      <c r="H76" s="14"/>
      <c r="I76" s="14"/>
      <c r="J76">
        <f>SUM('ведомствен.2015'!G33)</f>
        <v>667</v>
      </c>
      <c r="L76" s="353">
        <f>SUM(G76+G529+G551+G554+G557+G560+G563+G566+G570+G577+G585+G590+G593+G596+G599+G602+G605+G608+G613+G616+G619+G622+G625+G628+G633+G637+G640+G650+G653+G656)/G731</f>
        <v>0.23031790215711564</v>
      </c>
    </row>
    <row r="77" spans="1:10" ht="15">
      <c r="A77" s="158" t="s">
        <v>450</v>
      </c>
      <c r="B77" s="314"/>
      <c r="C77" s="287" t="s">
        <v>414</v>
      </c>
      <c r="D77" s="288" t="s">
        <v>212</v>
      </c>
      <c r="E77" s="288" t="s">
        <v>453</v>
      </c>
      <c r="F77" s="290" t="s">
        <v>160</v>
      </c>
      <c r="G77" s="304">
        <v>3160.5</v>
      </c>
      <c r="H77" s="14">
        <f>SUM(H79)</f>
        <v>536.9</v>
      </c>
      <c r="I77" s="14">
        <f t="shared" si="1"/>
        <v>16.98781838316722</v>
      </c>
      <c r="J77">
        <f>SUM('ведомствен.2015'!G34+'ведомствен.2015'!G53+'ведомствен.2015'!G93+'ведомствен.2015'!G335)</f>
        <v>3160.5</v>
      </c>
    </row>
    <row r="78" spans="1:10" ht="28.5">
      <c r="A78" s="158" t="s">
        <v>536</v>
      </c>
      <c r="B78" s="314"/>
      <c r="C78" s="287" t="s">
        <v>414</v>
      </c>
      <c r="D78" s="288" t="s">
        <v>212</v>
      </c>
      <c r="E78" s="288" t="s">
        <v>128</v>
      </c>
      <c r="F78" s="290"/>
      <c r="G78" s="304">
        <f>G79</f>
        <v>2813.8</v>
      </c>
      <c r="H78" s="14">
        <f>SUM(H79)</f>
        <v>536.9</v>
      </c>
      <c r="I78" s="14">
        <f t="shared" si="1"/>
        <v>19.08095813490653</v>
      </c>
      <c r="J78"/>
    </row>
    <row r="79" spans="1:10" ht="28.5">
      <c r="A79" s="158" t="s">
        <v>14</v>
      </c>
      <c r="B79" s="314"/>
      <c r="C79" s="287" t="s">
        <v>414</v>
      </c>
      <c r="D79" s="288" t="s">
        <v>212</v>
      </c>
      <c r="E79" s="288" t="s">
        <v>182</v>
      </c>
      <c r="F79" s="290"/>
      <c r="G79" s="304">
        <f>G80+G82</f>
        <v>2813.8</v>
      </c>
      <c r="H79" s="14">
        <f>423.2+113.7</f>
        <v>536.9</v>
      </c>
      <c r="I79" s="14">
        <f t="shared" si="1"/>
        <v>19.08095813490653</v>
      </c>
      <c r="J79"/>
    </row>
    <row r="80" spans="1:10" ht="28.5">
      <c r="A80" s="158" t="s">
        <v>561</v>
      </c>
      <c r="B80" s="314"/>
      <c r="C80" s="287" t="s">
        <v>414</v>
      </c>
      <c r="D80" s="288" t="s">
        <v>212</v>
      </c>
      <c r="E80" s="288" t="s">
        <v>184</v>
      </c>
      <c r="F80" s="290"/>
      <c r="G80" s="304">
        <f>SUM(G81)</f>
        <v>2380.3</v>
      </c>
      <c r="H80" s="14">
        <f>SUM(H82)</f>
        <v>917.7</v>
      </c>
      <c r="I80" s="14">
        <f t="shared" si="1"/>
        <v>38.55396378607738</v>
      </c>
      <c r="J80"/>
    </row>
    <row r="81" spans="1:10" ht="28.5">
      <c r="A81" s="158" t="s">
        <v>470</v>
      </c>
      <c r="B81" s="314"/>
      <c r="C81" s="287" t="s">
        <v>414</v>
      </c>
      <c r="D81" s="288" t="s">
        <v>212</v>
      </c>
      <c r="E81" s="288" t="s">
        <v>184</v>
      </c>
      <c r="F81" s="290" t="s">
        <v>461</v>
      </c>
      <c r="G81" s="304">
        <v>2380.3</v>
      </c>
      <c r="H81" s="14"/>
      <c r="I81" s="14"/>
      <c r="J81">
        <f>SUM('ведомствен.2015'!G97)</f>
        <v>2380.3</v>
      </c>
    </row>
    <row r="82" spans="1:10" ht="15">
      <c r="A82" s="332" t="s">
        <v>148</v>
      </c>
      <c r="B82" s="314"/>
      <c r="C82" s="287" t="s">
        <v>414</v>
      </c>
      <c r="D82" s="288" t="s">
        <v>212</v>
      </c>
      <c r="E82" s="288" t="s">
        <v>371</v>
      </c>
      <c r="F82" s="290"/>
      <c r="G82" s="304">
        <f>SUM(G83)+G85</f>
        <v>433.5</v>
      </c>
      <c r="H82" s="14">
        <f>SUM(H83)</f>
        <v>917.7</v>
      </c>
      <c r="I82" s="14">
        <f t="shared" si="1"/>
        <v>211.69550173010384</v>
      </c>
      <c r="J82"/>
    </row>
    <row r="83" spans="1:10" ht="28.5">
      <c r="A83" s="158" t="s">
        <v>135</v>
      </c>
      <c r="B83" s="314"/>
      <c r="C83" s="287" t="s">
        <v>414</v>
      </c>
      <c r="D83" s="288" t="s">
        <v>212</v>
      </c>
      <c r="E83" s="288" t="s">
        <v>372</v>
      </c>
      <c r="F83" s="290"/>
      <c r="G83" s="304">
        <f>SUM(G84)</f>
        <v>413.5</v>
      </c>
      <c r="H83" s="14">
        <v>917.7</v>
      </c>
      <c r="I83" s="14">
        <f t="shared" si="1"/>
        <v>221.93470374848854</v>
      </c>
      <c r="J83"/>
    </row>
    <row r="84" spans="1:10" ht="28.5">
      <c r="A84" s="158" t="s">
        <v>470</v>
      </c>
      <c r="B84" s="314"/>
      <c r="C84" s="287" t="s">
        <v>414</v>
      </c>
      <c r="D84" s="288" t="s">
        <v>212</v>
      </c>
      <c r="E84" s="288" t="s">
        <v>372</v>
      </c>
      <c r="F84" s="290" t="s">
        <v>461</v>
      </c>
      <c r="G84" s="304">
        <v>413.5</v>
      </c>
      <c r="H84" s="14"/>
      <c r="I84" s="14"/>
      <c r="J84">
        <f>SUM('ведомствен.2015'!G100)</f>
        <v>413.5</v>
      </c>
    </row>
    <row r="85" spans="1:9" ht="28.5">
      <c r="A85" s="261" t="s">
        <v>144</v>
      </c>
      <c r="B85" s="398"/>
      <c r="C85" s="221" t="s">
        <v>414</v>
      </c>
      <c r="D85" s="220" t="s">
        <v>212</v>
      </c>
      <c r="E85" s="220" t="s">
        <v>192</v>
      </c>
      <c r="F85" s="247"/>
      <c r="G85" s="171">
        <f>SUM(G86)</f>
        <v>20</v>
      </c>
      <c r="H85" s="14"/>
      <c r="I85" s="14"/>
    </row>
    <row r="86" spans="1:10" ht="28.5">
      <c r="A86" s="149" t="s">
        <v>470</v>
      </c>
      <c r="B86" s="398"/>
      <c r="C86" s="221" t="s">
        <v>414</v>
      </c>
      <c r="D86" s="220" t="s">
        <v>212</v>
      </c>
      <c r="E86" s="220" t="s">
        <v>192</v>
      </c>
      <c r="F86" s="247" t="s">
        <v>461</v>
      </c>
      <c r="G86" s="171">
        <v>20</v>
      </c>
      <c r="H86" s="14"/>
      <c r="I86" s="14"/>
      <c r="J86">
        <f>SUM('ведомствен.2015'!G102)</f>
        <v>20</v>
      </c>
    </row>
    <row r="87" spans="1:9" ht="15">
      <c r="A87" s="334" t="s">
        <v>497</v>
      </c>
      <c r="B87" s="314"/>
      <c r="C87" s="287" t="s">
        <v>414</v>
      </c>
      <c r="D87" s="288" t="s">
        <v>212</v>
      </c>
      <c r="E87" s="288" t="s">
        <v>121</v>
      </c>
      <c r="F87" s="290"/>
      <c r="G87" s="304">
        <f>SUM(G88)</f>
        <v>100</v>
      </c>
      <c r="H87" s="14"/>
      <c r="I87" s="14"/>
    </row>
    <row r="88" spans="1:9" ht="28.5">
      <c r="A88" s="158" t="s">
        <v>571</v>
      </c>
      <c r="B88" s="314"/>
      <c r="C88" s="287" t="s">
        <v>414</v>
      </c>
      <c r="D88" s="288" t="s">
        <v>212</v>
      </c>
      <c r="E88" s="288" t="s">
        <v>572</v>
      </c>
      <c r="F88" s="290"/>
      <c r="G88" s="304">
        <f>SUM(G89)</f>
        <v>100</v>
      </c>
      <c r="H88" s="14"/>
      <c r="I88" s="14"/>
    </row>
    <row r="89" spans="1:10" ht="28.5">
      <c r="A89" s="187" t="s">
        <v>697</v>
      </c>
      <c r="B89" s="314"/>
      <c r="C89" s="287" t="s">
        <v>414</v>
      </c>
      <c r="D89" s="288" t="s">
        <v>212</v>
      </c>
      <c r="E89" s="288" t="s">
        <v>572</v>
      </c>
      <c r="F89" s="290" t="s">
        <v>112</v>
      </c>
      <c r="G89" s="304">
        <v>100</v>
      </c>
      <c r="H89" s="14"/>
      <c r="I89" s="14"/>
      <c r="J89" s="36">
        <f>SUM('ведомствен.2015'!G105)</f>
        <v>100</v>
      </c>
    </row>
    <row r="90" spans="1:12" s="13" customFormat="1" ht="30">
      <c r="A90" s="335" t="s">
        <v>130</v>
      </c>
      <c r="B90" s="315"/>
      <c r="C90" s="139" t="s">
        <v>98</v>
      </c>
      <c r="D90" s="126"/>
      <c r="E90" s="126"/>
      <c r="F90" s="137"/>
      <c r="G90" s="305">
        <f>SUM(G91+G97)</f>
        <v>21303.6</v>
      </c>
      <c r="H90" s="17" t="e">
        <f>SUM(#REF!+H95)+H115</f>
        <v>#REF!</v>
      </c>
      <c r="I90" s="17" t="e">
        <f t="shared" si="1"/>
        <v>#REF!</v>
      </c>
      <c r="K90" s="13">
        <f>SUM(J91:J120)</f>
        <v>21303.6</v>
      </c>
      <c r="L90" s="13">
        <f>SUM('ведомствен.2015'!G106)</f>
        <v>21303.6</v>
      </c>
    </row>
    <row r="91" spans="1:9" s="16" customFormat="1" ht="15">
      <c r="A91" s="336" t="s">
        <v>54</v>
      </c>
      <c r="B91" s="314"/>
      <c r="C91" s="287" t="s">
        <v>98</v>
      </c>
      <c r="D91" s="288" t="s">
        <v>114</v>
      </c>
      <c r="E91" s="288"/>
      <c r="F91" s="290"/>
      <c r="G91" s="304">
        <f>SUM(G93)</f>
        <v>5304.4</v>
      </c>
      <c r="H91" s="14">
        <f>SUM(H93)</f>
        <v>0</v>
      </c>
      <c r="I91" s="14" t="e">
        <f>SUM(H91/#REF!*100)</f>
        <v>#REF!</v>
      </c>
    </row>
    <row r="92" spans="1:9" s="16" customFormat="1" ht="15">
      <c r="A92" s="158" t="s">
        <v>366</v>
      </c>
      <c r="B92" s="314"/>
      <c r="C92" s="287" t="s">
        <v>98</v>
      </c>
      <c r="D92" s="288" t="s">
        <v>114</v>
      </c>
      <c r="E92" s="288" t="s">
        <v>367</v>
      </c>
      <c r="F92" s="290"/>
      <c r="G92" s="304">
        <f>SUM(G93)</f>
        <v>5304.4</v>
      </c>
      <c r="H92" s="14"/>
      <c r="I92" s="14"/>
    </row>
    <row r="93" spans="1:9" s="16" customFormat="1" ht="28.5">
      <c r="A93" s="158" t="s">
        <v>547</v>
      </c>
      <c r="B93" s="314"/>
      <c r="C93" s="287" t="s">
        <v>98</v>
      </c>
      <c r="D93" s="288" t="s">
        <v>114</v>
      </c>
      <c r="E93" s="288" t="s">
        <v>474</v>
      </c>
      <c r="F93" s="290"/>
      <c r="G93" s="304">
        <f>G94+G95+G96</f>
        <v>5304.4</v>
      </c>
      <c r="H93" s="14">
        <f>SUM(H94)</f>
        <v>0</v>
      </c>
      <c r="I93" s="14" t="e">
        <f>SUM(H93/#REF!*100)</f>
        <v>#REF!</v>
      </c>
    </row>
    <row r="94" spans="1:10" s="16" customFormat="1" ht="28.5">
      <c r="A94" s="158" t="s">
        <v>444</v>
      </c>
      <c r="B94" s="314"/>
      <c r="C94" s="287" t="s">
        <v>98</v>
      </c>
      <c r="D94" s="288" t="s">
        <v>114</v>
      </c>
      <c r="E94" s="288" t="s">
        <v>474</v>
      </c>
      <c r="F94" s="290" t="s">
        <v>445</v>
      </c>
      <c r="G94" s="304">
        <v>3843.6</v>
      </c>
      <c r="H94" s="14"/>
      <c r="I94" s="14" t="e">
        <f>SUM(H94/#REF!*100)</f>
        <v>#REF!</v>
      </c>
      <c r="J94" s="16">
        <f>SUM('ведомствен.2015'!G110)</f>
        <v>3843.6</v>
      </c>
    </row>
    <row r="95" spans="1:10" ht="28.5">
      <c r="A95" s="187" t="s">
        <v>697</v>
      </c>
      <c r="B95" s="314"/>
      <c r="C95" s="287" t="s">
        <v>98</v>
      </c>
      <c r="D95" s="288" t="s">
        <v>114</v>
      </c>
      <c r="E95" s="288" t="s">
        <v>474</v>
      </c>
      <c r="F95" s="290" t="s">
        <v>112</v>
      </c>
      <c r="G95" s="304">
        <v>1362.8</v>
      </c>
      <c r="H95" s="14" t="e">
        <f>SUM(#REF!+H100+H103+H106)+#REF!</f>
        <v>#REF!</v>
      </c>
      <c r="I95" s="14" t="e">
        <f>SUM(H95/G97*100)</f>
        <v>#REF!</v>
      </c>
      <c r="J95" s="16">
        <f>SUM('ведомствен.2015'!G111)</f>
        <v>1362.8</v>
      </c>
    </row>
    <row r="96" spans="1:10" ht="15">
      <c r="A96" s="158" t="s">
        <v>450</v>
      </c>
      <c r="B96" s="314"/>
      <c r="C96" s="287" t="s">
        <v>98</v>
      </c>
      <c r="D96" s="288" t="s">
        <v>114</v>
      </c>
      <c r="E96" s="288" t="s">
        <v>474</v>
      </c>
      <c r="F96" s="290" t="s">
        <v>160</v>
      </c>
      <c r="G96" s="304">
        <v>98</v>
      </c>
      <c r="H96" s="14" t="e">
        <f>SUM(#REF!)</f>
        <v>#REF!</v>
      </c>
      <c r="I96" s="14" t="e">
        <f>SUM(H96/G98*100)</f>
        <v>#REF!</v>
      </c>
      <c r="J96" s="16">
        <f>SUM('ведомствен.2015'!G112)</f>
        <v>98</v>
      </c>
    </row>
    <row r="97" spans="1:9" ht="42.75">
      <c r="A97" s="337" t="s">
        <v>271</v>
      </c>
      <c r="B97" s="316"/>
      <c r="C97" s="279" t="s">
        <v>98</v>
      </c>
      <c r="D97" s="280" t="s">
        <v>272</v>
      </c>
      <c r="E97" s="280"/>
      <c r="F97" s="281"/>
      <c r="G97" s="306">
        <f>G108+G113+G98+G118</f>
        <v>15999.2</v>
      </c>
      <c r="H97" s="14">
        <v>438.8</v>
      </c>
      <c r="I97" s="14" t="e">
        <f>SUM(H97/G103*100)</f>
        <v>#DIV/0!</v>
      </c>
    </row>
    <row r="98" spans="1:10" ht="28.5">
      <c r="A98" s="158" t="s">
        <v>537</v>
      </c>
      <c r="B98" s="314"/>
      <c r="C98" s="287" t="s">
        <v>98</v>
      </c>
      <c r="D98" s="288" t="s">
        <v>272</v>
      </c>
      <c r="E98" s="288" t="s">
        <v>475</v>
      </c>
      <c r="F98" s="290"/>
      <c r="G98" s="304">
        <f>SUM(G99)</f>
        <v>12499.1</v>
      </c>
      <c r="H98" s="14">
        <f>SUM(H99)</f>
        <v>9825.3</v>
      </c>
      <c r="I98" s="14">
        <f>SUM(H98/G104*100)</f>
        <v>404.8498083975441</v>
      </c>
      <c r="J98"/>
    </row>
    <row r="99" spans="1:9" ht="28.5">
      <c r="A99" s="158" t="s">
        <v>51</v>
      </c>
      <c r="B99" s="314"/>
      <c r="C99" s="287" t="s">
        <v>98</v>
      </c>
      <c r="D99" s="288" t="s">
        <v>272</v>
      </c>
      <c r="E99" s="288" t="s">
        <v>476</v>
      </c>
      <c r="F99" s="290"/>
      <c r="G99" s="304">
        <f>G100+G104+G107</f>
        <v>12499.1</v>
      </c>
      <c r="H99" s="14">
        <v>9825.3</v>
      </c>
      <c r="I99" s="14" t="e">
        <f>SUM(H99/G105*100)</f>
        <v>#DIV/0!</v>
      </c>
    </row>
    <row r="100" spans="1:10" ht="28.5">
      <c r="A100" s="158" t="s">
        <v>444</v>
      </c>
      <c r="B100" s="314"/>
      <c r="C100" s="287" t="s">
        <v>98</v>
      </c>
      <c r="D100" s="288" t="s">
        <v>272</v>
      </c>
      <c r="E100" s="288" t="s">
        <v>476</v>
      </c>
      <c r="F100" s="290" t="s">
        <v>445</v>
      </c>
      <c r="G100" s="304">
        <v>9858.5</v>
      </c>
      <c r="H100" s="14">
        <f>SUM(H101)</f>
        <v>227.3</v>
      </c>
      <c r="I100" s="14" t="e">
        <f>SUM(H100/G106*100)</f>
        <v>#DIV/0!</v>
      </c>
      <c r="J100">
        <f>SUM('ведомствен.2015'!G116)</f>
        <v>9858.5</v>
      </c>
    </row>
    <row r="101" spans="1:10" ht="15" hidden="1">
      <c r="A101" s="158" t="s">
        <v>477</v>
      </c>
      <c r="B101" s="314"/>
      <c r="C101" s="287" t="s">
        <v>98</v>
      </c>
      <c r="D101" s="288" t="s">
        <v>272</v>
      </c>
      <c r="E101" s="288" t="s">
        <v>476</v>
      </c>
      <c r="F101" s="290" t="s">
        <v>478</v>
      </c>
      <c r="G101" s="304"/>
      <c r="H101" s="14">
        <f>SUM(H102)</f>
        <v>227.3</v>
      </c>
      <c r="I101" s="14">
        <f aca="true" t="shared" si="2" ref="I101:I106">SUM(H101/G108*100)</f>
        <v>6.685097497132437</v>
      </c>
      <c r="J101"/>
    </row>
    <row r="102" spans="1:9" ht="28.5" hidden="1">
      <c r="A102" s="158" t="s">
        <v>479</v>
      </c>
      <c r="B102" s="317"/>
      <c r="C102" s="287" t="s">
        <v>98</v>
      </c>
      <c r="D102" s="288" t="s">
        <v>272</v>
      </c>
      <c r="E102" s="288" t="s">
        <v>476</v>
      </c>
      <c r="F102" s="290" t="s">
        <v>480</v>
      </c>
      <c r="G102" s="304"/>
      <c r="H102" s="14">
        <v>227.3</v>
      </c>
      <c r="I102" s="14">
        <f t="shared" si="2"/>
        <v>16.234554674666096</v>
      </c>
    </row>
    <row r="103" spans="1:10" ht="28.5" hidden="1">
      <c r="A103" s="158" t="s">
        <v>481</v>
      </c>
      <c r="B103" s="317"/>
      <c r="C103" s="287" t="s">
        <v>98</v>
      </c>
      <c r="D103" s="288" t="s">
        <v>272</v>
      </c>
      <c r="E103" s="288" t="s">
        <v>476</v>
      </c>
      <c r="F103" s="290" t="s">
        <v>482</v>
      </c>
      <c r="G103" s="304"/>
      <c r="H103" s="14">
        <f>SUM(H104)</f>
        <v>5387.8</v>
      </c>
      <c r="I103" s="14">
        <f t="shared" si="2"/>
        <v>384.8153703306907</v>
      </c>
      <c r="J103"/>
    </row>
    <row r="104" spans="1:10" ht="28.5">
      <c r="A104" s="187" t="s">
        <v>697</v>
      </c>
      <c r="B104" s="317"/>
      <c r="C104" s="287" t="s">
        <v>98</v>
      </c>
      <c r="D104" s="288" t="s">
        <v>272</v>
      </c>
      <c r="E104" s="288" t="s">
        <v>476</v>
      </c>
      <c r="F104" s="290" t="s">
        <v>112</v>
      </c>
      <c r="G104" s="304">
        <v>2426.9</v>
      </c>
      <c r="H104" s="14">
        <f>SUM(H105)</f>
        <v>5387.8</v>
      </c>
      <c r="I104" s="14">
        <f t="shared" si="2"/>
        <v>269.39000000000004</v>
      </c>
      <c r="J104">
        <f>SUM('ведомствен.2015'!G120)</f>
        <v>2426.9</v>
      </c>
    </row>
    <row r="105" spans="1:9" ht="28.5" hidden="1">
      <c r="A105" s="158" t="s">
        <v>464</v>
      </c>
      <c r="B105" s="317"/>
      <c r="C105" s="287" t="s">
        <v>98</v>
      </c>
      <c r="D105" s="288" t="s">
        <v>272</v>
      </c>
      <c r="E105" s="288" t="s">
        <v>476</v>
      </c>
      <c r="F105" s="290" t="s">
        <v>465</v>
      </c>
      <c r="G105" s="304"/>
      <c r="H105" s="14">
        <v>5387.8</v>
      </c>
      <c r="I105" s="14">
        <f t="shared" si="2"/>
        <v>269.39000000000004</v>
      </c>
    </row>
    <row r="106" spans="1:9" s="19" customFormat="1" ht="28.5" hidden="1">
      <c r="A106" s="158" t="s">
        <v>466</v>
      </c>
      <c r="B106" s="314"/>
      <c r="C106" s="287" t="s">
        <v>98</v>
      </c>
      <c r="D106" s="288" t="s">
        <v>272</v>
      </c>
      <c r="E106" s="288" t="s">
        <v>476</v>
      </c>
      <c r="F106" s="290" t="s">
        <v>467</v>
      </c>
      <c r="G106" s="304"/>
      <c r="H106" s="14">
        <f>SUM(H109)</f>
        <v>0</v>
      </c>
      <c r="I106" s="14" t="e">
        <f t="shared" si="2"/>
        <v>#DIV/0!</v>
      </c>
    </row>
    <row r="107" spans="1:10" s="19" customFormat="1" ht="15">
      <c r="A107" s="158" t="s">
        <v>450</v>
      </c>
      <c r="B107" s="314"/>
      <c r="C107" s="287" t="s">
        <v>98</v>
      </c>
      <c r="D107" s="288" t="s">
        <v>272</v>
      </c>
      <c r="E107" s="288" t="s">
        <v>476</v>
      </c>
      <c r="F107" s="290" t="s">
        <v>160</v>
      </c>
      <c r="G107" s="304">
        <v>213.7</v>
      </c>
      <c r="H107" s="14"/>
      <c r="I107" s="14"/>
      <c r="J107" s="19">
        <f>SUM('ведомствен.2015'!G122)</f>
        <v>213.7</v>
      </c>
    </row>
    <row r="108" spans="1:9" s="19" customFormat="1" ht="28.5">
      <c r="A108" s="158" t="s">
        <v>538</v>
      </c>
      <c r="B108" s="314"/>
      <c r="C108" s="287" t="s">
        <v>98</v>
      </c>
      <c r="D108" s="288" t="s">
        <v>272</v>
      </c>
      <c r="E108" s="288" t="s">
        <v>483</v>
      </c>
      <c r="F108" s="290"/>
      <c r="G108" s="304">
        <f>SUM(G110+G112)</f>
        <v>3400.1</v>
      </c>
      <c r="H108" s="14">
        <f>SUM(H109)</f>
        <v>0</v>
      </c>
      <c r="I108" s="14" t="e">
        <f>SUM(H108/G114*100)</f>
        <v>#DIV/0!</v>
      </c>
    </row>
    <row r="109" spans="1:10" ht="28.5">
      <c r="A109" s="158" t="s">
        <v>539</v>
      </c>
      <c r="B109" s="314"/>
      <c r="C109" s="287" t="s">
        <v>98</v>
      </c>
      <c r="D109" s="288" t="s">
        <v>272</v>
      </c>
      <c r="E109" s="288" t="s">
        <v>484</v>
      </c>
      <c r="F109" s="290"/>
      <c r="G109" s="304">
        <f>SUM(G110)</f>
        <v>1400.1</v>
      </c>
      <c r="H109" s="14"/>
      <c r="I109" s="14" t="e">
        <f>SUM(H109/G115*100)</f>
        <v>#DIV/0!</v>
      </c>
      <c r="J109"/>
    </row>
    <row r="110" spans="1:10" ht="28.5">
      <c r="A110" s="187" t="s">
        <v>697</v>
      </c>
      <c r="B110" s="314"/>
      <c r="C110" s="287" t="s">
        <v>98</v>
      </c>
      <c r="D110" s="288" t="s">
        <v>272</v>
      </c>
      <c r="E110" s="288" t="s">
        <v>484</v>
      </c>
      <c r="F110" s="290" t="s">
        <v>112</v>
      </c>
      <c r="G110" s="304">
        <v>1400.1</v>
      </c>
      <c r="H110" s="14"/>
      <c r="I110" s="14"/>
      <c r="J110">
        <f>SUM('ведомствен.2015'!G125)</f>
        <v>1400.1</v>
      </c>
    </row>
    <row r="111" spans="1:10" ht="28.5">
      <c r="A111" s="158" t="s">
        <v>0</v>
      </c>
      <c r="B111" s="314"/>
      <c r="C111" s="287" t="s">
        <v>98</v>
      </c>
      <c r="D111" s="288" t="s">
        <v>272</v>
      </c>
      <c r="E111" s="288" t="s">
        <v>485</v>
      </c>
      <c r="F111" s="290"/>
      <c r="G111" s="304">
        <f>SUM(G112)</f>
        <v>2000</v>
      </c>
      <c r="H111" s="14"/>
      <c r="I111" s="14"/>
      <c r="J111"/>
    </row>
    <row r="112" spans="1:10" ht="30" customHeight="1">
      <c r="A112" s="187" t="s">
        <v>697</v>
      </c>
      <c r="B112" s="314"/>
      <c r="C112" s="287" t="s">
        <v>98</v>
      </c>
      <c r="D112" s="288" t="s">
        <v>272</v>
      </c>
      <c r="E112" s="288" t="s">
        <v>485</v>
      </c>
      <c r="F112" s="290" t="s">
        <v>112</v>
      </c>
      <c r="G112" s="304">
        <v>2000</v>
      </c>
      <c r="H112" s="14"/>
      <c r="I112" s="14"/>
      <c r="J112">
        <f>SUM('ведомствен.2015'!G127)</f>
        <v>2000</v>
      </c>
    </row>
    <row r="113" spans="1:10" ht="15" hidden="1">
      <c r="A113" s="158" t="s">
        <v>1</v>
      </c>
      <c r="B113" s="179"/>
      <c r="C113" s="74" t="s">
        <v>98</v>
      </c>
      <c r="D113" s="124" t="s">
        <v>272</v>
      </c>
      <c r="E113" s="124" t="s">
        <v>486</v>
      </c>
      <c r="F113" s="134"/>
      <c r="G113" s="304"/>
      <c r="H113" s="14"/>
      <c r="I113" s="14"/>
      <c r="J113"/>
    </row>
    <row r="114" spans="1:10" ht="28.5" hidden="1">
      <c r="A114" s="158" t="s">
        <v>2</v>
      </c>
      <c r="B114" s="179"/>
      <c r="C114" s="74" t="s">
        <v>98</v>
      </c>
      <c r="D114" s="124" t="s">
        <v>272</v>
      </c>
      <c r="E114" s="124" t="s">
        <v>487</v>
      </c>
      <c r="F114" s="134"/>
      <c r="G114" s="304"/>
      <c r="H114" s="14"/>
      <c r="I114" s="14"/>
      <c r="J114"/>
    </row>
    <row r="115" spans="1:10" ht="15" hidden="1">
      <c r="A115" s="158" t="s">
        <v>449</v>
      </c>
      <c r="B115" s="179"/>
      <c r="C115" s="74" t="s">
        <v>98</v>
      </c>
      <c r="D115" s="124" t="s">
        <v>272</v>
      </c>
      <c r="E115" s="124" t="s">
        <v>487</v>
      </c>
      <c r="F115" s="134" t="s">
        <v>112</v>
      </c>
      <c r="G115" s="304"/>
      <c r="H115" s="14">
        <f>SUM(H116+H119)</f>
        <v>0</v>
      </c>
      <c r="I115" s="14" t="e">
        <f>SUM(H115/#REF!*100)</f>
        <v>#REF!</v>
      </c>
      <c r="J115"/>
    </row>
    <row r="116" spans="1:10" ht="15" customHeight="1" hidden="1">
      <c r="A116" s="158" t="s">
        <v>464</v>
      </c>
      <c r="B116" s="179"/>
      <c r="C116" s="74" t="s">
        <v>98</v>
      </c>
      <c r="D116" s="124" t="s">
        <v>272</v>
      </c>
      <c r="E116" s="124" t="s">
        <v>487</v>
      </c>
      <c r="F116" s="134" t="s">
        <v>465</v>
      </c>
      <c r="G116" s="304"/>
      <c r="H116" s="14">
        <f>SUM(H117)</f>
        <v>0</v>
      </c>
      <c r="I116" s="14" t="e">
        <f>SUM(H116/#REF!*100)</f>
        <v>#REF!</v>
      </c>
      <c r="J116"/>
    </row>
    <row r="117" spans="1:10" ht="15.75" customHeight="1" hidden="1">
      <c r="A117" s="158" t="s">
        <v>466</v>
      </c>
      <c r="B117" s="179"/>
      <c r="C117" s="74" t="s">
        <v>98</v>
      </c>
      <c r="D117" s="124" t="s">
        <v>272</v>
      </c>
      <c r="E117" s="124" t="s">
        <v>487</v>
      </c>
      <c r="F117" s="134" t="s">
        <v>467</v>
      </c>
      <c r="G117" s="304"/>
      <c r="H117" s="14">
        <f>SUM(H118)</f>
        <v>0</v>
      </c>
      <c r="I117" s="14" t="e">
        <f>SUM(H117/#REF!*100)</f>
        <v>#REF!</v>
      </c>
      <c r="J117"/>
    </row>
    <row r="118" spans="1:10" ht="15">
      <c r="A118" s="338" t="s">
        <v>497</v>
      </c>
      <c r="B118" s="179"/>
      <c r="C118" s="77" t="s">
        <v>98</v>
      </c>
      <c r="D118" s="122" t="s">
        <v>272</v>
      </c>
      <c r="E118" s="124" t="s">
        <v>121</v>
      </c>
      <c r="F118" s="291"/>
      <c r="G118" s="307">
        <f>SUM(G119)</f>
        <v>100</v>
      </c>
      <c r="H118" s="14"/>
      <c r="I118" s="14" t="e">
        <f>SUM(H118/#REF!*100)</f>
        <v>#REF!</v>
      </c>
      <c r="J118"/>
    </row>
    <row r="119" spans="1:10" ht="42.75">
      <c r="A119" s="158" t="s">
        <v>573</v>
      </c>
      <c r="B119" s="312"/>
      <c r="C119" s="77" t="s">
        <v>98</v>
      </c>
      <c r="D119" s="122" t="s">
        <v>272</v>
      </c>
      <c r="E119" s="124" t="s">
        <v>574</v>
      </c>
      <c r="F119" s="134"/>
      <c r="G119" s="180">
        <f>SUM(G120)</f>
        <v>100</v>
      </c>
      <c r="H119" s="14">
        <f>SUM(H120)</f>
        <v>0</v>
      </c>
      <c r="I119" s="14" t="e">
        <f>SUM(H119/#REF!*100)</f>
        <v>#REF!</v>
      </c>
      <c r="J119"/>
    </row>
    <row r="120" spans="1:10" ht="28.5">
      <c r="A120" s="187" t="s">
        <v>697</v>
      </c>
      <c r="B120" s="312"/>
      <c r="C120" s="77" t="s">
        <v>98</v>
      </c>
      <c r="D120" s="122" t="s">
        <v>272</v>
      </c>
      <c r="E120" s="124" t="s">
        <v>574</v>
      </c>
      <c r="F120" s="134" t="s">
        <v>112</v>
      </c>
      <c r="G120" s="180">
        <v>100</v>
      </c>
      <c r="H120" s="14"/>
      <c r="I120" s="14" t="e">
        <f>SUM(H120/#REF!*100)</f>
        <v>#REF!</v>
      </c>
      <c r="J120">
        <f>SUM('ведомствен.2015'!G135)</f>
        <v>100</v>
      </c>
    </row>
    <row r="121" spans="1:12" ht="15">
      <c r="A121" s="335" t="s">
        <v>113</v>
      </c>
      <c r="B121" s="315"/>
      <c r="C121" s="136" t="s">
        <v>114</v>
      </c>
      <c r="D121" s="125"/>
      <c r="E121" s="125"/>
      <c r="F121" s="138"/>
      <c r="G121" s="305">
        <f>SUM(G122+G134+G141)</f>
        <v>104818.80000000002</v>
      </c>
      <c r="H121" s="14"/>
      <c r="I121" s="14">
        <f>SUM(H121/G130*100)</f>
        <v>0</v>
      </c>
      <c r="J121"/>
      <c r="K121">
        <f>SUM(J122:J166)</f>
        <v>104818.8</v>
      </c>
      <c r="L121">
        <f>SUM('ведомствен.2015'!G138+'ведомствен.2015'!G361+'ведомствен.2015'!G338)</f>
        <v>104818.8</v>
      </c>
    </row>
    <row r="122" spans="1:10" ht="15">
      <c r="A122" s="158" t="s">
        <v>115</v>
      </c>
      <c r="B122" s="314"/>
      <c r="C122" s="287" t="s">
        <v>114</v>
      </c>
      <c r="D122" s="288" t="s">
        <v>116</v>
      </c>
      <c r="E122" s="288"/>
      <c r="F122" s="290"/>
      <c r="G122" s="304">
        <f>G123</f>
        <v>34964.4</v>
      </c>
      <c r="H122" s="14">
        <v>870.4</v>
      </c>
      <c r="I122" s="14" t="e">
        <f>SUM(H122/G132*100)</f>
        <v>#DIV/0!</v>
      </c>
      <c r="J122"/>
    </row>
    <row r="123" spans="1:10" ht="28.5">
      <c r="A123" s="158" t="s">
        <v>488</v>
      </c>
      <c r="B123" s="314"/>
      <c r="C123" s="287" t="s">
        <v>114</v>
      </c>
      <c r="D123" s="288" t="s">
        <v>116</v>
      </c>
      <c r="E123" s="288" t="s">
        <v>489</v>
      </c>
      <c r="F123" s="290"/>
      <c r="G123" s="304">
        <f>G124+G128</f>
        <v>34964.4</v>
      </c>
      <c r="H123" s="14">
        <f>SUM(H130)</f>
        <v>30706.4</v>
      </c>
      <c r="I123" s="14" t="e">
        <f>SUM(H123/G133*100)</f>
        <v>#DIV/0!</v>
      </c>
      <c r="J123"/>
    </row>
    <row r="124" spans="1:10" ht="15">
      <c r="A124" s="158" t="s">
        <v>490</v>
      </c>
      <c r="B124" s="314"/>
      <c r="C124" s="287" t="s">
        <v>114</v>
      </c>
      <c r="D124" s="288" t="s">
        <v>116</v>
      </c>
      <c r="E124" s="288" t="s">
        <v>491</v>
      </c>
      <c r="F124" s="290"/>
      <c r="G124" s="304">
        <f>G125</f>
        <v>13246.4</v>
      </c>
      <c r="H124" s="14"/>
      <c r="I124" s="14"/>
      <c r="J124"/>
    </row>
    <row r="125" spans="1:10" ht="15">
      <c r="A125" s="158" t="s">
        <v>6</v>
      </c>
      <c r="B125" s="314"/>
      <c r="C125" s="287" t="s">
        <v>114</v>
      </c>
      <c r="D125" s="288" t="s">
        <v>116</v>
      </c>
      <c r="E125" s="288" t="s">
        <v>492</v>
      </c>
      <c r="F125" s="290"/>
      <c r="G125" s="304">
        <f>SUM(G126)</f>
        <v>13246.4</v>
      </c>
      <c r="H125" s="14"/>
      <c r="I125" s="14"/>
      <c r="J125"/>
    </row>
    <row r="126" spans="1:10" ht="15">
      <c r="A126" s="158" t="s">
        <v>450</v>
      </c>
      <c r="B126" s="314"/>
      <c r="C126" s="287" t="s">
        <v>114</v>
      </c>
      <c r="D126" s="288" t="s">
        <v>116</v>
      </c>
      <c r="E126" s="288" t="s">
        <v>492</v>
      </c>
      <c r="F126" s="290" t="s">
        <v>160</v>
      </c>
      <c r="G126" s="304">
        <v>13246.4</v>
      </c>
      <c r="H126" s="14"/>
      <c r="I126" s="14"/>
      <c r="J126">
        <f>SUM('ведомствен.2015'!G143)+'ведомствен.2015'!G366</f>
        <v>13246.4</v>
      </c>
    </row>
    <row r="127" spans="1:10" ht="42.75" hidden="1">
      <c r="A127" s="158" t="s">
        <v>493</v>
      </c>
      <c r="B127" s="314"/>
      <c r="C127" s="287" t="s">
        <v>114</v>
      </c>
      <c r="D127" s="288" t="s">
        <v>116</v>
      </c>
      <c r="E127" s="288" t="s">
        <v>492</v>
      </c>
      <c r="F127" s="290" t="s">
        <v>186</v>
      </c>
      <c r="G127" s="304"/>
      <c r="H127" s="14"/>
      <c r="I127" s="14"/>
      <c r="J127"/>
    </row>
    <row r="128" spans="1:10" ht="15">
      <c r="A128" s="158" t="s">
        <v>117</v>
      </c>
      <c r="B128" s="314"/>
      <c r="C128" s="287" t="s">
        <v>114</v>
      </c>
      <c r="D128" s="288" t="s">
        <v>116</v>
      </c>
      <c r="E128" s="288" t="s">
        <v>373</v>
      </c>
      <c r="F128" s="290"/>
      <c r="G128" s="304">
        <f>G129</f>
        <v>21718</v>
      </c>
      <c r="H128" s="14"/>
      <c r="I128" s="14"/>
      <c r="J128"/>
    </row>
    <row r="129" spans="1:10" ht="28.5">
      <c r="A129" s="158" t="s">
        <v>14</v>
      </c>
      <c r="B129" s="314"/>
      <c r="C129" s="287" t="s">
        <v>114</v>
      </c>
      <c r="D129" s="288" t="s">
        <v>116</v>
      </c>
      <c r="E129" s="288" t="s">
        <v>71</v>
      </c>
      <c r="F129" s="290"/>
      <c r="G129" s="304">
        <f>SUM(G130)</f>
        <v>21718</v>
      </c>
      <c r="H129" s="14"/>
      <c r="I129" s="14"/>
      <c r="J129"/>
    </row>
    <row r="130" spans="1:10" ht="28.5">
      <c r="A130" s="158" t="s">
        <v>183</v>
      </c>
      <c r="B130" s="314"/>
      <c r="C130" s="287" t="s">
        <v>114</v>
      </c>
      <c r="D130" s="288" t="s">
        <v>116</v>
      </c>
      <c r="E130" s="288" t="s">
        <v>72</v>
      </c>
      <c r="F130" s="290"/>
      <c r="G130" s="304">
        <f>SUM(G131)</f>
        <v>21718</v>
      </c>
      <c r="H130" s="14">
        <f>SUM(H131)+H132</f>
        <v>30706.4</v>
      </c>
      <c r="I130" s="14">
        <f>SUM(H130/G136*100)</f>
        <v>83.77823856815453</v>
      </c>
      <c r="J130"/>
    </row>
    <row r="131" spans="1:10" ht="28.5">
      <c r="A131" s="158" t="s">
        <v>470</v>
      </c>
      <c r="B131" s="314"/>
      <c r="C131" s="287" t="s">
        <v>114</v>
      </c>
      <c r="D131" s="288" t="s">
        <v>116</v>
      </c>
      <c r="E131" s="288" t="s">
        <v>72</v>
      </c>
      <c r="F131" s="290" t="s">
        <v>461</v>
      </c>
      <c r="G131" s="304">
        <v>21718</v>
      </c>
      <c r="H131" s="14">
        <v>30706.4</v>
      </c>
      <c r="I131" s="14">
        <f>SUM(H131/G137*100)</f>
        <v>189.50707571914364</v>
      </c>
      <c r="J131" s="36">
        <f>SUM('ведомствен.2015'!G148)</f>
        <v>21718</v>
      </c>
    </row>
    <row r="132" spans="1:10" ht="15" hidden="1">
      <c r="A132" s="158" t="s">
        <v>471</v>
      </c>
      <c r="B132" s="314"/>
      <c r="C132" s="287" t="s">
        <v>114</v>
      </c>
      <c r="D132" s="288" t="s">
        <v>116</v>
      </c>
      <c r="E132" s="288" t="s">
        <v>72</v>
      </c>
      <c r="F132" s="290" t="s">
        <v>472</v>
      </c>
      <c r="G132" s="304"/>
      <c r="H132" s="14">
        <f>SUM(H133)</f>
        <v>0</v>
      </c>
      <c r="I132" s="14">
        <f>SUM(H132/G139*100)</f>
        <v>0</v>
      </c>
      <c r="J132"/>
    </row>
    <row r="133" spans="1:10" ht="42.75" hidden="1">
      <c r="A133" s="337" t="s">
        <v>473</v>
      </c>
      <c r="B133" s="314"/>
      <c r="C133" s="287" t="s">
        <v>114</v>
      </c>
      <c r="D133" s="288" t="s">
        <v>116</v>
      </c>
      <c r="E133" s="288" t="s">
        <v>72</v>
      </c>
      <c r="F133" s="290" t="s">
        <v>53</v>
      </c>
      <c r="G133" s="304"/>
      <c r="H133" s="14"/>
      <c r="I133" s="14">
        <f>SUM(H133/G140*100)</f>
        <v>0</v>
      </c>
      <c r="J133"/>
    </row>
    <row r="134" spans="1:10" ht="15">
      <c r="A134" s="158" t="s">
        <v>137</v>
      </c>
      <c r="B134" s="314"/>
      <c r="C134" s="287" t="s">
        <v>114</v>
      </c>
      <c r="D134" s="288" t="s">
        <v>272</v>
      </c>
      <c r="E134" s="288"/>
      <c r="F134" s="290"/>
      <c r="G134" s="304">
        <f>G135+G137</f>
        <v>52855.3</v>
      </c>
      <c r="H134" s="14"/>
      <c r="I134" s="14"/>
      <c r="J134"/>
    </row>
    <row r="135" spans="1:9" s="66" customFormat="1" ht="42.75">
      <c r="A135" s="158" t="s">
        <v>33</v>
      </c>
      <c r="B135" s="314"/>
      <c r="C135" s="287" t="s">
        <v>114</v>
      </c>
      <c r="D135" s="288" t="s">
        <v>272</v>
      </c>
      <c r="E135" s="288" t="s">
        <v>34</v>
      </c>
      <c r="F135" s="290"/>
      <c r="G135" s="304">
        <f>G136</f>
        <v>36652</v>
      </c>
      <c r="H135" s="18"/>
      <c r="I135" s="18"/>
    </row>
    <row r="136" spans="1:10" s="66" customFormat="1" ht="28.5">
      <c r="A136" s="187" t="s">
        <v>697</v>
      </c>
      <c r="B136" s="314"/>
      <c r="C136" s="287" t="s">
        <v>114</v>
      </c>
      <c r="D136" s="288" t="s">
        <v>272</v>
      </c>
      <c r="E136" s="288" t="s">
        <v>34</v>
      </c>
      <c r="F136" s="290" t="s">
        <v>112</v>
      </c>
      <c r="G136" s="304">
        <v>36652</v>
      </c>
      <c r="H136" s="18"/>
      <c r="I136" s="18"/>
      <c r="J136" s="36">
        <f>SUM('ведомствен.2015'!G153)</f>
        <v>36652</v>
      </c>
    </row>
    <row r="137" spans="1:9" s="2" customFormat="1" ht="28.5">
      <c r="A137" s="149" t="s">
        <v>726</v>
      </c>
      <c r="B137" s="398"/>
      <c r="C137" s="221" t="s">
        <v>114</v>
      </c>
      <c r="D137" s="220" t="s">
        <v>272</v>
      </c>
      <c r="E137" s="220" t="s">
        <v>727</v>
      </c>
      <c r="F137" s="247"/>
      <c r="G137" s="171">
        <f>SUM(G138)</f>
        <v>16203.3</v>
      </c>
      <c r="H137" s="18"/>
      <c r="I137" s="18"/>
    </row>
    <row r="138" spans="1:9" s="2" customFormat="1" ht="85.5">
      <c r="A138" s="149" t="s">
        <v>728</v>
      </c>
      <c r="B138" s="398"/>
      <c r="C138" s="221" t="s">
        <v>114</v>
      </c>
      <c r="D138" s="220" t="s">
        <v>272</v>
      </c>
      <c r="E138" s="220" t="s">
        <v>729</v>
      </c>
      <c r="F138" s="247"/>
      <c r="G138" s="171">
        <f>SUM(G139)</f>
        <v>16203.3</v>
      </c>
      <c r="H138" s="18"/>
      <c r="I138" s="18"/>
    </row>
    <row r="139" spans="1:9" s="70" customFormat="1" ht="28.5">
      <c r="A139" s="149" t="s">
        <v>730</v>
      </c>
      <c r="B139" s="398"/>
      <c r="C139" s="221" t="s">
        <v>114</v>
      </c>
      <c r="D139" s="220" t="s">
        <v>272</v>
      </c>
      <c r="E139" s="220" t="s">
        <v>731</v>
      </c>
      <c r="F139" s="247"/>
      <c r="G139" s="171">
        <f>SUM(G140)</f>
        <v>16203.3</v>
      </c>
      <c r="H139" s="69"/>
      <c r="I139" s="69"/>
    </row>
    <row r="140" spans="1:10" s="15" customFormat="1" ht="28.5">
      <c r="A140" s="187" t="s">
        <v>697</v>
      </c>
      <c r="B140" s="398"/>
      <c r="C140" s="221" t="s">
        <v>114</v>
      </c>
      <c r="D140" s="220" t="s">
        <v>272</v>
      </c>
      <c r="E140" s="220" t="s">
        <v>731</v>
      </c>
      <c r="F140" s="247" t="s">
        <v>112</v>
      </c>
      <c r="G140" s="171">
        <v>16203.3</v>
      </c>
      <c r="H140" s="14"/>
      <c r="I140" s="14"/>
      <c r="J140" s="15">
        <f>SUM('ведомствен.2015'!G157)</f>
        <v>16203.3</v>
      </c>
    </row>
    <row r="141" spans="1:9" s="15" customFormat="1" ht="15">
      <c r="A141" s="158" t="s">
        <v>374</v>
      </c>
      <c r="B141" s="314"/>
      <c r="C141" s="287" t="s">
        <v>114</v>
      </c>
      <c r="D141" s="288" t="s">
        <v>364</v>
      </c>
      <c r="E141" s="288"/>
      <c r="F141" s="290"/>
      <c r="G141" s="304">
        <f>SUM(G142+G156+G162)+G160</f>
        <v>16999.1</v>
      </c>
      <c r="H141" s="14"/>
      <c r="I141" s="14"/>
    </row>
    <row r="142" spans="1:9" s="15" customFormat="1" ht="28.5">
      <c r="A142" s="158" t="s">
        <v>488</v>
      </c>
      <c r="B142" s="314"/>
      <c r="C142" s="287" t="s">
        <v>114</v>
      </c>
      <c r="D142" s="288" t="s">
        <v>364</v>
      </c>
      <c r="E142" s="288" t="s">
        <v>489</v>
      </c>
      <c r="F142" s="290"/>
      <c r="G142" s="304">
        <f>SUM(G147)+G143</f>
        <v>4068.4</v>
      </c>
      <c r="H142" s="14"/>
      <c r="I142" s="14"/>
    </row>
    <row r="143" spans="1:9" s="15" customFormat="1" ht="15">
      <c r="A143" s="149" t="s">
        <v>667</v>
      </c>
      <c r="B143" s="398"/>
      <c r="C143" s="221" t="s">
        <v>114</v>
      </c>
      <c r="D143" s="220" t="s">
        <v>364</v>
      </c>
      <c r="E143" s="220" t="s">
        <v>668</v>
      </c>
      <c r="F143" s="247"/>
      <c r="G143" s="171">
        <f>SUM(G144)</f>
        <v>439.6</v>
      </c>
      <c r="H143" s="14"/>
      <c r="I143" s="14"/>
    </row>
    <row r="144" spans="1:9" s="15" customFormat="1" ht="28.5">
      <c r="A144" s="149" t="s">
        <v>14</v>
      </c>
      <c r="B144" s="398"/>
      <c r="C144" s="221" t="s">
        <v>114</v>
      </c>
      <c r="D144" s="220" t="s">
        <v>364</v>
      </c>
      <c r="E144" s="220" t="s">
        <v>669</v>
      </c>
      <c r="F144" s="247"/>
      <c r="G144" s="171">
        <f>SUM(G145)</f>
        <v>439.6</v>
      </c>
      <c r="H144" s="14"/>
      <c r="I144" s="14"/>
    </row>
    <row r="145" spans="1:9" s="15" customFormat="1" ht="28.5">
      <c r="A145" s="149" t="s">
        <v>183</v>
      </c>
      <c r="B145" s="398"/>
      <c r="C145" s="221" t="s">
        <v>114</v>
      </c>
      <c r="D145" s="220" t="s">
        <v>364</v>
      </c>
      <c r="E145" s="220" t="s">
        <v>670</v>
      </c>
      <c r="F145" s="247"/>
      <c r="G145" s="171">
        <f>SUM(G146)</f>
        <v>439.6</v>
      </c>
      <c r="H145" s="14"/>
      <c r="I145" s="14"/>
    </row>
    <row r="146" spans="1:10" s="15" customFormat="1" ht="28.5">
      <c r="A146" s="149" t="s">
        <v>470</v>
      </c>
      <c r="B146" s="398"/>
      <c r="C146" s="221" t="s">
        <v>114</v>
      </c>
      <c r="D146" s="220" t="s">
        <v>364</v>
      </c>
      <c r="E146" s="220" t="s">
        <v>670</v>
      </c>
      <c r="F146" s="247" t="s">
        <v>461</v>
      </c>
      <c r="G146" s="171">
        <v>439.6</v>
      </c>
      <c r="H146" s="14"/>
      <c r="I146" s="14"/>
      <c r="J146" s="15">
        <f>SUM('ведомствен.2015'!G163)</f>
        <v>439.6</v>
      </c>
    </row>
    <row r="147" spans="1:9" s="15" customFormat="1" ht="18.75" customHeight="1">
      <c r="A147" s="158" t="s">
        <v>379</v>
      </c>
      <c r="B147" s="314"/>
      <c r="C147" s="287" t="s">
        <v>114</v>
      </c>
      <c r="D147" s="288" t="s">
        <v>364</v>
      </c>
      <c r="E147" s="288" t="s">
        <v>494</v>
      </c>
      <c r="F147" s="290"/>
      <c r="G147" s="304">
        <f>SUM(G148,G152)</f>
        <v>3628.8</v>
      </c>
      <c r="H147" s="14"/>
      <c r="I147" s="14"/>
    </row>
    <row r="148" spans="1:9" s="70" customFormat="1" ht="15" hidden="1">
      <c r="A148" s="158" t="s">
        <v>499</v>
      </c>
      <c r="B148" s="314"/>
      <c r="C148" s="287" t="s">
        <v>114</v>
      </c>
      <c r="D148" s="288" t="s">
        <v>364</v>
      </c>
      <c r="E148" s="124" t="s">
        <v>495</v>
      </c>
      <c r="F148" s="290"/>
      <c r="G148" s="304">
        <f>SUM(G149)</f>
        <v>0</v>
      </c>
      <c r="H148" s="69"/>
      <c r="I148" s="69"/>
    </row>
    <row r="149" spans="1:10" s="70" customFormat="1" ht="18.75" customHeight="1" hidden="1">
      <c r="A149" s="158" t="s">
        <v>449</v>
      </c>
      <c r="B149" s="314"/>
      <c r="C149" s="287" t="s">
        <v>114</v>
      </c>
      <c r="D149" s="288" t="s">
        <v>364</v>
      </c>
      <c r="E149" s="124" t="s">
        <v>495</v>
      </c>
      <c r="F149" s="290" t="s">
        <v>112</v>
      </c>
      <c r="G149" s="304"/>
      <c r="H149" s="69"/>
      <c r="I149" s="69"/>
      <c r="J149" s="36">
        <f>SUM('ведомствен.2015'!G166)</f>
        <v>0</v>
      </c>
    </row>
    <row r="150" spans="1:9" s="70" customFormat="1" ht="28.5" hidden="1">
      <c r="A150" s="158" t="s">
        <v>464</v>
      </c>
      <c r="B150" s="314"/>
      <c r="C150" s="287" t="s">
        <v>114</v>
      </c>
      <c r="D150" s="288" t="s">
        <v>364</v>
      </c>
      <c r="E150" s="124" t="s">
        <v>495</v>
      </c>
      <c r="F150" s="290" t="s">
        <v>465</v>
      </c>
      <c r="G150" s="304"/>
      <c r="H150" s="69"/>
      <c r="I150" s="69"/>
    </row>
    <row r="151" spans="1:9" s="70" customFormat="1" ht="28.5">
      <c r="A151" s="158" t="s">
        <v>14</v>
      </c>
      <c r="B151" s="314"/>
      <c r="C151" s="287" t="s">
        <v>114</v>
      </c>
      <c r="D151" s="288" t="s">
        <v>364</v>
      </c>
      <c r="E151" s="288" t="s">
        <v>500</v>
      </c>
      <c r="F151" s="290"/>
      <c r="G151" s="304">
        <f>SUM(G152)</f>
        <v>3628.8</v>
      </c>
      <c r="H151" s="69"/>
      <c r="I151" s="69"/>
    </row>
    <row r="152" spans="1:9" s="70" customFormat="1" ht="28.5">
      <c r="A152" s="158" t="s">
        <v>183</v>
      </c>
      <c r="B152" s="314"/>
      <c r="C152" s="287" t="s">
        <v>114</v>
      </c>
      <c r="D152" s="288" t="s">
        <v>364</v>
      </c>
      <c r="E152" s="288" t="s">
        <v>496</v>
      </c>
      <c r="F152" s="290"/>
      <c r="G152" s="304">
        <f>G153</f>
        <v>3628.8</v>
      </c>
      <c r="H152" s="69"/>
      <c r="I152" s="69"/>
    </row>
    <row r="153" spans="1:10" s="70" customFormat="1" ht="28.5">
      <c r="A153" s="158" t="s">
        <v>470</v>
      </c>
      <c r="B153" s="314"/>
      <c r="C153" s="287" t="s">
        <v>114</v>
      </c>
      <c r="D153" s="288" t="s">
        <v>364</v>
      </c>
      <c r="E153" s="288" t="s">
        <v>496</v>
      </c>
      <c r="F153" s="290" t="s">
        <v>461</v>
      </c>
      <c r="G153" s="304">
        <v>3628.8</v>
      </c>
      <c r="H153" s="69"/>
      <c r="I153" s="69"/>
      <c r="J153" s="36">
        <f>SUM('ведомствен.2015'!G170)</f>
        <v>3628.8</v>
      </c>
    </row>
    <row r="154" spans="1:9" s="70" customFormat="1" ht="15" hidden="1">
      <c r="A154" s="158" t="s">
        <v>471</v>
      </c>
      <c r="B154" s="314"/>
      <c r="C154" s="287" t="s">
        <v>114</v>
      </c>
      <c r="D154" s="288" t="s">
        <v>364</v>
      </c>
      <c r="E154" s="288" t="s">
        <v>496</v>
      </c>
      <c r="F154" s="290" t="s">
        <v>472</v>
      </c>
      <c r="G154" s="304"/>
      <c r="H154" s="69"/>
      <c r="I154" s="69"/>
    </row>
    <row r="155" spans="1:9" s="70" customFormat="1" ht="42.75" hidden="1">
      <c r="A155" s="337" t="s">
        <v>473</v>
      </c>
      <c r="B155" s="316"/>
      <c r="C155" s="279" t="s">
        <v>114</v>
      </c>
      <c r="D155" s="280" t="s">
        <v>364</v>
      </c>
      <c r="E155" s="280" t="s">
        <v>496</v>
      </c>
      <c r="F155" s="281" t="s">
        <v>53</v>
      </c>
      <c r="G155" s="306"/>
      <c r="H155" s="69"/>
      <c r="I155" s="69"/>
    </row>
    <row r="156" spans="1:9" s="70" customFormat="1" ht="28.5">
      <c r="A156" s="158" t="s">
        <v>376</v>
      </c>
      <c r="B156" s="312"/>
      <c r="C156" s="287" t="s">
        <v>114</v>
      </c>
      <c r="D156" s="288" t="s">
        <v>364</v>
      </c>
      <c r="E156" s="124" t="s">
        <v>377</v>
      </c>
      <c r="F156" s="134"/>
      <c r="G156" s="180">
        <f>SUM(G157)</f>
        <v>6277.2</v>
      </c>
      <c r="H156" s="69"/>
      <c r="I156" s="69"/>
    </row>
    <row r="157" spans="1:9" s="70" customFormat="1" ht="28.5">
      <c r="A157" s="158" t="s">
        <v>14</v>
      </c>
      <c r="B157" s="314"/>
      <c r="C157" s="287" t="s">
        <v>114</v>
      </c>
      <c r="D157" s="288" t="s">
        <v>364</v>
      </c>
      <c r="E157" s="288" t="s">
        <v>548</v>
      </c>
      <c r="F157" s="290"/>
      <c r="G157" s="304">
        <f>SUM(G158)</f>
        <v>6277.2</v>
      </c>
      <c r="H157" s="69"/>
      <c r="I157" s="69"/>
    </row>
    <row r="158" spans="1:9" s="70" customFormat="1" ht="28.5">
      <c r="A158" s="158" t="s">
        <v>183</v>
      </c>
      <c r="B158" s="314"/>
      <c r="C158" s="287" t="s">
        <v>114</v>
      </c>
      <c r="D158" s="288" t="s">
        <v>364</v>
      </c>
      <c r="E158" s="288" t="s">
        <v>549</v>
      </c>
      <c r="F158" s="290"/>
      <c r="G158" s="304">
        <f>G159</f>
        <v>6277.2</v>
      </c>
      <c r="H158" s="69"/>
      <c r="I158" s="69"/>
    </row>
    <row r="159" spans="1:10" s="70" customFormat="1" ht="28.5">
      <c r="A159" s="158" t="s">
        <v>470</v>
      </c>
      <c r="B159" s="314"/>
      <c r="C159" s="287" t="s">
        <v>114</v>
      </c>
      <c r="D159" s="288" t="s">
        <v>364</v>
      </c>
      <c r="E159" s="288" t="s">
        <v>549</v>
      </c>
      <c r="F159" s="290" t="s">
        <v>461</v>
      </c>
      <c r="G159" s="304">
        <v>6277.2</v>
      </c>
      <c r="H159" s="69"/>
      <c r="I159" s="69"/>
      <c r="J159" s="70">
        <f>SUM('ведомствен.2015'!G371)</f>
        <v>6277.2</v>
      </c>
    </row>
    <row r="160" spans="1:9" s="70" customFormat="1" ht="15" hidden="1">
      <c r="A160" s="333" t="s">
        <v>459</v>
      </c>
      <c r="B160" s="312"/>
      <c r="C160" s="287" t="s">
        <v>114</v>
      </c>
      <c r="D160" s="288" t="s">
        <v>364</v>
      </c>
      <c r="E160" s="75" t="s">
        <v>460</v>
      </c>
      <c r="F160" s="133"/>
      <c r="G160" s="180">
        <f>SUM(G161)</f>
        <v>0</v>
      </c>
      <c r="H160" s="69"/>
      <c r="I160" s="69"/>
    </row>
    <row r="161" spans="1:10" s="70" customFormat="1" ht="15" hidden="1">
      <c r="A161" s="332" t="s">
        <v>450</v>
      </c>
      <c r="B161" s="312"/>
      <c r="C161" s="287" t="s">
        <v>114</v>
      </c>
      <c r="D161" s="288" t="s">
        <v>364</v>
      </c>
      <c r="E161" s="75" t="s">
        <v>460</v>
      </c>
      <c r="F161" s="133" t="s">
        <v>160</v>
      </c>
      <c r="G161" s="180"/>
      <c r="H161" s="69"/>
      <c r="I161" s="69"/>
      <c r="J161" s="70">
        <f>SUM('ведомствен.2015'!G341)</f>
        <v>0</v>
      </c>
    </row>
    <row r="162" spans="1:9" s="70" customFormat="1" ht="16.5" customHeight="1">
      <c r="A162" s="334" t="s">
        <v>497</v>
      </c>
      <c r="B162" s="316"/>
      <c r="C162" s="279" t="s">
        <v>114</v>
      </c>
      <c r="D162" s="280" t="s">
        <v>364</v>
      </c>
      <c r="E162" s="280" t="s">
        <v>121</v>
      </c>
      <c r="F162" s="281"/>
      <c r="G162" s="306">
        <f>G165+G163</f>
        <v>6653.5</v>
      </c>
      <c r="H162" s="69"/>
      <c r="I162" s="69"/>
    </row>
    <row r="163" spans="1:9" s="70" customFormat="1" ht="33" customHeight="1">
      <c r="A163" s="389" t="s">
        <v>724</v>
      </c>
      <c r="B163" s="399"/>
      <c r="C163" s="279" t="s">
        <v>114</v>
      </c>
      <c r="D163" s="280" t="s">
        <v>364</v>
      </c>
      <c r="E163" s="280" t="s">
        <v>725</v>
      </c>
      <c r="F163" s="281"/>
      <c r="G163" s="390">
        <f>SUM(G164)</f>
        <v>1000</v>
      </c>
      <c r="H163" s="69"/>
      <c r="I163" s="69"/>
    </row>
    <row r="164" spans="1:10" s="70" customFormat="1" ht="16.5" customHeight="1">
      <c r="A164" s="391" t="s">
        <v>450</v>
      </c>
      <c r="B164" s="399"/>
      <c r="C164" s="279" t="s">
        <v>114</v>
      </c>
      <c r="D164" s="280" t="s">
        <v>364</v>
      </c>
      <c r="E164" s="280" t="s">
        <v>725</v>
      </c>
      <c r="F164" s="290" t="s">
        <v>160</v>
      </c>
      <c r="G164" s="390">
        <v>1000</v>
      </c>
      <c r="H164" s="69"/>
      <c r="I164" s="69"/>
      <c r="J164" s="70">
        <f>SUM('ведомствен.2015'!G177)</f>
        <v>1000</v>
      </c>
    </row>
    <row r="165" spans="1:9" s="70" customFormat="1" ht="28.5">
      <c r="A165" s="334" t="s">
        <v>751</v>
      </c>
      <c r="B165" s="316"/>
      <c r="C165" s="279" t="s">
        <v>114</v>
      </c>
      <c r="D165" s="280" t="s">
        <v>364</v>
      </c>
      <c r="E165" s="280" t="s">
        <v>49</v>
      </c>
      <c r="F165" s="281"/>
      <c r="G165" s="306">
        <f>SUM(G166)</f>
        <v>5653.5</v>
      </c>
      <c r="H165" s="69"/>
      <c r="I165" s="69"/>
    </row>
    <row r="166" spans="1:10" s="70" customFormat="1" ht="28.5">
      <c r="A166" s="337" t="s">
        <v>470</v>
      </c>
      <c r="B166" s="316"/>
      <c r="C166" s="279" t="s">
        <v>114</v>
      </c>
      <c r="D166" s="280" t="s">
        <v>364</v>
      </c>
      <c r="E166" s="280" t="s">
        <v>49</v>
      </c>
      <c r="F166" s="281" t="s">
        <v>461</v>
      </c>
      <c r="G166" s="306">
        <v>5653.5</v>
      </c>
      <c r="H166" s="69"/>
      <c r="I166" s="69"/>
      <c r="J166" s="70">
        <f>SUM('ведомствен.2015'!G179)</f>
        <v>5653.5</v>
      </c>
    </row>
    <row r="167" spans="1:12" ht="15">
      <c r="A167" s="339" t="s">
        <v>380</v>
      </c>
      <c r="B167" s="318"/>
      <c r="C167" s="139" t="s">
        <v>123</v>
      </c>
      <c r="D167" s="126"/>
      <c r="E167" s="126"/>
      <c r="F167" s="140"/>
      <c r="G167" s="305">
        <f>SUM(G168+G220+G233+G248)</f>
        <v>226796.69999999998</v>
      </c>
      <c r="H167" s="14">
        <f>SUM(H168)</f>
        <v>0</v>
      </c>
      <c r="I167" s="14">
        <f aca="true" t="shared" si="3" ref="I167:I190">SUM(H167/G173*100)</f>
        <v>0</v>
      </c>
      <c r="J167"/>
      <c r="K167">
        <f>SUM(J168:J260)</f>
        <v>226796.7</v>
      </c>
      <c r="L167">
        <f>SUM('ведомствен.2015'!G180)+'ведомствен.2015'!G342</f>
        <v>226796.69999999998</v>
      </c>
    </row>
    <row r="168" spans="1:10" ht="15">
      <c r="A168" s="332" t="s">
        <v>381</v>
      </c>
      <c r="B168" s="312"/>
      <c r="C168" s="63" t="s">
        <v>123</v>
      </c>
      <c r="D168" s="75" t="s">
        <v>414</v>
      </c>
      <c r="E168" s="75"/>
      <c r="F168" s="133"/>
      <c r="G168" s="180">
        <f>SUM(G169)</f>
        <v>102899.09999999999</v>
      </c>
      <c r="H168" s="14"/>
      <c r="I168" s="14">
        <f t="shared" si="3"/>
        <v>0</v>
      </c>
      <c r="J168"/>
    </row>
    <row r="169" spans="1:10" ht="57">
      <c r="A169" s="149" t="s">
        <v>678</v>
      </c>
      <c r="B169" s="200"/>
      <c r="C169" s="188" t="s">
        <v>123</v>
      </c>
      <c r="D169" s="189" t="s">
        <v>414</v>
      </c>
      <c r="E169" s="189" t="s">
        <v>382</v>
      </c>
      <c r="F169" s="241"/>
      <c r="G169" s="161">
        <f>SUM(G170+G177)</f>
        <v>102899.09999999999</v>
      </c>
      <c r="H169" s="14">
        <f>SUM(H170)</f>
        <v>4761.6</v>
      </c>
      <c r="I169" s="14" t="e">
        <f t="shared" si="3"/>
        <v>#DIV/0!</v>
      </c>
      <c r="J169"/>
    </row>
    <row r="170" spans="1:10" ht="85.5">
      <c r="A170" s="149" t="s">
        <v>679</v>
      </c>
      <c r="B170" s="200"/>
      <c r="C170" s="188" t="s">
        <v>123</v>
      </c>
      <c r="D170" s="189" t="s">
        <v>414</v>
      </c>
      <c r="E170" s="189" t="s">
        <v>680</v>
      </c>
      <c r="F170" s="241"/>
      <c r="G170" s="161">
        <f>SUM(G171+G173+G175)</f>
        <v>102899.09999999999</v>
      </c>
      <c r="H170" s="14">
        <v>4761.6</v>
      </c>
      <c r="I170" s="14" t="e">
        <f t="shared" si="3"/>
        <v>#DIV/0!</v>
      </c>
      <c r="J170"/>
    </row>
    <row r="171" spans="1:10" ht="28.5">
      <c r="A171" s="149" t="s">
        <v>681</v>
      </c>
      <c r="B171" s="200"/>
      <c r="C171" s="188" t="s">
        <v>123</v>
      </c>
      <c r="D171" s="189" t="s">
        <v>414</v>
      </c>
      <c r="E171" s="189" t="s">
        <v>682</v>
      </c>
      <c r="F171" s="241"/>
      <c r="G171" s="161">
        <f>SUM(G172)</f>
        <v>34985.7</v>
      </c>
      <c r="H171" s="14">
        <f>SUM(H172)+H182+H178</f>
        <v>3383.9</v>
      </c>
      <c r="I171" s="14" t="e">
        <f t="shared" si="3"/>
        <v>#DIV/0!</v>
      </c>
      <c r="J171"/>
    </row>
    <row r="172" spans="1:10" ht="28.5">
      <c r="A172" s="149" t="s">
        <v>698</v>
      </c>
      <c r="B172" s="200"/>
      <c r="C172" s="188" t="s">
        <v>123</v>
      </c>
      <c r="D172" s="189" t="s">
        <v>414</v>
      </c>
      <c r="E172" s="189" t="s">
        <v>682</v>
      </c>
      <c r="F172" s="241" t="s">
        <v>507</v>
      </c>
      <c r="G172" s="161">
        <v>34985.7</v>
      </c>
      <c r="H172" s="14">
        <f>SUM(H173+H174)</f>
        <v>1562</v>
      </c>
      <c r="I172" s="14" t="e">
        <f t="shared" si="3"/>
        <v>#DIV/0!</v>
      </c>
      <c r="J172">
        <f>SUM('ведомствен.2015'!G185)</f>
        <v>34985.7</v>
      </c>
    </row>
    <row r="173" spans="1:9" ht="57">
      <c r="A173" s="149" t="s">
        <v>683</v>
      </c>
      <c r="B173" s="200"/>
      <c r="C173" s="188" t="s">
        <v>123</v>
      </c>
      <c r="D173" s="189" t="s">
        <v>414</v>
      </c>
      <c r="E173" s="189" t="s">
        <v>684</v>
      </c>
      <c r="F173" s="241"/>
      <c r="G173" s="161">
        <f>SUM(G174)</f>
        <v>67913.4</v>
      </c>
      <c r="H173" s="14">
        <v>233.9</v>
      </c>
      <c r="I173" s="14" t="e">
        <f t="shared" si="3"/>
        <v>#DIV/0!</v>
      </c>
    </row>
    <row r="174" spans="1:10" ht="28.5">
      <c r="A174" s="149" t="s">
        <v>698</v>
      </c>
      <c r="B174" s="200"/>
      <c r="C174" s="188" t="s">
        <v>123</v>
      </c>
      <c r="D174" s="189" t="s">
        <v>414</v>
      </c>
      <c r="E174" s="189" t="s">
        <v>685</v>
      </c>
      <c r="F174" s="241" t="s">
        <v>507</v>
      </c>
      <c r="G174" s="161">
        <v>67913.4</v>
      </c>
      <c r="H174" s="14">
        <v>1328.1</v>
      </c>
      <c r="I174" s="14" t="e">
        <f t="shared" si="3"/>
        <v>#DIV/0!</v>
      </c>
      <c r="J174">
        <f>SUM('ведомствен.2015'!G187)</f>
        <v>67913.4</v>
      </c>
    </row>
    <row r="175" spans="1:10" ht="71.25" hidden="1">
      <c r="A175" s="158" t="s">
        <v>228</v>
      </c>
      <c r="B175" s="312"/>
      <c r="C175" s="63" t="s">
        <v>123</v>
      </c>
      <c r="D175" s="75" t="s">
        <v>414</v>
      </c>
      <c r="E175" s="75" t="s">
        <v>131</v>
      </c>
      <c r="F175" s="133"/>
      <c r="G175" s="180">
        <f>SUM(G176)</f>
        <v>0</v>
      </c>
      <c r="H175" s="14">
        <f>SUM(H176)</f>
        <v>0</v>
      </c>
      <c r="I175" s="14" t="e">
        <f t="shared" si="3"/>
        <v>#DIV/0!</v>
      </c>
      <c r="J175"/>
    </row>
    <row r="176" spans="1:10" ht="15" hidden="1">
      <c r="A176" s="340" t="s">
        <v>126</v>
      </c>
      <c r="B176" s="312"/>
      <c r="C176" s="63" t="s">
        <v>123</v>
      </c>
      <c r="D176" s="75" t="s">
        <v>414</v>
      </c>
      <c r="E176" s="75" t="s">
        <v>131</v>
      </c>
      <c r="F176" s="133" t="s">
        <v>127</v>
      </c>
      <c r="G176" s="180"/>
      <c r="H176" s="14">
        <f>SUM(H177)</f>
        <v>0</v>
      </c>
      <c r="I176" s="14" t="e">
        <f t="shared" si="3"/>
        <v>#DIV/0!</v>
      </c>
      <c r="J176"/>
    </row>
    <row r="177" spans="1:10" ht="42.75" hidden="1">
      <c r="A177" s="158" t="s">
        <v>383</v>
      </c>
      <c r="B177" s="312"/>
      <c r="C177" s="63" t="s">
        <v>123</v>
      </c>
      <c r="D177" s="75" t="s">
        <v>414</v>
      </c>
      <c r="E177" s="75" t="s">
        <v>384</v>
      </c>
      <c r="F177" s="133"/>
      <c r="G177" s="180">
        <f>SUM(G178)+G184+G187</f>
        <v>0</v>
      </c>
      <c r="H177" s="14"/>
      <c r="I177" s="14" t="e">
        <f t="shared" si="3"/>
        <v>#DIV/0!</v>
      </c>
      <c r="J177"/>
    </row>
    <row r="178" spans="1:10" ht="28.5" hidden="1">
      <c r="A178" s="158" t="s">
        <v>385</v>
      </c>
      <c r="B178" s="312"/>
      <c r="C178" s="63" t="s">
        <v>123</v>
      </c>
      <c r="D178" s="75" t="s">
        <v>414</v>
      </c>
      <c r="E178" s="75" t="s">
        <v>386</v>
      </c>
      <c r="F178" s="133"/>
      <c r="G178" s="180">
        <f>SUM(G179+G180)</f>
        <v>0</v>
      </c>
      <c r="H178" s="14">
        <f>SUM(H180+H181)</f>
        <v>0</v>
      </c>
      <c r="I178" s="14" t="e">
        <f t="shared" si="3"/>
        <v>#DIV/0!</v>
      </c>
      <c r="J178"/>
    </row>
    <row r="179" spans="1:9" s="16" customFormat="1" ht="15" hidden="1">
      <c r="A179" s="158" t="s">
        <v>7</v>
      </c>
      <c r="B179" s="312"/>
      <c r="C179" s="63" t="s">
        <v>123</v>
      </c>
      <c r="D179" s="75" t="s">
        <v>414</v>
      </c>
      <c r="E179" s="75" t="s">
        <v>386</v>
      </c>
      <c r="F179" s="133" t="s">
        <v>8</v>
      </c>
      <c r="G179" s="180"/>
      <c r="H179" s="14">
        <v>1821.9</v>
      </c>
      <c r="I179" s="14" t="e">
        <f t="shared" si="3"/>
        <v>#DIV/0!</v>
      </c>
    </row>
    <row r="180" spans="1:10" ht="28.5" hidden="1">
      <c r="A180" s="158" t="s">
        <v>387</v>
      </c>
      <c r="B180" s="312"/>
      <c r="C180" s="63" t="s">
        <v>123</v>
      </c>
      <c r="D180" s="75" t="s">
        <v>414</v>
      </c>
      <c r="E180" s="75" t="s">
        <v>386</v>
      </c>
      <c r="F180" s="133" t="s">
        <v>388</v>
      </c>
      <c r="G180" s="180"/>
      <c r="H180" s="14"/>
      <c r="I180" s="14" t="e">
        <f t="shared" si="3"/>
        <v>#DIV/0!</v>
      </c>
      <c r="J180"/>
    </row>
    <row r="181" spans="1:10" ht="28.5" hidden="1">
      <c r="A181" s="158" t="s">
        <v>223</v>
      </c>
      <c r="B181" s="312"/>
      <c r="C181" s="63" t="s">
        <v>123</v>
      </c>
      <c r="D181" s="75" t="s">
        <v>414</v>
      </c>
      <c r="E181" s="75" t="s">
        <v>378</v>
      </c>
      <c r="F181" s="133"/>
      <c r="G181" s="180">
        <f>SUM(G182)</f>
        <v>0</v>
      </c>
      <c r="H181" s="14"/>
      <c r="I181" s="14" t="e">
        <f t="shared" si="3"/>
        <v>#DIV/0!</v>
      </c>
      <c r="J181"/>
    </row>
    <row r="182" spans="1:10" ht="28.5" hidden="1">
      <c r="A182" s="158" t="s">
        <v>124</v>
      </c>
      <c r="B182" s="312"/>
      <c r="C182" s="63" t="s">
        <v>123</v>
      </c>
      <c r="D182" s="75" t="s">
        <v>414</v>
      </c>
      <c r="E182" s="75" t="s">
        <v>125</v>
      </c>
      <c r="F182" s="133"/>
      <c r="G182" s="180">
        <f>SUM(G183)</f>
        <v>0</v>
      </c>
      <c r="H182" s="14">
        <f>SUM(H183)</f>
        <v>1821.9</v>
      </c>
      <c r="I182" s="14" t="e">
        <f t="shared" si="3"/>
        <v>#DIV/0!</v>
      </c>
      <c r="J182"/>
    </row>
    <row r="183" spans="1:9" ht="15" hidden="1">
      <c r="A183" s="158" t="s">
        <v>126</v>
      </c>
      <c r="B183" s="312"/>
      <c r="C183" s="63" t="s">
        <v>123</v>
      </c>
      <c r="D183" s="75" t="s">
        <v>414</v>
      </c>
      <c r="E183" s="75" t="s">
        <v>125</v>
      </c>
      <c r="F183" s="133" t="s">
        <v>127</v>
      </c>
      <c r="G183" s="180"/>
      <c r="H183" s="14">
        <v>1821.9</v>
      </c>
      <c r="I183" s="14" t="e">
        <f t="shared" si="3"/>
        <v>#DIV/0!</v>
      </c>
    </row>
    <row r="184" spans="1:10" ht="28.5" hidden="1">
      <c r="A184" s="158" t="s">
        <v>389</v>
      </c>
      <c r="B184" s="312"/>
      <c r="C184" s="63" t="s">
        <v>123</v>
      </c>
      <c r="D184" s="75" t="s">
        <v>414</v>
      </c>
      <c r="E184" s="75" t="s">
        <v>390</v>
      </c>
      <c r="F184" s="133"/>
      <c r="G184" s="180">
        <f>SUM(G185+G186)</f>
        <v>0</v>
      </c>
      <c r="H184" s="14">
        <f>SUM(H185+H187)</f>
        <v>0</v>
      </c>
      <c r="I184" s="14" t="e">
        <f t="shared" si="3"/>
        <v>#DIV/0!</v>
      </c>
      <c r="J184"/>
    </row>
    <row r="185" spans="1:10" ht="42.75" hidden="1">
      <c r="A185" s="332" t="s">
        <v>15</v>
      </c>
      <c r="B185" s="312"/>
      <c r="C185" s="63" t="s">
        <v>123</v>
      </c>
      <c r="D185" s="75" t="s">
        <v>414</v>
      </c>
      <c r="E185" s="75" t="s">
        <v>390</v>
      </c>
      <c r="F185" s="133" t="s">
        <v>53</v>
      </c>
      <c r="G185" s="180"/>
      <c r="H185" s="14">
        <f>SUM(H186)</f>
        <v>0</v>
      </c>
      <c r="I185" s="14" t="e">
        <f t="shared" si="3"/>
        <v>#DIV/0!</v>
      </c>
      <c r="J185"/>
    </row>
    <row r="186" spans="1:10" ht="15" hidden="1">
      <c r="A186" s="340" t="s">
        <v>126</v>
      </c>
      <c r="B186" s="312"/>
      <c r="C186" s="63" t="s">
        <v>123</v>
      </c>
      <c r="D186" s="75" t="s">
        <v>414</v>
      </c>
      <c r="E186" s="75" t="s">
        <v>390</v>
      </c>
      <c r="F186" s="133" t="s">
        <v>127</v>
      </c>
      <c r="G186" s="180"/>
      <c r="H186" s="14"/>
      <c r="I186" s="14" t="e">
        <f t="shared" si="3"/>
        <v>#DIV/0!</v>
      </c>
      <c r="J186"/>
    </row>
    <row r="187" spans="1:9" s="16" customFormat="1" ht="42.75" hidden="1">
      <c r="A187" s="158" t="s">
        <v>393</v>
      </c>
      <c r="B187" s="312"/>
      <c r="C187" s="63" t="s">
        <v>123</v>
      </c>
      <c r="D187" s="75" t="s">
        <v>414</v>
      </c>
      <c r="E187" s="75" t="s">
        <v>394</v>
      </c>
      <c r="F187" s="133"/>
      <c r="G187" s="180">
        <f>SUM(G188)</f>
        <v>0</v>
      </c>
      <c r="H187" s="14">
        <f>SUM(H188)</f>
        <v>0</v>
      </c>
      <c r="I187" s="14" t="e">
        <f t="shared" si="3"/>
        <v>#DIV/0!</v>
      </c>
    </row>
    <row r="188" spans="1:9" s="20" customFormat="1" ht="15" hidden="1">
      <c r="A188" s="340" t="s">
        <v>126</v>
      </c>
      <c r="B188" s="312"/>
      <c r="C188" s="63" t="s">
        <v>123</v>
      </c>
      <c r="D188" s="75" t="s">
        <v>414</v>
      </c>
      <c r="E188" s="75" t="s">
        <v>394</v>
      </c>
      <c r="F188" s="133" t="s">
        <v>127</v>
      </c>
      <c r="G188" s="180"/>
      <c r="H188" s="18"/>
      <c r="I188" s="14" t="e">
        <f t="shared" si="3"/>
        <v>#DIV/0!</v>
      </c>
    </row>
    <row r="189" spans="1:9" s="19" customFormat="1" ht="15" hidden="1">
      <c r="A189" s="332" t="s">
        <v>395</v>
      </c>
      <c r="B189" s="312"/>
      <c r="C189" s="63" t="s">
        <v>123</v>
      </c>
      <c r="D189" s="75" t="s">
        <v>414</v>
      </c>
      <c r="E189" s="75" t="s">
        <v>396</v>
      </c>
      <c r="F189" s="133"/>
      <c r="G189" s="180">
        <f>SUM(G190+G192)</f>
        <v>0</v>
      </c>
      <c r="H189" s="21" t="e">
        <f>SUM(H192)+#REF!+H190</f>
        <v>#REF!</v>
      </c>
      <c r="I189" s="14" t="e">
        <f t="shared" si="3"/>
        <v>#REF!</v>
      </c>
    </row>
    <row r="190" spans="1:9" s="19" customFormat="1" ht="42.75" hidden="1">
      <c r="A190" s="333" t="s">
        <v>397</v>
      </c>
      <c r="B190" s="312"/>
      <c r="C190" s="63" t="s">
        <v>123</v>
      </c>
      <c r="D190" s="75" t="s">
        <v>414</v>
      </c>
      <c r="E190" s="75" t="s">
        <v>398</v>
      </c>
      <c r="F190" s="133"/>
      <c r="G190" s="180">
        <f>SUM(G191)</f>
        <v>0</v>
      </c>
      <c r="H190" s="21">
        <f>SUM(H191)</f>
        <v>0</v>
      </c>
      <c r="I190" s="14" t="e">
        <f t="shared" si="3"/>
        <v>#DIV/0!</v>
      </c>
    </row>
    <row r="191" spans="1:9" s="19" customFormat="1" ht="15" hidden="1">
      <c r="A191" s="332" t="s">
        <v>7</v>
      </c>
      <c r="B191" s="312"/>
      <c r="C191" s="63" t="s">
        <v>123</v>
      </c>
      <c r="D191" s="75" t="s">
        <v>414</v>
      </c>
      <c r="E191" s="75" t="s">
        <v>398</v>
      </c>
      <c r="F191" s="133" t="s">
        <v>8</v>
      </c>
      <c r="G191" s="180"/>
      <c r="H191" s="21"/>
      <c r="I191" s="14" t="e">
        <f>SUM(H191/#REF!*100)</f>
        <v>#REF!</v>
      </c>
    </row>
    <row r="192" spans="1:9" s="19" customFormat="1" ht="28.5" hidden="1">
      <c r="A192" s="333" t="s">
        <v>399</v>
      </c>
      <c r="B192" s="179"/>
      <c r="C192" s="63" t="s">
        <v>123</v>
      </c>
      <c r="D192" s="75" t="s">
        <v>414</v>
      </c>
      <c r="E192" s="75" t="s">
        <v>400</v>
      </c>
      <c r="F192" s="134"/>
      <c r="G192" s="180">
        <f>SUM(G193)</f>
        <v>0</v>
      </c>
      <c r="H192" s="21" t="e">
        <f>SUM(H193+H195)</f>
        <v>#REF!</v>
      </c>
      <c r="I192" s="14" t="e">
        <f>SUM(H192/G197*100)</f>
        <v>#REF!</v>
      </c>
    </row>
    <row r="193" spans="1:9" s="19" customFormat="1" ht="15" hidden="1">
      <c r="A193" s="332" t="s">
        <v>95</v>
      </c>
      <c r="B193" s="319"/>
      <c r="C193" s="63" t="s">
        <v>123</v>
      </c>
      <c r="D193" s="75" t="s">
        <v>414</v>
      </c>
      <c r="E193" s="75" t="s">
        <v>400</v>
      </c>
      <c r="F193" s="133" t="s">
        <v>96</v>
      </c>
      <c r="G193" s="180"/>
      <c r="H193" s="21">
        <f>SUM(H194)</f>
        <v>0</v>
      </c>
      <c r="I193" s="14" t="e">
        <f>SUM(H193/G198*100)</f>
        <v>#DIV/0!</v>
      </c>
    </row>
    <row r="194" spans="1:9" s="19" customFormat="1" ht="15" hidden="1">
      <c r="A194" s="333" t="s">
        <v>3</v>
      </c>
      <c r="B194" s="312"/>
      <c r="C194" s="63" t="s">
        <v>123</v>
      </c>
      <c r="D194" s="75" t="s">
        <v>414</v>
      </c>
      <c r="E194" s="75" t="s">
        <v>4</v>
      </c>
      <c r="F194" s="133"/>
      <c r="G194" s="180">
        <f>SUM(G197)+G202+G195</f>
        <v>0</v>
      </c>
      <c r="H194" s="14">
        <v>0</v>
      </c>
      <c r="I194" s="14" t="e">
        <f>SUM(H194/G199*100)</f>
        <v>#DIV/0!</v>
      </c>
    </row>
    <row r="195" spans="1:9" s="19" customFormat="1" ht="42.75" hidden="1">
      <c r="A195" s="333" t="s">
        <v>401</v>
      </c>
      <c r="B195" s="312"/>
      <c r="C195" s="63" t="s">
        <v>123</v>
      </c>
      <c r="D195" s="75" t="s">
        <v>414</v>
      </c>
      <c r="E195" s="75" t="s">
        <v>402</v>
      </c>
      <c r="F195" s="133"/>
      <c r="G195" s="180">
        <f>SUM(G196)</f>
        <v>0</v>
      </c>
      <c r="H195" s="14" t="e">
        <f>SUM(H196)</f>
        <v>#REF!</v>
      </c>
      <c r="I195" s="14" t="e">
        <f>SUM(H195/G200*100)</f>
        <v>#REF!</v>
      </c>
    </row>
    <row r="196" spans="1:9" s="19" customFormat="1" ht="15" hidden="1">
      <c r="A196" s="333" t="s">
        <v>126</v>
      </c>
      <c r="B196" s="312"/>
      <c r="C196" s="63" t="s">
        <v>123</v>
      </c>
      <c r="D196" s="75" t="s">
        <v>414</v>
      </c>
      <c r="E196" s="75" t="s">
        <v>402</v>
      </c>
      <c r="F196" s="133" t="s">
        <v>127</v>
      </c>
      <c r="G196" s="180"/>
      <c r="H196" s="14" t="e">
        <f>SUM('[1]Ведомств.'!G180)</f>
        <v>#REF!</v>
      </c>
      <c r="I196" s="14" t="e">
        <f>SUM(H196/G201*100)</f>
        <v>#REF!</v>
      </c>
    </row>
    <row r="197" spans="1:9" s="19" customFormat="1" ht="42.75" hidden="1">
      <c r="A197" s="332" t="s">
        <v>403</v>
      </c>
      <c r="B197" s="312"/>
      <c r="C197" s="63" t="s">
        <v>123</v>
      </c>
      <c r="D197" s="75" t="s">
        <v>414</v>
      </c>
      <c r="E197" s="75" t="s">
        <v>404</v>
      </c>
      <c r="F197" s="133"/>
      <c r="G197" s="180">
        <f>SUM(G198+G200)</f>
        <v>0</v>
      </c>
      <c r="H197" s="14">
        <f>SUM(H198)</f>
        <v>0</v>
      </c>
      <c r="I197" s="14" t="e">
        <f>SUM(H197/G203*100)</f>
        <v>#DIV/0!</v>
      </c>
    </row>
    <row r="198" spans="1:9" s="19" customFormat="1" ht="28.5" hidden="1">
      <c r="A198" s="333" t="s">
        <v>405</v>
      </c>
      <c r="B198" s="312"/>
      <c r="C198" s="63" t="s">
        <v>123</v>
      </c>
      <c r="D198" s="75" t="s">
        <v>414</v>
      </c>
      <c r="E198" s="75" t="s">
        <v>406</v>
      </c>
      <c r="F198" s="133"/>
      <c r="G198" s="180">
        <f>SUM(G199)</f>
        <v>0</v>
      </c>
      <c r="H198" s="14"/>
      <c r="I198" s="14" t="e">
        <f>SUM(H198/G204*100)</f>
        <v>#DIV/0!</v>
      </c>
    </row>
    <row r="199" spans="1:9" s="19" customFormat="1" ht="15" hidden="1">
      <c r="A199" s="158" t="s">
        <v>126</v>
      </c>
      <c r="B199" s="312"/>
      <c r="C199" s="63" t="s">
        <v>123</v>
      </c>
      <c r="D199" s="75" t="s">
        <v>414</v>
      </c>
      <c r="E199" s="75" t="s">
        <v>406</v>
      </c>
      <c r="F199" s="133" t="s">
        <v>127</v>
      </c>
      <c r="G199" s="180"/>
      <c r="H199" s="14">
        <f>SUM(H200)</f>
        <v>0</v>
      </c>
      <c r="I199" s="14" t="e">
        <f>SUM(H199/G205*100)</f>
        <v>#DIV/0!</v>
      </c>
    </row>
    <row r="200" spans="1:9" s="19" customFormat="1" ht="15" hidden="1">
      <c r="A200" s="158" t="s">
        <v>407</v>
      </c>
      <c r="B200" s="312"/>
      <c r="C200" s="63" t="s">
        <v>123</v>
      </c>
      <c r="D200" s="75" t="s">
        <v>414</v>
      </c>
      <c r="E200" s="75" t="s">
        <v>408</v>
      </c>
      <c r="F200" s="133"/>
      <c r="G200" s="180">
        <f>SUM(G201)</f>
        <v>0</v>
      </c>
      <c r="H200" s="14"/>
      <c r="I200" s="14" t="e">
        <f>SUM(H200/G206*100)</f>
        <v>#DIV/0!</v>
      </c>
    </row>
    <row r="201" spans="1:9" s="16" customFormat="1" ht="15" hidden="1">
      <c r="A201" s="332" t="s">
        <v>95</v>
      </c>
      <c r="B201" s="319"/>
      <c r="C201" s="63" t="s">
        <v>123</v>
      </c>
      <c r="D201" s="75" t="s">
        <v>414</v>
      </c>
      <c r="E201" s="75" t="s">
        <v>408</v>
      </c>
      <c r="F201" s="133" t="s">
        <v>96</v>
      </c>
      <c r="G201" s="180"/>
      <c r="H201" s="14"/>
      <c r="I201" s="14"/>
    </row>
    <row r="202" spans="1:9" s="16" customFormat="1" ht="28.5" hidden="1">
      <c r="A202" s="332" t="s">
        <v>409</v>
      </c>
      <c r="B202" s="319"/>
      <c r="C202" s="63" t="s">
        <v>123</v>
      </c>
      <c r="D202" s="75" t="s">
        <v>414</v>
      </c>
      <c r="E202" s="75" t="s">
        <v>410</v>
      </c>
      <c r="F202" s="133"/>
      <c r="G202" s="180"/>
      <c r="H202" s="14"/>
      <c r="I202" s="14"/>
    </row>
    <row r="203" spans="1:9" s="16" customFormat="1" ht="42.75" hidden="1">
      <c r="A203" s="332" t="s">
        <v>39</v>
      </c>
      <c r="B203" s="319"/>
      <c r="C203" s="63" t="s">
        <v>123</v>
      </c>
      <c r="D203" s="75" t="s">
        <v>414</v>
      </c>
      <c r="E203" s="75" t="s">
        <v>40</v>
      </c>
      <c r="F203" s="133"/>
      <c r="G203" s="180">
        <f>SUM(G204)</f>
        <v>0</v>
      </c>
      <c r="H203" s="14"/>
      <c r="I203" s="14"/>
    </row>
    <row r="204" spans="1:10" ht="15" hidden="1">
      <c r="A204" s="332" t="s">
        <v>7</v>
      </c>
      <c r="B204" s="319"/>
      <c r="C204" s="63" t="s">
        <v>123</v>
      </c>
      <c r="D204" s="75" t="s">
        <v>414</v>
      </c>
      <c r="E204" s="75" t="s">
        <v>40</v>
      </c>
      <c r="F204" s="133" t="s">
        <v>8</v>
      </c>
      <c r="G204" s="180"/>
      <c r="H204" s="14"/>
      <c r="I204" s="14"/>
      <c r="J204"/>
    </row>
    <row r="205" spans="1:10" ht="28.5" hidden="1">
      <c r="A205" s="332" t="s">
        <v>41</v>
      </c>
      <c r="B205" s="319"/>
      <c r="C205" s="63" t="s">
        <v>123</v>
      </c>
      <c r="D205" s="75" t="s">
        <v>414</v>
      </c>
      <c r="E205" s="75" t="s">
        <v>42</v>
      </c>
      <c r="F205" s="133"/>
      <c r="G205" s="180">
        <f>SUM(G206)</f>
        <v>0</v>
      </c>
      <c r="H205" s="14"/>
      <c r="I205" s="14"/>
      <c r="J205"/>
    </row>
    <row r="206" spans="1:9" s="19" customFormat="1" ht="15" hidden="1">
      <c r="A206" s="332" t="s">
        <v>7</v>
      </c>
      <c r="B206" s="319"/>
      <c r="C206" s="63" t="s">
        <v>123</v>
      </c>
      <c r="D206" s="75" t="s">
        <v>414</v>
      </c>
      <c r="E206" s="75" t="s">
        <v>42</v>
      </c>
      <c r="F206" s="133" t="s">
        <v>8</v>
      </c>
      <c r="G206" s="180"/>
      <c r="H206" s="14" t="e">
        <f>SUM(#REF!+#REF!)+H211</f>
        <v>#REF!</v>
      </c>
      <c r="I206" s="14" t="e">
        <f aca="true" t="shared" si="4" ref="I206:I214">SUM(H206/G212*100)</f>
        <v>#REF!</v>
      </c>
    </row>
    <row r="207" spans="1:9" s="19" customFormat="1" ht="15" hidden="1">
      <c r="A207" s="332" t="s">
        <v>395</v>
      </c>
      <c r="B207" s="319"/>
      <c r="C207" s="63" t="s">
        <v>123</v>
      </c>
      <c r="D207" s="75" t="s">
        <v>414</v>
      </c>
      <c r="E207" s="75" t="s">
        <v>396</v>
      </c>
      <c r="F207" s="133"/>
      <c r="G207" s="180">
        <f>SUM(G208)</f>
        <v>0</v>
      </c>
      <c r="H207" s="22" t="e">
        <f>SUM('[1]Ведомств.'!G188)</f>
        <v>#REF!</v>
      </c>
      <c r="I207" s="14" t="e">
        <f t="shared" si="4"/>
        <v>#REF!</v>
      </c>
    </row>
    <row r="208" spans="1:10" s="19" customFormat="1" ht="42.75" hidden="1">
      <c r="A208" s="332" t="s">
        <v>261</v>
      </c>
      <c r="B208" s="319"/>
      <c r="C208" s="63" t="s">
        <v>123</v>
      </c>
      <c r="D208" s="75" t="s">
        <v>414</v>
      </c>
      <c r="E208" s="75" t="s">
        <v>400</v>
      </c>
      <c r="F208" s="133"/>
      <c r="G208" s="180">
        <f>SUM(G209)</f>
        <v>0</v>
      </c>
      <c r="H208" s="22"/>
      <c r="I208" s="14" t="e">
        <f t="shared" si="4"/>
        <v>#DIV/0!</v>
      </c>
      <c r="J208" s="16"/>
    </row>
    <row r="209" spans="1:9" s="19" customFormat="1" ht="15" hidden="1">
      <c r="A209" s="332" t="s">
        <v>95</v>
      </c>
      <c r="B209" s="319"/>
      <c r="C209" s="63" t="s">
        <v>123</v>
      </c>
      <c r="D209" s="75" t="s">
        <v>414</v>
      </c>
      <c r="E209" s="75" t="s">
        <v>400</v>
      </c>
      <c r="F209" s="133" t="s">
        <v>96</v>
      </c>
      <c r="G209" s="180"/>
      <c r="H209" s="14">
        <f>SUM(H210)</f>
        <v>167.7</v>
      </c>
      <c r="I209" s="14" t="e">
        <f t="shared" si="4"/>
        <v>#DIV/0!</v>
      </c>
    </row>
    <row r="210" spans="1:9" s="19" customFormat="1" ht="15" hidden="1">
      <c r="A210" s="340" t="s">
        <v>120</v>
      </c>
      <c r="B210" s="312"/>
      <c r="C210" s="63" t="s">
        <v>123</v>
      </c>
      <c r="D210" s="75" t="s">
        <v>414</v>
      </c>
      <c r="E210" s="75" t="s">
        <v>121</v>
      </c>
      <c r="F210" s="133"/>
      <c r="G210" s="180">
        <f>SUM(G211+G214)+G218</f>
        <v>0</v>
      </c>
      <c r="H210" s="14">
        <v>167.7</v>
      </c>
      <c r="I210" s="14" t="e">
        <f t="shared" si="4"/>
        <v>#DIV/0!</v>
      </c>
    </row>
    <row r="211" spans="1:9" s="19" customFormat="1" ht="42.75" hidden="1">
      <c r="A211" s="340" t="s">
        <v>443</v>
      </c>
      <c r="B211" s="312"/>
      <c r="C211" s="63" t="s">
        <v>123</v>
      </c>
      <c r="D211" s="75" t="s">
        <v>414</v>
      </c>
      <c r="E211" s="75" t="s">
        <v>270</v>
      </c>
      <c r="F211" s="133"/>
      <c r="G211" s="181">
        <f>SUM(G212)</f>
        <v>0</v>
      </c>
      <c r="H211" s="14">
        <f>SUM(H212)</f>
        <v>110.4</v>
      </c>
      <c r="I211" s="14" t="e">
        <f t="shared" si="4"/>
        <v>#DIV/0!</v>
      </c>
    </row>
    <row r="212" spans="1:9" s="19" customFormat="1" ht="15" hidden="1">
      <c r="A212" s="158" t="s">
        <v>7</v>
      </c>
      <c r="B212" s="312"/>
      <c r="C212" s="63" t="s">
        <v>123</v>
      </c>
      <c r="D212" s="75" t="s">
        <v>414</v>
      </c>
      <c r="E212" s="75" t="s">
        <v>270</v>
      </c>
      <c r="F212" s="133" t="s">
        <v>8</v>
      </c>
      <c r="G212" s="181"/>
      <c r="H212" s="14">
        <v>110.4</v>
      </c>
      <c r="I212" s="14" t="e">
        <f t="shared" si="4"/>
        <v>#DIV/0!</v>
      </c>
    </row>
    <row r="213" spans="1:9" s="16" customFormat="1" ht="15" hidden="1">
      <c r="A213" s="340" t="s">
        <v>43</v>
      </c>
      <c r="B213" s="312"/>
      <c r="C213" s="63" t="s">
        <v>123</v>
      </c>
      <c r="D213" s="75" t="s">
        <v>414</v>
      </c>
      <c r="E213" s="75" t="s">
        <v>44</v>
      </c>
      <c r="F213" s="133" t="s">
        <v>96</v>
      </c>
      <c r="G213" s="180"/>
      <c r="H213" s="14" t="e">
        <f>SUM(H227+H240)+H216+H236+H218</f>
        <v>#REF!</v>
      </c>
      <c r="I213" s="14" t="e">
        <f t="shared" si="4"/>
        <v>#REF!</v>
      </c>
    </row>
    <row r="214" spans="1:9" s="16" customFormat="1" ht="15" hidden="1">
      <c r="A214" s="340" t="s">
        <v>126</v>
      </c>
      <c r="B214" s="312"/>
      <c r="C214" s="63" t="s">
        <v>123</v>
      </c>
      <c r="D214" s="75" t="s">
        <v>414</v>
      </c>
      <c r="E214" s="75" t="s">
        <v>121</v>
      </c>
      <c r="F214" s="133" t="s">
        <v>127</v>
      </c>
      <c r="G214" s="180">
        <f>SUM(G215)</f>
        <v>0</v>
      </c>
      <c r="H214" s="14"/>
      <c r="I214" s="14">
        <f t="shared" si="4"/>
        <v>0</v>
      </c>
    </row>
    <row r="215" spans="1:9" s="16" customFormat="1" ht="28.5" hidden="1">
      <c r="A215" s="158" t="s">
        <v>45</v>
      </c>
      <c r="B215" s="312"/>
      <c r="C215" s="63" t="s">
        <v>123</v>
      </c>
      <c r="D215" s="75" t="s">
        <v>414</v>
      </c>
      <c r="E215" s="75" t="s">
        <v>46</v>
      </c>
      <c r="F215" s="133" t="s">
        <v>127</v>
      </c>
      <c r="G215" s="180">
        <f>SUM(G217)</f>
        <v>0</v>
      </c>
      <c r="H215" s="14"/>
      <c r="I215" s="14">
        <f>SUM(H215/G227*100)</f>
        <v>0</v>
      </c>
    </row>
    <row r="216" spans="1:9" s="16" customFormat="1" ht="28.5" hidden="1">
      <c r="A216" s="158" t="s">
        <v>61</v>
      </c>
      <c r="B216" s="312"/>
      <c r="C216" s="63"/>
      <c r="D216" s="75"/>
      <c r="E216" s="75"/>
      <c r="F216" s="133"/>
      <c r="G216" s="180"/>
      <c r="H216" s="14">
        <f>SUM(H217)</f>
        <v>0</v>
      </c>
      <c r="I216" s="14">
        <f>SUM(H216/G228*100)</f>
        <v>0</v>
      </c>
    </row>
    <row r="217" spans="1:9" s="16" customFormat="1" ht="28.5" hidden="1">
      <c r="A217" s="333" t="s">
        <v>405</v>
      </c>
      <c r="B217" s="312"/>
      <c r="C217" s="63" t="s">
        <v>123</v>
      </c>
      <c r="D217" s="75" t="s">
        <v>414</v>
      </c>
      <c r="E217" s="75" t="s">
        <v>47</v>
      </c>
      <c r="F217" s="133" t="s">
        <v>127</v>
      </c>
      <c r="G217" s="180"/>
      <c r="H217" s="14"/>
      <c r="I217" s="14">
        <f>SUM(H217/G229*100)</f>
        <v>0</v>
      </c>
    </row>
    <row r="218" spans="1:9" s="16" customFormat="1" ht="28.5" hidden="1">
      <c r="A218" s="332" t="s">
        <v>48</v>
      </c>
      <c r="B218" s="312"/>
      <c r="C218" s="63" t="s">
        <v>123</v>
      </c>
      <c r="D218" s="75" t="s">
        <v>414</v>
      </c>
      <c r="E218" s="75" t="s">
        <v>49</v>
      </c>
      <c r="F218" s="133"/>
      <c r="G218" s="180">
        <f>SUM(G219)</f>
        <v>0</v>
      </c>
      <c r="H218" s="14">
        <f>SUM(H219)</f>
        <v>9483.6</v>
      </c>
      <c r="I218" s="14">
        <f>SUM(H218/G230*100)</f>
        <v>9483.6</v>
      </c>
    </row>
    <row r="219" spans="1:9" s="16" customFormat="1" ht="15" hidden="1">
      <c r="A219" s="340" t="s">
        <v>126</v>
      </c>
      <c r="B219" s="312"/>
      <c r="C219" s="63" t="s">
        <v>123</v>
      </c>
      <c r="D219" s="75" t="s">
        <v>414</v>
      </c>
      <c r="E219" s="75" t="s">
        <v>49</v>
      </c>
      <c r="F219" s="133" t="s">
        <v>127</v>
      </c>
      <c r="G219" s="180"/>
      <c r="H219" s="14">
        <f>SUM(H220)</f>
        <v>9483.6</v>
      </c>
      <c r="I219" s="14" t="e">
        <f>SUM(H219/#REF!*100)</f>
        <v>#REF!</v>
      </c>
    </row>
    <row r="220" spans="1:9" s="16" customFormat="1" ht="15">
      <c r="A220" s="158" t="s">
        <v>50</v>
      </c>
      <c r="B220" s="314"/>
      <c r="C220" s="287" t="s">
        <v>123</v>
      </c>
      <c r="D220" s="288" t="s">
        <v>416</v>
      </c>
      <c r="E220" s="288"/>
      <c r="F220" s="290"/>
      <c r="G220" s="304">
        <f>G227+G231+G221+G224</f>
        <v>51705.2</v>
      </c>
      <c r="H220" s="14">
        <v>9483.6</v>
      </c>
      <c r="I220" s="14">
        <f>SUM(H220/G233*100)</f>
        <v>15.765246836926547</v>
      </c>
    </row>
    <row r="221" spans="1:9" s="16" customFormat="1" ht="42.75">
      <c r="A221" s="149" t="s">
        <v>732</v>
      </c>
      <c r="B221" s="398"/>
      <c r="C221" s="221" t="s">
        <v>123</v>
      </c>
      <c r="D221" s="220" t="s">
        <v>416</v>
      </c>
      <c r="E221" s="220" t="s">
        <v>734</v>
      </c>
      <c r="F221" s="247"/>
      <c r="G221" s="171">
        <f>SUM(G222)</f>
        <v>10000</v>
      </c>
      <c r="H221" s="14"/>
      <c r="I221" s="14"/>
    </row>
    <row r="222" spans="1:9" s="16" customFormat="1" ht="28.5">
      <c r="A222" s="149" t="s">
        <v>733</v>
      </c>
      <c r="B222" s="398"/>
      <c r="C222" s="221" t="s">
        <v>123</v>
      </c>
      <c r="D222" s="220" t="s">
        <v>416</v>
      </c>
      <c r="E222" s="220" t="s">
        <v>735</v>
      </c>
      <c r="F222" s="247"/>
      <c r="G222" s="171">
        <f>SUM(G223)</f>
        <v>10000</v>
      </c>
      <c r="H222" s="14"/>
      <c r="I222" s="14"/>
    </row>
    <row r="223" spans="1:10" s="16" customFormat="1" ht="28.5">
      <c r="A223" s="187" t="s">
        <v>697</v>
      </c>
      <c r="B223" s="398"/>
      <c r="C223" s="221" t="s">
        <v>123</v>
      </c>
      <c r="D223" s="220" t="s">
        <v>416</v>
      </c>
      <c r="E223" s="220" t="s">
        <v>735</v>
      </c>
      <c r="F223" s="247" t="s">
        <v>112</v>
      </c>
      <c r="G223" s="171">
        <v>10000</v>
      </c>
      <c r="H223" s="14"/>
      <c r="I223" s="14"/>
      <c r="J223" s="16">
        <f>SUM('ведомствен.2015'!G237)</f>
        <v>10000</v>
      </c>
    </row>
    <row r="224" spans="1:9" s="16" customFormat="1" ht="42.75">
      <c r="A224" s="187" t="s">
        <v>736</v>
      </c>
      <c r="B224" s="398"/>
      <c r="C224" s="221" t="s">
        <v>123</v>
      </c>
      <c r="D224" s="220" t="s">
        <v>416</v>
      </c>
      <c r="E224" s="220" t="s">
        <v>737</v>
      </c>
      <c r="F224" s="247"/>
      <c r="G224" s="171">
        <f>SUM(G225)+G226</f>
        <v>34800</v>
      </c>
      <c r="H224" s="14"/>
      <c r="I224" s="14"/>
    </row>
    <row r="225" spans="1:10" s="16" customFormat="1" ht="28.5">
      <c r="A225" s="187" t="s">
        <v>697</v>
      </c>
      <c r="B225" s="398"/>
      <c r="C225" s="221" t="s">
        <v>123</v>
      </c>
      <c r="D225" s="220" t="s">
        <v>416</v>
      </c>
      <c r="E225" s="220" t="s">
        <v>737</v>
      </c>
      <c r="F225" s="247" t="s">
        <v>112</v>
      </c>
      <c r="G225" s="171">
        <v>3500</v>
      </c>
      <c r="H225" s="14"/>
      <c r="I225" s="14"/>
      <c r="J225" s="16">
        <f>SUM('ведомствен.2015'!G239)</f>
        <v>3500</v>
      </c>
    </row>
    <row r="226" spans="1:10" s="16" customFormat="1" ht="28.5">
      <c r="A226" s="149" t="s">
        <v>698</v>
      </c>
      <c r="B226" s="398"/>
      <c r="C226" s="221" t="s">
        <v>123</v>
      </c>
      <c r="D226" s="220" t="s">
        <v>416</v>
      </c>
      <c r="E226" s="220" t="s">
        <v>737</v>
      </c>
      <c r="F226" s="247" t="s">
        <v>507</v>
      </c>
      <c r="G226" s="171">
        <v>31300</v>
      </c>
      <c r="H226" s="14"/>
      <c r="I226" s="14"/>
      <c r="J226" s="16">
        <f>SUM('ведомствен.2015'!G240)</f>
        <v>31300</v>
      </c>
    </row>
    <row r="227" spans="1:9" s="16" customFormat="1" ht="15">
      <c r="A227" s="158" t="s">
        <v>267</v>
      </c>
      <c r="B227" s="314"/>
      <c r="C227" s="287" t="s">
        <v>123</v>
      </c>
      <c r="D227" s="288" t="s">
        <v>416</v>
      </c>
      <c r="E227" s="288" t="s">
        <v>501</v>
      </c>
      <c r="F227" s="290"/>
      <c r="G227" s="304">
        <f>G228</f>
        <v>6905.2</v>
      </c>
      <c r="H227" s="14" t="e">
        <f>SUM(H228+H230+H233)</f>
        <v>#REF!</v>
      </c>
      <c r="I227" s="14" t="e">
        <f>SUM(H227/G234*100)</f>
        <v>#REF!</v>
      </c>
    </row>
    <row r="228" spans="1:9" s="16" customFormat="1" ht="15">
      <c r="A228" s="158" t="s">
        <v>36</v>
      </c>
      <c r="B228" s="314"/>
      <c r="C228" s="287" t="s">
        <v>123</v>
      </c>
      <c r="D228" s="288" t="s">
        <v>416</v>
      </c>
      <c r="E228" s="288" t="s">
        <v>502</v>
      </c>
      <c r="F228" s="290"/>
      <c r="G228" s="304">
        <f>SUM(G229)+G230</f>
        <v>6905.2</v>
      </c>
      <c r="H228" s="14">
        <f>SUM(H229)</f>
        <v>0</v>
      </c>
      <c r="I228" s="14">
        <f>SUM(H228/G235*100)</f>
        <v>0</v>
      </c>
    </row>
    <row r="229" spans="1:10" s="16" customFormat="1" ht="28.5" customHeight="1">
      <c r="A229" s="187" t="s">
        <v>697</v>
      </c>
      <c r="B229" s="314"/>
      <c r="C229" s="287" t="s">
        <v>123</v>
      </c>
      <c r="D229" s="288" t="s">
        <v>416</v>
      </c>
      <c r="E229" s="288" t="s">
        <v>502</v>
      </c>
      <c r="F229" s="290" t="s">
        <v>112</v>
      </c>
      <c r="G229" s="304">
        <v>6805.2</v>
      </c>
      <c r="H229" s="14"/>
      <c r="I229" s="14">
        <f>SUM(H229/G236*100)</f>
        <v>0</v>
      </c>
      <c r="J229" s="16">
        <f>SUM('ведомствен.2015'!G243)</f>
        <v>6805.200000000001</v>
      </c>
    </row>
    <row r="230" spans="1:10" s="16" customFormat="1" ht="27.75" customHeight="1">
      <c r="A230" s="149" t="s">
        <v>698</v>
      </c>
      <c r="B230" s="314"/>
      <c r="C230" s="287" t="s">
        <v>123</v>
      </c>
      <c r="D230" s="288" t="s">
        <v>416</v>
      </c>
      <c r="E230" s="288" t="s">
        <v>502</v>
      </c>
      <c r="F230" s="290" t="s">
        <v>507</v>
      </c>
      <c r="G230" s="304">
        <v>100</v>
      </c>
      <c r="H230" s="14" t="e">
        <f>SUM(#REF!)</f>
        <v>#REF!</v>
      </c>
      <c r="I230" s="14" t="e">
        <f>SUM(H230/G237*100)</f>
        <v>#REF!</v>
      </c>
      <c r="J230" s="16">
        <f>SUM('ведомствен.2015'!G244)</f>
        <v>100</v>
      </c>
    </row>
    <row r="231" spans="1:9" s="16" customFormat="1" ht="15" hidden="1">
      <c r="A231" s="333" t="s">
        <v>459</v>
      </c>
      <c r="B231" s="312"/>
      <c r="C231" s="287" t="s">
        <v>123</v>
      </c>
      <c r="D231" s="288" t="s">
        <v>416</v>
      </c>
      <c r="E231" s="75" t="s">
        <v>460</v>
      </c>
      <c r="F231" s="133"/>
      <c r="G231" s="304">
        <f>G232</f>
        <v>0</v>
      </c>
      <c r="H231" s="14"/>
      <c r="I231" s="14"/>
    </row>
    <row r="232" spans="1:10" s="16" customFormat="1" ht="15" hidden="1">
      <c r="A232" s="332" t="s">
        <v>450</v>
      </c>
      <c r="B232" s="312"/>
      <c r="C232" s="287" t="s">
        <v>123</v>
      </c>
      <c r="D232" s="288" t="s">
        <v>416</v>
      </c>
      <c r="E232" s="75" t="s">
        <v>460</v>
      </c>
      <c r="F232" s="133" t="s">
        <v>160</v>
      </c>
      <c r="G232" s="180"/>
      <c r="H232" s="14"/>
      <c r="I232" s="14"/>
      <c r="J232" s="16">
        <f>SUM('ведомствен.2015'!G345)</f>
        <v>0</v>
      </c>
    </row>
    <row r="233" spans="1:9" s="16" customFormat="1" ht="15">
      <c r="A233" s="158" t="s">
        <v>38</v>
      </c>
      <c r="B233" s="314"/>
      <c r="C233" s="287" t="s">
        <v>123</v>
      </c>
      <c r="D233" s="288" t="s">
        <v>98</v>
      </c>
      <c r="E233" s="288"/>
      <c r="F233" s="290"/>
      <c r="G233" s="304">
        <f>G234+G245</f>
        <v>60155.1</v>
      </c>
      <c r="H233" s="14">
        <f>SUM(H234)+H235</f>
        <v>15047</v>
      </c>
      <c r="I233" s="14">
        <f aca="true" t="shared" si="5" ref="I233:I238">SUM(H233/G239*100)</f>
        <v>64.51682059461639</v>
      </c>
    </row>
    <row r="234" spans="1:10" s="16" customFormat="1" ht="15">
      <c r="A234" s="158" t="s">
        <v>38</v>
      </c>
      <c r="B234" s="179"/>
      <c r="C234" s="287" t="s">
        <v>123</v>
      </c>
      <c r="D234" s="288" t="s">
        <v>98</v>
      </c>
      <c r="E234" s="124" t="s">
        <v>66</v>
      </c>
      <c r="F234" s="134"/>
      <c r="G234" s="304">
        <f>G235+G239+G243</f>
        <v>59455.1</v>
      </c>
      <c r="H234" s="18">
        <f>878+4272.1+2990.6</f>
        <v>8140.700000000001</v>
      </c>
      <c r="I234" s="14">
        <f t="shared" si="5"/>
        <v>34.904770480135156</v>
      </c>
      <c r="J234" s="36"/>
    </row>
    <row r="235" spans="1:10" s="16" customFormat="1" ht="15">
      <c r="A235" s="338" t="s">
        <v>67</v>
      </c>
      <c r="B235" s="179"/>
      <c r="C235" s="287" t="s">
        <v>123</v>
      </c>
      <c r="D235" s="288" t="s">
        <v>98</v>
      </c>
      <c r="E235" s="124" t="s">
        <v>68</v>
      </c>
      <c r="F235" s="134"/>
      <c r="G235" s="304">
        <f>SUM(G236)</f>
        <v>35934.1</v>
      </c>
      <c r="H235" s="18">
        <v>6906.3</v>
      </c>
      <c r="I235" s="14" t="e">
        <f t="shared" si="5"/>
        <v>#DIV/0!</v>
      </c>
      <c r="J235" s="36"/>
    </row>
    <row r="236" spans="1:10" s="16" customFormat="1" ht="28.5">
      <c r="A236" s="187" t="s">
        <v>697</v>
      </c>
      <c r="B236" s="179"/>
      <c r="C236" s="287" t="s">
        <v>123</v>
      </c>
      <c r="D236" s="288" t="s">
        <v>98</v>
      </c>
      <c r="E236" s="124" t="s">
        <v>68</v>
      </c>
      <c r="F236" s="134" t="s">
        <v>112</v>
      </c>
      <c r="G236" s="304">
        <v>35934.1</v>
      </c>
      <c r="H236" s="18">
        <f>SUM(H237)</f>
        <v>0</v>
      </c>
      <c r="I236" s="14" t="e">
        <f t="shared" si="5"/>
        <v>#DIV/0!</v>
      </c>
      <c r="J236" s="16">
        <f>SUM('ведомствен.2015'!G248)</f>
        <v>35934.1</v>
      </c>
    </row>
    <row r="237" spans="1:9" s="16" customFormat="1" ht="28.5" hidden="1">
      <c r="A237" s="158" t="s">
        <v>464</v>
      </c>
      <c r="B237" s="179"/>
      <c r="C237" s="287" t="s">
        <v>123</v>
      </c>
      <c r="D237" s="288" t="s">
        <v>98</v>
      </c>
      <c r="E237" s="124" t="s">
        <v>68</v>
      </c>
      <c r="F237" s="134" t="s">
        <v>465</v>
      </c>
      <c r="G237" s="304"/>
      <c r="H237" s="18">
        <f>SUM(H238)</f>
        <v>0</v>
      </c>
      <c r="I237" s="14">
        <f t="shared" si="5"/>
        <v>0</v>
      </c>
    </row>
    <row r="238" spans="1:9" s="16" customFormat="1" ht="28.5" hidden="1">
      <c r="A238" s="158" t="s">
        <v>466</v>
      </c>
      <c r="B238" s="179"/>
      <c r="C238" s="287" t="s">
        <v>123</v>
      </c>
      <c r="D238" s="288" t="s">
        <v>98</v>
      </c>
      <c r="E238" s="124" t="s">
        <v>68</v>
      </c>
      <c r="F238" s="134" t="s">
        <v>467</v>
      </c>
      <c r="G238" s="304"/>
      <c r="H238" s="18">
        <f>SUM(H239)</f>
        <v>0</v>
      </c>
      <c r="I238" s="14">
        <f t="shared" si="5"/>
        <v>0</v>
      </c>
    </row>
    <row r="239" spans="1:9" s="16" customFormat="1" ht="28.5">
      <c r="A239" s="158" t="s">
        <v>542</v>
      </c>
      <c r="B239" s="179"/>
      <c r="C239" s="287" t="s">
        <v>123</v>
      </c>
      <c r="D239" s="288" t="s">
        <v>98</v>
      </c>
      <c r="E239" s="124" t="s">
        <v>35</v>
      </c>
      <c r="F239" s="134"/>
      <c r="G239" s="304">
        <f>G240</f>
        <v>23322.6</v>
      </c>
      <c r="H239" s="18"/>
      <c r="I239" s="14">
        <f>SUM(H239/G248*100)</f>
        <v>0</v>
      </c>
    </row>
    <row r="240" spans="1:10" s="16" customFormat="1" ht="28.5">
      <c r="A240" s="187" t="s">
        <v>697</v>
      </c>
      <c r="B240" s="179"/>
      <c r="C240" s="287" t="s">
        <v>123</v>
      </c>
      <c r="D240" s="288" t="s">
        <v>98</v>
      </c>
      <c r="E240" s="124" t="s">
        <v>35</v>
      </c>
      <c r="F240" s="134" t="s">
        <v>112</v>
      </c>
      <c r="G240" s="304">
        <v>23322.6</v>
      </c>
      <c r="H240" s="18">
        <f>SUM(H241)</f>
        <v>0</v>
      </c>
      <c r="I240" s="14">
        <f>SUM(H240/G252*100)</f>
        <v>0</v>
      </c>
      <c r="J240" s="274">
        <f>SUM('ведомствен.2015'!G252)</f>
        <v>23322.6</v>
      </c>
    </row>
    <row r="241" spans="1:9" s="16" customFormat="1" ht="28.5" hidden="1">
      <c r="A241" s="158" t="s">
        <v>464</v>
      </c>
      <c r="B241" s="179"/>
      <c r="C241" s="287" t="s">
        <v>123</v>
      </c>
      <c r="D241" s="288" t="s">
        <v>98</v>
      </c>
      <c r="E241" s="124" t="s">
        <v>35</v>
      </c>
      <c r="F241" s="134" t="s">
        <v>465</v>
      </c>
      <c r="G241" s="304"/>
      <c r="H241" s="18">
        <f>SUM(H242:H248)</f>
        <v>0</v>
      </c>
      <c r="I241" s="14" t="e">
        <f>SUM(H241/G253*100)</f>
        <v>#DIV/0!</v>
      </c>
    </row>
    <row r="242" spans="1:9" s="16" customFormat="1" ht="28.5" hidden="1">
      <c r="A242" s="158" t="s">
        <v>466</v>
      </c>
      <c r="B242" s="179"/>
      <c r="C242" s="287" t="s">
        <v>123</v>
      </c>
      <c r="D242" s="288" t="s">
        <v>98</v>
      </c>
      <c r="E242" s="124" t="s">
        <v>35</v>
      </c>
      <c r="F242" s="134" t="s">
        <v>467</v>
      </c>
      <c r="G242" s="304"/>
      <c r="H242" s="18"/>
      <c r="I242" s="14" t="e">
        <f>SUM(H242/G254*100)</f>
        <v>#DIV/0!</v>
      </c>
    </row>
    <row r="243" spans="1:9" s="16" customFormat="1" ht="57">
      <c r="A243" s="337" t="s">
        <v>540</v>
      </c>
      <c r="B243" s="316"/>
      <c r="C243" s="279" t="s">
        <v>123</v>
      </c>
      <c r="D243" s="280" t="s">
        <v>98</v>
      </c>
      <c r="E243" s="122" t="s">
        <v>541</v>
      </c>
      <c r="F243" s="281"/>
      <c r="G243" s="306">
        <f>SUM(G244)</f>
        <v>198.4</v>
      </c>
      <c r="H243" s="18"/>
      <c r="I243" s="14" t="e">
        <f>SUM(H243/G255*100)</f>
        <v>#DIV/0!</v>
      </c>
    </row>
    <row r="244" spans="1:10" s="16" customFormat="1" ht="28.5">
      <c r="A244" s="187" t="s">
        <v>697</v>
      </c>
      <c r="B244" s="179"/>
      <c r="C244" s="287" t="s">
        <v>123</v>
      </c>
      <c r="D244" s="288" t="s">
        <v>98</v>
      </c>
      <c r="E244" s="122" t="s">
        <v>541</v>
      </c>
      <c r="F244" s="134" t="s">
        <v>112</v>
      </c>
      <c r="G244" s="304">
        <v>198.4</v>
      </c>
      <c r="H244" s="18"/>
      <c r="I244" s="14" t="e">
        <f>SUM(H244/G256*100)</f>
        <v>#DIV/0!</v>
      </c>
      <c r="J244" s="16">
        <f>SUM('ведомствен.2015'!G256)</f>
        <v>198.4</v>
      </c>
    </row>
    <row r="245" spans="1:9" s="16" customFormat="1" ht="15">
      <c r="A245" s="149" t="s">
        <v>497</v>
      </c>
      <c r="B245" s="198"/>
      <c r="C245" s="221" t="s">
        <v>123</v>
      </c>
      <c r="D245" s="220" t="s">
        <v>98</v>
      </c>
      <c r="E245" s="199" t="s">
        <v>121</v>
      </c>
      <c r="F245" s="242"/>
      <c r="G245" s="171">
        <f>SUM(G246)</f>
        <v>700</v>
      </c>
      <c r="H245" s="18"/>
      <c r="I245" s="14"/>
    </row>
    <row r="246" spans="1:9" s="16" customFormat="1" ht="42.75">
      <c r="A246" s="149" t="s">
        <v>688</v>
      </c>
      <c r="B246" s="198"/>
      <c r="C246" s="221" t="s">
        <v>123</v>
      </c>
      <c r="D246" s="220" t="s">
        <v>98</v>
      </c>
      <c r="E246" s="199" t="s">
        <v>689</v>
      </c>
      <c r="F246" s="242"/>
      <c r="G246" s="171">
        <f>SUM(G247)</f>
        <v>700</v>
      </c>
      <c r="H246" s="18"/>
      <c r="I246" s="14"/>
    </row>
    <row r="247" spans="1:10" s="16" customFormat="1" ht="28.5">
      <c r="A247" s="187" t="s">
        <v>697</v>
      </c>
      <c r="B247" s="198"/>
      <c r="C247" s="221" t="s">
        <v>123</v>
      </c>
      <c r="D247" s="220" t="s">
        <v>98</v>
      </c>
      <c r="E247" s="199" t="s">
        <v>689</v>
      </c>
      <c r="F247" s="242" t="s">
        <v>112</v>
      </c>
      <c r="G247" s="171">
        <v>700</v>
      </c>
      <c r="H247" s="18"/>
      <c r="I247" s="14"/>
      <c r="J247" s="16">
        <f>SUM('ведомствен.2015'!G259)</f>
        <v>700</v>
      </c>
    </row>
    <row r="248" spans="1:9" s="16" customFormat="1" ht="27.75" customHeight="1">
      <c r="A248" s="158" t="s">
        <v>59</v>
      </c>
      <c r="B248" s="179"/>
      <c r="C248" s="287" t="s">
        <v>123</v>
      </c>
      <c r="D248" s="288" t="s">
        <v>123</v>
      </c>
      <c r="E248" s="124"/>
      <c r="F248" s="134"/>
      <c r="G248" s="304">
        <f>G252+G249</f>
        <v>12037.3</v>
      </c>
      <c r="H248" s="18">
        <f>SUM(H252)</f>
        <v>0</v>
      </c>
      <c r="I248" s="14">
        <f>SUM(H248/G257*100)</f>
        <v>0</v>
      </c>
    </row>
    <row r="249" spans="1:9" s="16" customFormat="1" ht="27.75" customHeight="1">
      <c r="A249" s="149" t="s">
        <v>732</v>
      </c>
      <c r="B249" s="398"/>
      <c r="C249" s="221" t="s">
        <v>123</v>
      </c>
      <c r="D249" s="220" t="s">
        <v>123</v>
      </c>
      <c r="E249" s="220" t="s">
        <v>734</v>
      </c>
      <c r="F249" s="247"/>
      <c r="G249" s="171">
        <f>SUM(G250)</f>
        <v>896.4</v>
      </c>
      <c r="H249" s="18"/>
      <c r="I249" s="14"/>
    </row>
    <row r="250" spans="1:9" s="16" customFormat="1" ht="28.5">
      <c r="A250" s="149" t="s">
        <v>733</v>
      </c>
      <c r="B250" s="398"/>
      <c r="C250" s="221" t="s">
        <v>123</v>
      </c>
      <c r="D250" s="220" t="s">
        <v>123</v>
      </c>
      <c r="E250" s="220" t="s">
        <v>735</v>
      </c>
      <c r="F250" s="247"/>
      <c r="G250" s="171">
        <f>SUM(G251)</f>
        <v>896.4</v>
      </c>
      <c r="H250" s="18"/>
      <c r="I250" s="14"/>
    </row>
    <row r="251" spans="1:10" s="16" customFormat="1" ht="28.5">
      <c r="A251" s="149" t="s">
        <v>698</v>
      </c>
      <c r="B251" s="198"/>
      <c r="C251" s="221" t="s">
        <v>123</v>
      </c>
      <c r="D251" s="220" t="s">
        <v>123</v>
      </c>
      <c r="E251" s="220" t="s">
        <v>735</v>
      </c>
      <c r="F251" s="242" t="s">
        <v>507</v>
      </c>
      <c r="G251" s="171">
        <v>896.4</v>
      </c>
      <c r="H251" s="18"/>
      <c r="I251" s="14"/>
      <c r="J251" s="16">
        <f>SUM('ведомствен.2015'!G263)</f>
        <v>896.4</v>
      </c>
    </row>
    <row r="252" spans="1:9" s="16" customFormat="1" ht="15">
      <c r="A252" s="158" t="s">
        <v>497</v>
      </c>
      <c r="B252" s="179"/>
      <c r="C252" s="287" t="s">
        <v>123</v>
      </c>
      <c r="D252" s="288" t="s">
        <v>123</v>
      </c>
      <c r="E252" s="124" t="s">
        <v>121</v>
      </c>
      <c r="F252" s="134"/>
      <c r="G252" s="304">
        <f>G253+G255+G257+G259</f>
        <v>11140.9</v>
      </c>
      <c r="H252" s="18">
        <f>SUM(H253)</f>
        <v>0</v>
      </c>
      <c r="I252" s="14">
        <f>SUM(H252/G258*100)</f>
        <v>0</v>
      </c>
    </row>
    <row r="253" spans="1:9" s="16" customFormat="1" ht="28.5" hidden="1">
      <c r="A253" s="338" t="s">
        <v>503</v>
      </c>
      <c r="B253" s="179"/>
      <c r="C253" s="287" t="s">
        <v>123</v>
      </c>
      <c r="D253" s="288" t="s">
        <v>123</v>
      </c>
      <c r="E253" s="124" t="s">
        <v>12</v>
      </c>
      <c r="F253" s="134"/>
      <c r="G253" s="304">
        <f>G254</f>
        <v>0</v>
      </c>
      <c r="H253" s="18"/>
      <c r="I253" s="14">
        <f>SUM(H253/G259*100)</f>
        <v>0</v>
      </c>
    </row>
    <row r="254" spans="1:10" ht="28.5" hidden="1">
      <c r="A254" s="158" t="s">
        <v>470</v>
      </c>
      <c r="B254" s="179"/>
      <c r="C254" s="287" t="s">
        <v>123</v>
      </c>
      <c r="D254" s="288" t="s">
        <v>123</v>
      </c>
      <c r="E254" s="124" t="s">
        <v>12</v>
      </c>
      <c r="F254" s="134" t="s">
        <v>461</v>
      </c>
      <c r="G254" s="304"/>
      <c r="H254" s="14"/>
      <c r="I254" s="14"/>
      <c r="J254" s="16">
        <f>SUM('ведомствен.2015'!G266)</f>
        <v>0</v>
      </c>
    </row>
    <row r="255" spans="1:10" ht="42.75" hidden="1">
      <c r="A255" s="338" t="s">
        <v>504</v>
      </c>
      <c r="B255" s="179"/>
      <c r="C255" s="287" t="s">
        <v>505</v>
      </c>
      <c r="D255" s="288" t="s">
        <v>123</v>
      </c>
      <c r="E255" s="124" t="s">
        <v>13</v>
      </c>
      <c r="F255" s="134"/>
      <c r="G255" s="304">
        <f>G256</f>
        <v>0</v>
      </c>
      <c r="H255" s="14"/>
      <c r="I255" s="14"/>
      <c r="J255"/>
    </row>
    <row r="256" spans="1:10" ht="28.5" hidden="1">
      <c r="A256" s="158" t="s">
        <v>506</v>
      </c>
      <c r="B256" s="179"/>
      <c r="C256" s="287" t="s">
        <v>505</v>
      </c>
      <c r="D256" s="288" t="s">
        <v>123</v>
      </c>
      <c r="E256" s="124" t="s">
        <v>13</v>
      </c>
      <c r="F256" s="134" t="s">
        <v>507</v>
      </c>
      <c r="G256" s="304"/>
      <c r="H256" s="14"/>
      <c r="I256" s="14"/>
      <c r="J256" s="16">
        <f>SUM('ведомствен.2015'!G268)</f>
        <v>0</v>
      </c>
    </row>
    <row r="257" spans="1:10" ht="42.75">
      <c r="A257" s="158" t="s">
        <v>752</v>
      </c>
      <c r="B257" s="179"/>
      <c r="C257" s="287" t="s">
        <v>123</v>
      </c>
      <c r="D257" s="288" t="s">
        <v>123</v>
      </c>
      <c r="E257" s="124" t="s">
        <v>37</v>
      </c>
      <c r="F257" s="134"/>
      <c r="G257" s="304">
        <f>G258</f>
        <v>7130.7</v>
      </c>
      <c r="H257" s="14"/>
      <c r="I257" s="14"/>
      <c r="J257"/>
    </row>
    <row r="258" spans="1:10" ht="28.5">
      <c r="A258" s="149" t="s">
        <v>698</v>
      </c>
      <c r="B258" s="179"/>
      <c r="C258" s="287" t="s">
        <v>123</v>
      </c>
      <c r="D258" s="288" t="s">
        <v>123</v>
      </c>
      <c r="E258" s="124" t="s">
        <v>37</v>
      </c>
      <c r="F258" s="134" t="s">
        <v>507</v>
      </c>
      <c r="G258" s="304">
        <v>7130.7</v>
      </c>
      <c r="H258" s="14"/>
      <c r="I258" s="14"/>
      <c r="J258" s="16">
        <f>SUM('ведомствен.2015'!G270)</f>
        <v>7130.7</v>
      </c>
    </row>
    <row r="259" spans="1:10" ht="28.5">
      <c r="A259" s="338" t="s">
        <v>751</v>
      </c>
      <c r="B259" s="179"/>
      <c r="C259" s="287" t="s">
        <v>123</v>
      </c>
      <c r="D259" s="288" t="s">
        <v>123</v>
      </c>
      <c r="E259" s="124" t="s">
        <v>49</v>
      </c>
      <c r="F259" s="134"/>
      <c r="G259" s="304">
        <f>G260</f>
        <v>4010.2</v>
      </c>
      <c r="H259" s="14"/>
      <c r="I259" s="14"/>
      <c r="J259"/>
    </row>
    <row r="260" spans="1:10" ht="28.5">
      <c r="A260" s="149" t="s">
        <v>698</v>
      </c>
      <c r="B260" s="179"/>
      <c r="C260" s="287" t="s">
        <v>123</v>
      </c>
      <c r="D260" s="288" t="s">
        <v>123</v>
      </c>
      <c r="E260" s="124" t="s">
        <v>49</v>
      </c>
      <c r="F260" s="134" t="s">
        <v>507</v>
      </c>
      <c r="G260" s="304">
        <v>4010.2</v>
      </c>
      <c r="H260" s="14"/>
      <c r="I260" s="14"/>
      <c r="J260" s="16">
        <f>SUM('ведомствен.2015'!G272)</f>
        <v>4010.2</v>
      </c>
    </row>
    <row r="261" spans="1:12" ht="15">
      <c r="A261" s="335" t="s">
        <v>62</v>
      </c>
      <c r="B261" s="315"/>
      <c r="C261" s="136" t="s">
        <v>349</v>
      </c>
      <c r="D261" s="125"/>
      <c r="E261" s="125"/>
      <c r="F261" s="138"/>
      <c r="G261" s="305">
        <f>SUM(G262)</f>
        <v>5932.7</v>
      </c>
      <c r="H261" s="18">
        <f>SUM(H262)</f>
        <v>0</v>
      </c>
      <c r="I261" s="14">
        <f>SUM(H261/G267*100)</f>
        <v>0</v>
      </c>
      <c r="J261"/>
      <c r="K261">
        <f>SUM(J262:J271)</f>
        <v>5932.7</v>
      </c>
      <c r="L261">
        <f>SUM('ведомствен.2015'!G274)</f>
        <v>5932.7</v>
      </c>
    </row>
    <row r="262" spans="1:10" ht="15">
      <c r="A262" s="332" t="s">
        <v>62</v>
      </c>
      <c r="B262" s="312"/>
      <c r="C262" s="63" t="s">
        <v>349</v>
      </c>
      <c r="D262" s="75"/>
      <c r="E262" s="75"/>
      <c r="F262" s="133"/>
      <c r="G262" s="180">
        <f>SUM(G263)+G268</f>
        <v>5932.7</v>
      </c>
      <c r="H262" s="18">
        <f>SUM(H263)</f>
        <v>0</v>
      </c>
      <c r="I262" s="14">
        <f>SUM(H262/G268*100)</f>
        <v>0</v>
      </c>
      <c r="J262"/>
    </row>
    <row r="263" spans="1:9" s="23" customFormat="1" ht="15">
      <c r="A263" s="158" t="s">
        <v>63</v>
      </c>
      <c r="B263" s="314"/>
      <c r="C263" s="287" t="s">
        <v>349</v>
      </c>
      <c r="D263" s="288" t="s">
        <v>98</v>
      </c>
      <c r="E263" s="288" t="s">
        <v>508</v>
      </c>
      <c r="F263" s="290"/>
      <c r="G263" s="304">
        <f>SUM(G264)</f>
        <v>5387.7</v>
      </c>
      <c r="H263" s="18"/>
      <c r="I263" s="14">
        <f>SUM(H263/G269*100)</f>
        <v>0</v>
      </c>
    </row>
    <row r="264" spans="1:10" ht="28.5">
      <c r="A264" s="158" t="s">
        <v>51</v>
      </c>
      <c r="B264" s="314"/>
      <c r="C264" s="287" t="s">
        <v>349</v>
      </c>
      <c r="D264" s="288" t="s">
        <v>98</v>
      </c>
      <c r="E264" s="288" t="s">
        <v>509</v>
      </c>
      <c r="F264" s="290"/>
      <c r="G264" s="304">
        <f>SUM(G265:G267)</f>
        <v>5387.7</v>
      </c>
      <c r="H264" s="18" t="e">
        <f>SUM(H267+H268+#REF!)</f>
        <v>#REF!</v>
      </c>
      <c r="I264" s="14" t="e">
        <f>SUM(H264/G270*100)</f>
        <v>#REF!</v>
      </c>
      <c r="J264"/>
    </row>
    <row r="265" spans="1:10" ht="28.5">
      <c r="A265" s="158" t="s">
        <v>444</v>
      </c>
      <c r="B265" s="314"/>
      <c r="C265" s="287" t="s">
        <v>349</v>
      </c>
      <c r="D265" s="288" t="s">
        <v>98</v>
      </c>
      <c r="E265" s="288" t="s">
        <v>509</v>
      </c>
      <c r="F265" s="290" t="s">
        <v>445</v>
      </c>
      <c r="G265" s="304">
        <v>4448.9</v>
      </c>
      <c r="H265" s="18"/>
      <c r="I265" s="14">
        <f>SUM(H265/G271*100)</f>
        <v>0</v>
      </c>
      <c r="J265">
        <f>SUM('ведомствен.2015'!G278)</f>
        <v>4448.9</v>
      </c>
    </row>
    <row r="266" spans="1:10" ht="28.5">
      <c r="A266" s="187" t="s">
        <v>697</v>
      </c>
      <c r="B266" s="314"/>
      <c r="C266" s="287" t="s">
        <v>349</v>
      </c>
      <c r="D266" s="288" t="s">
        <v>98</v>
      </c>
      <c r="E266" s="288" t="s">
        <v>509</v>
      </c>
      <c r="F266" s="290" t="s">
        <v>112</v>
      </c>
      <c r="G266" s="304">
        <v>833.5</v>
      </c>
      <c r="H266" s="24">
        <v>300</v>
      </c>
      <c r="I266" s="14" t="e">
        <f>SUM(H266/#REF!*100)</f>
        <v>#REF!</v>
      </c>
      <c r="J266">
        <f>SUM('ведомствен.2015'!G279)</f>
        <v>833.5</v>
      </c>
    </row>
    <row r="267" spans="1:10" ht="15">
      <c r="A267" s="158" t="s">
        <v>450</v>
      </c>
      <c r="B267" s="314"/>
      <c r="C267" s="287" t="s">
        <v>349</v>
      </c>
      <c r="D267" s="288" t="s">
        <v>98</v>
      </c>
      <c r="E267" s="288" t="s">
        <v>509</v>
      </c>
      <c r="F267" s="290" t="s">
        <v>160</v>
      </c>
      <c r="G267" s="304">
        <v>105.3</v>
      </c>
      <c r="H267" s="18"/>
      <c r="I267" s="14" t="e">
        <f>SUM(H267/#REF!*100)</f>
        <v>#REF!</v>
      </c>
      <c r="J267">
        <f>SUM('ведомствен.2015'!G280)</f>
        <v>105.3</v>
      </c>
    </row>
    <row r="268" spans="1:10" ht="15">
      <c r="A268" s="158" t="s">
        <v>64</v>
      </c>
      <c r="B268" s="314"/>
      <c r="C268" s="287" t="s">
        <v>349</v>
      </c>
      <c r="D268" s="288" t="s">
        <v>123</v>
      </c>
      <c r="E268" s="292"/>
      <c r="F268" s="290"/>
      <c r="G268" s="304">
        <f>G270</f>
        <v>545</v>
      </c>
      <c r="H268" s="18">
        <f>SUM(H269:H271)</f>
        <v>347.3</v>
      </c>
      <c r="I268" s="14" t="e">
        <f>SUM(H268/#REF!*100)</f>
        <v>#REF!</v>
      </c>
      <c r="J268"/>
    </row>
    <row r="269" spans="1:9" ht="15">
      <c r="A269" s="158" t="s">
        <v>497</v>
      </c>
      <c r="B269" s="314"/>
      <c r="C269" s="287" t="s">
        <v>349</v>
      </c>
      <c r="D269" s="288" t="s">
        <v>123</v>
      </c>
      <c r="E269" s="124" t="s">
        <v>121</v>
      </c>
      <c r="F269" s="290"/>
      <c r="G269" s="304">
        <f>SUM(G270)</f>
        <v>545</v>
      </c>
      <c r="H269" s="18"/>
      <c r="I269" s="14" t="e">
        <f>SUM(H269/#REF!*100)</f>
        <v>#REF!</v>
      </c>
    </row>
    <row r="270" spans="1:10" ht="15">
      <c r="A270" s="158" t="s">
        <v>567</v>
      </c>
      <c r="B270" s="317"/>
      <c r="C270" s="287" t="s">
        <v>349</v>
      </c>
      <c r="D270" s="288" t="s">
        <v>123</v>
      </c>
      <c r="E270" s="288" t="s">
        <v>65</v>
      </c>
      <c r="F270" s="290"/>
      <c r="G270" s="304">
        <f>G271</f>
        <v>545</v>
      </c>
      <c r="H270" s="18"/>
      <c r="I270" s="14"/>
      <c r="J270"/>
    </row>
    <row r="271" spans="1:10" ht="28.5">
      <c r="A271" s="187" t="s">
        <v>697</v>
      </c>
      <c r="B271" s="314"/>
      <c r="C271" s="287" t="s">
        <v>349</v>
      </c>
      <c r="D271" s="288" t="s">
        <v>123</v>
      </c>
      <c r="E271" s="288" t="s">
        <v>65</v>
      </c>
      <c r="F271" s="290" t="s">
        <v>112</v>
      </c>
      <c r="G271" s="304">
        <v>545</v>
      </c>
      <c r="H271" s="18">
        <v>347.3</v>
      </c>
      <c r="I271" s="14" t="e">
        <f>SUM(H271/#REF!*100)</f>
        <v>#REF!</v>
      </c>
      <c r="J271">
        <f>SUM('ведомствен.2015'!G284)</f>
        <v>545</v>
      </c>
    </row>
    <row r="272" spans="1:12" s="25" customFormat="1" ht="15">
      <c r="A272" s="335" t="s">
        <v>108</v>
      </c>
      <c r="B272" s="315"/>
      <c r="C272" s="139" t="s">
        <v>109</v>
      </c>
      <c r="D272" s="126"/>
      <c r="E272" s="126"/>
      <c r="F272" s="137"/>
      <c r="G272" s="305">
        <f>SUM(G273+G303+G367+G393)</f>
        <v>1743883.0000000002</v>
      </c>
      <c r="H272" s="14"/>
      <c r="I272" s="14"/>
      <c r="K272" s="78">
        <f>SUM(J275:J401)</f>
        <v>1743882.9999999995</v>
      </c>
      <c r="L272" s="78">
        <f>SUM('ведомствен.2015'!G285+'ведомствен.2015'!G372+'ведомствен.2015'!G555+'ведомствен.2015'!G595+'ведомствен.2015'!G729)</f>
        <v>1743883.0000000002</v>
      </c>
    </row>
    <row r="273" spans="1:12" s="25" customFormat="1" ht="15">
      <c r="A273" s="337" t="s">
        <v>298</v>
      </c>
      <c r="B273" s="320"/>
      <c r="C273" s="77" t="s">
        <v>109</v>
      </c>
      <c r="D273" s="122" t="s">
        <v>414</v>
      </c>
      <c r="E273" s="122"/>
      <c r="F273" s="142"/>
      <c r="G273" s="183">
        <f>SUM(G274+G295)+G285</f>
        <v>623851.7000000001</v>
      </c>
      <c r="H273" s="14"/>
      <c r="I273" s="14"/>
      <c r="L273" s="72">
        <f>SUM(G272-L272)</f>
        <v>0</v>
      </c>
    </row>
    <row r="274" spans="1:9" s="25" customFormat="1" ht="15">
      <c r="A274" s="337" t="s">
        <v>299</v>
      </c>
      <c r="B274" s="320"/>
      <c r="C274" s="77" t="s">
        <v>109</v>
      </c>
      <c r="D274" s="122" t="s">
        <v>414</v>
      </c>
      <c r="E274" s="122" t="s">
        <v>300</v>
      </c>
      <c r="F274" s="142"/>
      <c r="G274" s="183">
        <f>SUM(G275+G281)</f>
        <v>210215.2</v>
      </c>
      <c r="H274" s="14"/>
      <c r="I274" s="14"/>
    </row>
    <row r="275" spans="1:10" ht="28.5">
      <c r="A275" s="337" t="s">
        <v>543</v>
      </c>
      <c r="B275" s="320"/>
      <c r="C275" s="77" t="s">
        <v>109</v>
      </c>
      <c r="D275" s="122" t="s">
        <v>414</v>
      </c>
      <c r="E275" s="122" t="s">
        <v>79</v>
      </c>
      <c r="F275" s="142"/>
      <c r="G275" s="183">
        <f>SUM(G276+G279)</f>
        <v>175854</v>
      </c>
      <c r="H275" s="14"/>
      <c r="I275" s="14"/>
      <c r="J275"/>
    </row>
    <row r="276" spans="1:10" ht="28.5">
      <c r="A276" s="337" t="s">
        <v>183</v>
      </c>
      <c r="B276" s="320"/>
      <c r="C276" s="77" t="s">
        <v>109</v>
      </c>
      <c r="D276" s="122" t="s">
        <v>414</v>
      </c>
      <c r="E276" s="122" t="s">
        <v>80</v>
      </c>
      <c r="F276" s="142"/>
      <c r="G276" s="183">
        <f>SUM(G277)</f>
        <v>175019</v>
      </c>
      <c r="H276" s="14"/>
      <c r="I276" s="14"/>
      <c r="J276"/>
    </row>
    <row r="277" spans="1:10" ht="28.5">
      <c r="A277" s="337" t="s">
        <v>470</v>
      </c>
      <c r="B277" s="320"/>
      <c r="C277" s="77" t="s">
        <v>109</v>
      </c>
      <c r="D277" s="122" t="s">
        <v>414</v>
      </c>
      <c r="E277" s="122" t="s">
        <v>80</v>
      </c>
      <c r="F277" s="142" t="s">
        <v>461</v>
      </c>
      <c r="G277" s="183">
        <v>175019</v>
      </c>
      <c r="H277" s="14"/>
      <c r="I277" s="14"/>
      <c r="J277">
        <f>SUM('ведомствен.2015'!G600)</f>
        <v>175019</v>
      </c>
    </row>
    <row r="278" spans="1:10" ht="15">
      <c r="A278" s="156" t="s">
        <v>148</v>
      </c>
      <c r="B278" s="321"/>
      <c r="C278" s="186" t="s">
        <v>109</v>
      </c>
      <c r="D278" s="153" t="s">
        <v>414</v>
      </c>
      <c r="E278" s="153" t="s">
        <v>628</v>
      </c>
      <c r="F278" s="155"/>
      <c r="G278" s="184">
        <f>SUM(G280)</f>
        <v>835</v>
      </c>
      <c r="H278" s="14"/>
      <c r="I278" s="14"/>
      <c r="J278"/>
    </row>
    <row r="279" spans="1:10" ht="28.5">
      <c r="A279" s="156" t="s">
        <v>144</v>
      </c>
      <c r="B279" s="321"/>
      <c r="C279" s="186" t="s">
        <v>109</v>
      </c>
      <c r="D279" s="153" t="s">
        <v>414</v>
      </c>
      <c r="E279" s="153" t="s">
        <v>629</v>
      </c>
      <c r="F279" s="155"/>
      <c r="G279" s="184">
        <f>SUM(G280)</f>
        <v>835</v>
      </c>
      <c r="H279" s="14"/>
      <c r="I279" s="14"/>
      <c r="J279"/>
    </row>
    <row r="280" spans="1:10" s="25" customFormat="1" ht="28.5">
      <c r="A280" s="158" t="s">
        <v>470</v>
      </c>
      <c r="B280" s="321"/>
      <c r="C280" s="186" t="s">
        <v>109</v>
      </c>
      <c r="D280" s="153" t="s">
        <v>414</v>
      </c>
      <c r="E280" s="153" t="s">
        <v>629</v>
      </c>
      <c r="F280" s="134" t="s">
        <v>461</v>
      </c>
      <c r="G280" s="184">
        <v>835</v>
      </c>
      <c r="H280" s="14"/>
      <c r="I280" s="14"/>
      <c r="J280">
        <f>SUM('ведомствен.2015'!G603)</f>
        <v>835</v>
      </c>
    </row>
    <row r="281" spans="1:9" s="25" customFormat="1" ht="28.5">
      <c r="A281" s="337" t="s">
        <v>51</v>
      </c>
      <c r="B281" s="320"/>
      <c r="C281" s="77" t="s">
        <v>109</v>
      </c>
      <c r="D281" s="122" t="s">
        <v>414</v>
      </c>
      <c r="E281" s="122" t="s">
        <v>301</v>
      </c>
      <c r="F281" s="142"/>
      <c r="G281" s="183">
        <f>SUM(G282+G283+G284)</f>
        <v>34361.2</v>
      </c>
      <c r="H281" s="14"/>
      <c r="I281" s="14"/>
    </row>
    <row r="282" spans="1:10" s="25" customFormat="1" ht="28.5">
      <c r="A282" s="337" t="s">
        <v>444</v>
      </c>
      <c r="B282" s="320"/>
      <c r="C282" s="77" t="s">
        <v>109</v>
      </c>
      <c r="D282" s="122" t="s">
        <v>414</v>
      </c>
      <c r="E282" s="122" t="s">
        <v>301</v>
      </c>
      <c r="F282" s="142" t="s">
        <v>445</v>
      </c>
      <c r="G282" s="183">
        <v>10940.2</v>
      </c>
      <c r="H282" s="14"/>
      <c r="I282" s="14"/>
      <c r="J282">
        <f>SUM('ведомствен.2015'!G605)</f>
        <v>10940.2</v>
      </c>
    </row>
    <row r="283" spans="1:10" s="25" customFormat="1" ht="28.5">
      <c r="A283" s="187" t="s">
        <v>697</v>
      </c>
      <c r="B283" s="322"/>
      <c r="C283" s="77" t="s">
        <v>109</v>
      </c>
      <c r="D283" s="122" t="s">
        <v>414</v>
      </c>
      <c r="E283" s="122" t="s">
        <v>301</v>
      </c>
      <c r="F283" s="142" t="s">
        <v>112</v>
      </c>
      <c r="G283" s="183">
        <v>21367.6</v>
      </c>
      <c r="H283" s="14"/>
      <c r="I283" s="14"/>
      <c r="J283">
        <f>SUM('ведомствен.2015'!G606)</f>
        <v>21367.6</v>
      </c>
    </row>
    <row r="284" spans="1:10" s="25" customFormat="1" ht="15">
      <c r="A284" s="337" t="s">
        <v>450</v>
      </c>
      <c r="B284" s="320"/>
      <c r="C284" s="77" t="s">
        <v>109</v>
      </c>
      <c r="D284" s="122" t="s">
        <v>414</v>
      </c>
      <c r="E284" s="122" t="s">
        <v>301</v>
      </c>
      <c r="F284" s="142" t="s">
        <v>160</v>
      </c>
      <c r="G284" s="183">
        <v>2053.4</v>
      </c>
      <c r="H284" s="14"/>
      <c r="I284" s="14"/>
      <c r="J284">
        <f>SUM('ведомствен.2015'!G607)</f>
        <v>2053.4</v>
      </c>
    </row>
    <row r="285" spans="1:9" s="25" customFormat="1" ht="42.75">
      <c r="A285" s="168" t="s">
        <v>630</v>
      </c>
      <c r="B285" s="400"/>
      <c r="C285" s="196" t="s">
        <v>109</v>
      </c>
      <c r="D285" s="192" t="s">
        <v>414</v>
      </c>
      <c r="E285" s="216" t="s">
        <v>631</v>
      </c>
      <c r="F285" s="259"/>
      <c r="G285" s="180">
        <f>SUM(G286+G292)</f>
        <v>406950.9</v>
      </c>
      <c r="H285" s="14">
        <f>SUM(H303+H307+H310+H312+H305)</f>
        <v>213007.5</v>
      </c>
      <c r="I285" s="14">
        <f>SUM(H285/G303*100)</f>
        <v>19.79006729686676</v>
      </c>
    </row>
    <row r="286" spans="1:10" ht="28.5">
      <c r="A286" s="337" t="s">
        <v>543</v>
      </c>
      <c r="B286" s="400"/>
      <c r="C286" s="196" t="s">
        <v>109</v>
      </c>
      <c r="D286" s="192" t="s">
        <v>414</v>
      </c>
      <c r="E286" s="216" t="s">
        <v>664</v>
      </c>
      <c r="F286" s="259"/>
      <c r="G286" s="180">
        <f>SUM(G287+G289)</f>
        <v>352738.60000000003</v>
      </c>
      <c r="H286" s="14"/>
      <c r="I286" s="14"/>
      <c r="J286"/>
    </row>
    <row r="287" spans="1:10" ht="28.5">
      <c r="A287" s="341" t="s">
        <v>183</v>
      </c>
      <c r="B287" s="400"/>
      <c r="C287" s="196" t="s">
        <v>109</v>
      </c>
      <c r="D287" s="192" t="s">
        <v>414</v>
      </c>
      <c r="E287" s="162" t="s">
        <v>633</v>
      </c>
      <c r="F287" s="242"/>
      <c r="G287" s="180">
        <f>SUM(G288)</f>
        <v>347147.7</v>
      </c>
      <c r="H287" s="14">
        <v>187516.5</v>
      </c>
      <c r="I287" s="14">
        <f>SUM(H287/G305*100)</f>
        <v>186.76532984336998</v>
      </c>
      <c r="J287"/>
    </row>
    <row r="288" spans="1:10" ht="28.5">
      <c r="A288" s="164" t="s">
        <v>470</v>
      </c>
      <c r="B288" s="400"/>
      <c r="C288" s="196" t="s">
        <v>109</v>
      </c>
      <c r="D288" s="192" t="s">
        <v>414</v>
      </c>
      <c r="E288" s="162" t="s">
        <v>633</v>
      </c>
      <c r="F288" s="242" t="s">
        <v>461</v>
      </c>
      <c r="G288" s="180">
        <v>347147.7</v>
      </c>
      <c r="H288" s="14"/>
      <c r="I288" s="14"/>
      <c r="J288">
        <f>SUM('ведомствен.2015'!G611)</f>
        <v>347147.7</v>
      </c>
    </row>
    <row r="289" spans="1:10" ht="15">
      <c r="A289" s="159" t="s">
        <v>148</v>
      </c>
      <c r="B289" s="400"/>
      <c r="C289" s="196" t="s">
        <v>109</v>
      </c>
      <c r="D289" s="192" t="s">
        <v>414</v>
      </c>
      <c r="E289" s="162" t="s">
        <v>635</v>
      </c>
      <c r="F289" s="242"/>
      <c r="G289" s="180">
        <f>SUM(G290)</f>
        <v>5590.9</v>
      </c>
      <c r="H289" s="14"/>
      <c r="I289" s="14"/>
      <c r="J289"/>
    </row>
    <row r="290" spans="1:10" ht="28.5">
      <c r="A290" s="164" t="s">
        <v>370</v>
      </c>
      <c r="B290" s="400"/>
      <c r="C290" s="196" t="s">
        <v>109</v>
      </c>
      <c r="D290" s="192" t="s">
        <v>414</v>
      </c>
      <c r="E290" s="162" t="s">
        <v>634</v>
      </c>
      <c r="F290" s="242"/>
      <c r="G290" s="180">
        <f>SUM(G291)</f>
        <v>5590.9</v>
      </c>
      <c r="H290" s="14"/>
      <c r="I290" s="14"/>
      <c r="J290"/>
    </row>
    <row r="291" spans="1:10" ht="28.5">
      <c r="A291" s="164" t="s">
        <v>470</v>
      </c>
      <c r="B291" s="400"/>
      <c r="C291" s="196" t="s">
        <v>109</v>
      </c>
      <c r="D291" s="192" t="s">
        <v>414</v>
      </c>
      <c r="E291" s="162" t="s">
        <v>634</v>
      </c>
      <c r="F291" s="242" t="s">
        <v>461</v>
      </c>
      <c r="G291" s="180">
        <v>5590.9</v>
      </c>
      <c r="H291" s="14"/>
      <c r="I291" s="14"/>
      <c r="J291">
        <f>SUM('ведомствен.2015'!G614)</f>
        <v>5590.9</v>
      </c>
    </row>
    <row r="292" spans="1:10" ht="28.5">
      <c r="A292" s="341" t="s">
        <v>51</v>
      </c>
      <c r="B292" s="400"/>
      <c r="C292" s="196" t="s">
        <v>109</v>
      </c>
      <c r="D292" s="192" t="s">
        <v>414</v>
      </c>
      <c r="E292" s="162" t="s">
        <v>632</v>
      </c>
      <c r="F292" s="259"/>
      <c r="G292" s="180">
        <f>SUM(G293:G294)</f>
        <v>54212.3</v>
      </c>
      <c r="H292" s="14"/>
      <c r="I292" s="14"/>
      <c r="J292"/>
    </row>
    <row r="293" spans="1:10" ht="28.5">
      <c r="A293" s="164" t="s">
        <v>444</v>
      </c>
      <c r="B293" s="400"/>
      <c r="C293" s="196" t="s">
        <v>109</v>
      </c>
      <c r="D293" s="192" t="s">
        <v>414</v>
      </c>
      <c r="E293" s="162" t="s">
        <v>632</v>
      </c>
      <c r="F293" s="242" t="s">
        <v>445</v>
      </c>
      <c r="G293" s="180">
        <v>52750.3</v>
      </c>
      <c r="H293" s="14"/>
      <c r="I293" s="14"/>
      <c r="J293">
        <f>SUM('ведомствен.2015'!G616)</f>
        <v>52750.3</v>
      </c>
    </row>
    <row r="294" spans="1:10" ht="28.5">
      <c r="A294" s="187" t="s">
        <v>697</v>
      </c>
      <c r="B294" s="400"/>
      <c r="C294" s="196" t="s">
        <v>109</v>
      </c>
      <c r="D294" s="192" t="s">
        <v>414</v>
      </c>
      <c r="E294" s="162" t="s">
        <v>632</v>
      </c>
      <c r="F294" s="242" t="s">
        <v>112</v>
      </c>
      <c r="G294" s="180">
        <v>1462</v>
      </c>
      <c r="H294" s="14"/>
      <c r="I294" s="14"/>
      <c r="J294">
        <f>SUM('ведомствен.2015'!G617)</f>
        <v>1462</v>
      </c>
    </row>
    <row r="295" spans="1:9" s="16" customFormat="1" ht="15">
      <c r="A295" s="337" t="s">
        <v>530</v>
      </c>
      <c r="B295" s="323"/>
      <c r="C295" s="77" t="s">
        <v>109</v>
      </c>
      <c r="D295" s="122" t="s">
        <v>414</v>
      </c>
      <c r="E295" s="122" t="s">
        <v>121</v>
      </c>
      <c r="F295" s="142"/>
      <c r="G295" s="183">
        <f>G296+G300</f>
        <v>6685.6</v>
      </c>
      <c r="H295" s="14"/>
      <c r="I295" s="14"/>
    </row>
    <row r="296" spans="1:9" s="16" customFormat="1" ht="28.5">
      <c r="A296" s="337" t="s">
        <v>544</v>
      </c>
      <c r="B296" s="320"/>
      <c r="C296" s="77" t="s">
        <v>109</v>
      </c>
      <c r="D296" s="122" t="s">
        <v>414</v>
      </c>
      <c r="E296" s="122" t="s">
        <v>325</v>
      </c>
      <c r="F296" s="142"/>
      <c r="G296" s="183">
        <f>SUM(G297:G299)</f>
        <v>6325.6</v>
      </c>
      <c r="H296" s="14">
        <v>187516.5</v>
      </c>
      <c r="I296" s="14">
        <f>SUM(H296/G307*100)</f>
        <v>187.512374727756</v>
      </c>
    </row>
    <row r="297" spans="1:10" s="16" customFormat="1" ht="28.5">
      <c r="A297" s="187" t="s">
        <v>697</v>
      </c>
      <c r="B297" s="324"/>
      <c r="C297" s="77" t="s">
        <v>109</v>
      </c>
      <c r="D297" s="122" t="s">
        <v>414</v>
      </c>
      <c r="E297" s="122" t="s">
        <v>325</v>
      </c>
      <c r="F297" s="142" t="s">
        <v>112</v>
      </c>
      <c r="G297" s="183">
        <v>1534.9</v>
      </c>
      <c r="H297" s="14"/>
      <c r="I297" s="14"/>
      <c r="J297">
        <f>SUM('ведомствен.2015'!G620)</f>
        <v>1534.9</v>
      </c>
    </row>
    <row r="298" spans="1:10" s="16" customFormat="1" ht="15">
      <c r="A298" s="187" t="s">
        <v>738</v>
      </c>
      <c r="B298" s="401"/>
      <c r="C298" s="214" t="s">
        <v>109</v>
      </c>
      <c r="D298" s="199" t="s">
        <v>414</v>
      </c>
      <c r="E298" s="199" t="s">
        <v>325</v>
      </c>
      <c r="F298" s="258" t="s">
        <v>455</v>
      </c>
      <c r="G298" s="174">
        <v>3425.6</v>
      </c>
      <c r="H298" s="14"/>
      <c r="I298" s="14"/>
      <c r="J298">
        <f>SUM('ведомствен.2015'!G621)</f>
        <v>3425.6</v>
      </c>
    </row>
    <row r="299" spans="1:10" s="16" customFormat="1" ht="28.5">
      <c r="A299" s="158" t="s">
        <v>470</v>
      </c>
      <c r="B299" s="324"/>
      <c r="C299" s="77" t="s">
        <v>109</v>
      </c>
      <c r="D299" s="122" t="s">
        <v>414</v>
      </c>
      <c r="E299" s="122" t="s">
        <v>325</v>
      </c>
      <c r="F299" s="142" t="s">
        <v>461</v>
      </c>
      <c r="G299" s="183">
        <v>1365.1</v>
      </c>
      <c r="H299" s="14"/>
      <c r="I299" s="14"/>
      <c r="J299">
        <f>SUM('ведомствен.2015'!G622)</f>
        <v>1365.1</v>
      </c>
    </row>
    <row r="300" spans="1:10" s="16" customFormat="1" ht="28.5">
      <c r="A300" s="158" t="s">
        <v>636</v>
      </c>
      <c r="B300" s="325"/>
      <c r="C300" s="74" t="s">
        <v>109</v>
      </c>
      <c r="D300" s="124" t="s">
        <v>414</v>
      </c>
      <c r="E300" s="124" t="s">
        <v>637</v>
      </c>
      <c r="F300" s="134"/>
      <c r="G300" s="180">
        <f>SUM(G301:G302)</f>
        <v>360</v>
      </c>
      <c r="H300" s="14"/>
      <c r="I300" s="14"/>
      <c r="J300"/>
    </row>
    <row r="301" spans="1:10" s="16" customFormat="1" ht="28.5">
      <c r="A301" s="187" t="s">
        <v>697</v>
      </c>
      <c r="B301" s="325"/>
      <c r="C301" s="74" t="s">
        <v>109</v>
      </c>
      <c r="D301" s="124" t="s">
        <v>414</v>
      </c>
      <c r="E301" s="124" t="s">
        <v>637</v>
      </c>
      <c r="F301" s="134" t="s">
        <v>112</v>
      </c>
      <c r="G301" s="180">
        <v>110</v>
      </c>
      <c r="H301" s="14"/>
      <c r="I301" s="14"/>
      <c r="J301">
        <f>SUM('ведомствен.2015'!G624)</f>
        <v>110</v>
      </c>
    </row>
    <row r="302" spans="1:10" s="16" customFormat="1" ht="28.5">
      <c r="A302" s="149" t="s">
        <v>470</v>
      </c>
      <c r="B302" s="402"/>
      <c r="C302" s="196" t="s">
        <v>109</v>
      </c>
      <c r="D302" s="192" t="s">
        <v>414</v>
      </c>
      <c r="E302" s="192" t="s">
        <v>637</v>
      </c>
      <c r="F302" s="242" t="s">
        <v>461</v>
      </c>
      <c r="G302" s="161">
        <v>250</v>
      </c>
      <c r="H302" s="14"/>
      <c r="I302" s="14"/>
      <c r="J302">
        <f>SUM('ведомствен.2015'!G625)</f>
        <v>250</v>
      </c>
    </row>
    <row r="303" spans="1:11" s="25" customFormat="1" ht="15">
      <c r="A303" s="337" t="s">
        <v>302</v>
      </c>
      <c r="B303" s="320"/>
      <c r="C303" s="77" t="s">
        <v>109</v>
      </c>
      <c r="D303" s="122" t="s">
        <v>416</v>
      </c>
      <c r="E303" s="122"/>
      <c r="F303" s="142"/>
      <c r="G303" s="183">
        <f>SUM(G304+G315+G325+G330+G352+G359)</f>
        <v>1076335.4</v>
      </c>
      <c r="H303" s="14">
        <v>187516.5</v>
      </c>
      <c r="I303" s="14">
        <f>SUM(H303/G310*100)</f>
        <v>46879.125</v>
      </c>
      <c r="J303" s="39"/>
      <c r="K303" s="25">
        <f>SUM(J304:J365)</f>
        <v>1076302.4</v>
      </c>
    </row>
    <row r="304" spans="1:9" s="25" customFormat="1" ht="28.5">
      <c r="A304" s="337" t="s">
        <v>303</v>
      </c>
      <c r="B304" s="320"/>
      <c r="C304" s="77" t="s">
        <v>109</v>
      </c>
      <c r="D304" s="122" t="s">
        <v>416</v>
      </c>
      <c r="E304" s="122" t="s">
        <v>304</v>
      </c>
      <c r="F304" s="142"/>
      <c r="G304" s="183">
        <f>G305+G311</f>
        <v>193273.8</v>
      </c>
      <c r="H304" s="14"/>
      <c r="I304" s="14">
        <f>SUM(H304/G311*100)</f>
        <v>0</v>
      </c>
    </row>
    <row r="305" spans="1:10" ht="28.5">
      <c r="A305" s="337" t="s">
        <v>14</v>
      </c>
      <c r="B305" s="320"/>
      <c r="C305" s="77" t="s">
        <v>109</v>
      </c>
      <c r="D305" s="122" t="s">
        <v>416</v>
      </c>
      <c r="E305" s="122" t="s">
        <v>81</v>
      </c>
      <c r="F305" s="142"/>
      <c r="G305" s="183">
        <f>G306+G309</f>
        <v>100402.2</v>
      </c>
      <c r="H305" s="14">
        <f>SUM(H306)</f>
        <v>120.3</v>
      </c>
      <c r="I305" s="14">
        <f>SUM(H305/G312*100)</f>
        <v>0.3491693079307583</v>
      </c>
      <c r="J305"/>
    </row>
    <row r="306" spans="1:10" ht="28.5">
      <c r="A306" s="337" t="s">
        <v>183</v>
      </c>
      <c r="B306" s="320"/>
      <c r="C306" s="77" t="s">
        <v>109</v>
      </c>
      <c r="D306" s="122" t="s">
        <v>416</v>
      </c>
      <c r="E306" s="122" t="s">
        <v>82</v>
      </c>
      <c r="F306" s="142"/>
      <c r="G306" s="183">
        <f>SUM(G307)</f>
        <v>100002.2</v>
      </c>
      <c r="H306" s="14">
        <v>120.3</v>
      </c>
      <c r="I306" s="14">
        <f>SUM(H306/G313*100)</f>
        <v>0.2656057157113619</v>
      </c>
      <c r="J306"/>
    </row>
    <row r="307" spans="1:10" s="25" customFormat="1" ht="28.5">
      <c r="A307" s="337" t="s">
        <v>463</v>
      </c>
      <c r="B307" s="320"/>
      <c r="C307" s="77" t="s">
        <v>109</v>
      </c>
      <c r="D307" s="122" t="s">
        <v>416</v>
      </c>
      <c r="E307" s="122" t="s">
        <v>82</v>
      </c>
      <c r="F307" s="142" t="s">
        <v>461</v>
      </c>
      <c r="G307" s="183">
        <v>100002.2</v>
      </c>
      <c r="H307" s="14">
        <f>SUM(H309)</f>
        <v>24134</v>
      </c>
      <c r="I307" s="14">
        <f>SUM(H307/G314*100)</f>
        <v>183.86828892935233</v>
      </c>
      <c r="J307">
        <f>SUM('ведомствен.2015'!G630)</f>
        <v>100002.2</v>
      </c>
    </row>
    <row r="308" spans="1:10" s="25" customFormat="1" ht="15">
      <c r="A308" s="156" t="s">
        <v>148</v>
      </c>
      <c r="B308" s="320"/>
      <c r="C308" s="77" t="s">
        <v>109</v>
      </c>
      <c r="D308" s="122" t="s">
        <v>416</v>
      </c>
      <c r="E308" s="122" t="s">
        <v>638</v>
      </c>
      <c r="F308" s="142"/>
      <c r="G308" s="183">
        <f>SUM(G309)</f>
        <v>400</v>
      </c>
      <c r="H308" s="14"/>
      <c r="I308" s="14"/>
      <c r="J308"/>
    </row>
    <row r="309" spans="1:10" s="25" customFormat="1" ht="28.5">
      <c r="A309" s="156" t="s">
        <v>191</v>
      </c>
      <c r="B309" s="321"/>
      <c r="C309" s="186" t="s">
        <v>109</v>
      </c>
      <c r="D309" s="153" t="s">
        <v>416</v>
      </c>
      <c r="E309" s="153" t="s">
        <v>639</v>
      </c>
      <c r="F309" s="155"/>
      <c r="G309" s="184">
        <f>SUM(G310)</f>
        <v>400</v>
      </c>
      <c r="H309" s="14">
        <v>24134</v>
      </c>
      <c r="I309" s="14" t="e">
        <f>SUM(H309/#REF!*100)</f>
        <v>#REF!</v>
      </c>
      <c r="J309" s="39"/>
    </row>
    <row r="310" spans="1:10" s="25" customFormat="1" ht="28.5">
      <c r="A310" s="158" t="s">
        <v>470</v>
      </c>
      <c r="B310" s="321"/>
      <c r="C310" s="186" t="s">
        <v>109</v>
      </c>
      <c r="D310" s="153" t="s">
        <v>416</v>
      </c>
      <c r="E310" s="153" t="s">
        <v>639</v>
      </c>
      <c r="F310" s="155" t="s">
        <v>461</v>
      </c>
      <c r="G310" s="184">
        <v>400</v>
      </c>
      <c r="H310" s="14">
        <f>SUM(H311)</f>
        <v>1236.7</v>
      </c>
      <c r="I310" s="14" t="e">
        <f>SUM(H310/#REF!*100)</f>
        <v>#REF!</v>
      </c>
      <c r="J310">
        <f>SUM('ведомствен.2015'!G633)</f>
        <v>400</v>
      </c>
    </row>
    <row r="311" spans="1:10" s="25" customFormat="1" ht="28.5">
      <c r="A311" s="337" t="s">
        <v>51</v>
      </c>
      <c r="B311" s="320"/>
      <c r="C311" s="77" t="s">
        <v>109</v>
      </c>
      <c r="D311" s="122" t="s">
        <v>416</v>
      </c>
      <c r="E311" s="122" t="s">
        <v>305</v>
      </c>
      <c r="F311" s="142"/>
      <c r="G311" s="183">
        <f>SUM(G312+G313+G314)</f>
        <v>92871.59999999999</v>
      </c>
      <c r="H311" s="14">
        <v>1236.7</v>
      </c>
      <c r="I311" s="14" t="e">
        <f>SUM(H311/#REF!*100)</f>
        <v>#REF!</v>
      </c>
      <c r="J311" s="39"/>
    </row>
    <row r="312" spans="1:10" s="25" customFormat="1" ht="28.5">
      <c r="A312" s="337" t="s">
        <v>444</v>
      </c>
      <c r="B312" s="320"/>
      <c r="C312" s="77" t="s">
        <v>109</v>
      </c>
      <c r="D312" s="122" t="s">
        <v>416</v>
      </c>
      <c r="E312" s="122" t="s">
        <v>305</v>
      </c>
      <c r="F312" s="142" t="s">
        <v>445</v>
      </c>
      <c r="G312" s="183">
        <v>34453.2</v>
      </c>
      <c r="H312" s="14">
        <f>SUM(H313)</f>
        <v>0</v>
      </c>
      <c r="I312" s="14">
        <f>SUM(H312/G315*100)</f>
        <v>0</v>
      </c>
      <c r="J312">
        <f>SUM('ведомствен.2015'!G635)</f>
        <v>34453.2</v>
      </c>
    </row>
    <row r="313" spans="1:10" s="25" customFormat="1" ht="28.5">
      <c r="A313" s="187" t="s">
        <v>697</v>
      </c>
      <c r="B313" s="320"/>
      <c r="C313" s="77" t="s">
        <v>109</v>
      </c>
      <c r="D313" s="122" t="s">
        <v>416</v>
      </c>
      <c r="E313" s="122" t="s">
        <v>305</v>
      </c>
      <c r="F313" s="142" t="s">
        <v>112</v>
      </c>
      <c r="G313" s="183">
        <v>45292.7</v>
      </c>
      <c r="H313" s="14"/>
      <c r="I313" s="14">
        <f>SUM(H313/G316*100)</f>
        <v>0</v>
      </c>
      <c r="J313">
        <f>SUM('ведомствен.2015'!G636)</f>
        <v>45292.7</v>
      </c>
    </row>
    <row r="314" spans="1:15" s="25" customFormat="1" ht="15">
      <c r="A314" s="337" t="s">
        <v>450</v>
      </c>
      <c r="B314" s="324"/>
      <c r="C314" s="77" t="s">
        <v>109</v>
      </c>
      <c r="D314" s="122" t="s">
        <v>416</v>
      </c>
      <c r="E314" s="122" t="s">
        <v>305</v>
      </c>
      <c r="F314" s="294">
        <v>800</v>
      </c>
      <c r="G314" s="183">
        <v>13125.7</v>
      </c>
      <c r="H314" s="14" t="e">
        <f>SUM(#REF!)</f>
        <v>#REF!</v>
      </c>
      <c r="I314" s="14" t="e">
        <f>SUM(H314/G317*100)</f>
        <v>#REF!</v>
      </c>
      <c r="J314">
        <f>SUM('ведомствен.2015'!G637)</f>
        <v>13125.7</v>
      </c>
      <c r="O314" s="72">
        <f>SUM(G317+G326)</f>
        <v>7227.6</v>
      </c>
    </row>
    <row r="315" spans="1:10" ht="15">
      <c r="A315" s="337" t="s">
        <v>562</v>
      </c>
      <c r="B315" s="322"/>
      <c r="C315" s="77" t="s">
        <v>109</v>
      </c>
      <c r="D315" s="122" t="s">
        <v>416</v>
      </c>
      <c r="E315" s="122" t="s">
        <v>289</v>
      </c>
      <c r="F315" s="142"/>
      <c r="G315" s="183">
        <f>SUM(G316)</f>
        <v>164946.2</v>
      </c>
      <c r="H315" s="14">
        <v>56722</v>
      </c>
      <c r="I315" s="14">
        <f>SUM(H315/G325*100)</f>
        <v>784.7971664176213</v>
      </c>
      <c r="J315"/>
    </row>
    <row r="316" spans="1:10" ht="28.5">
      <c r="A316" s="337" t="s">
        <v>543</v>
      </c>
      <c r="B316" s="320"/>
      <c r="C316" s="77" t="s">
        <v>109</v>
      </c>
      <c r="D316" s="122" t="s">
        <v>416</v>
      </c>
      <c r="E316" s="122" t="s">
        <v>73</v>
      </c>
      <c r="F316" s="142"/>
      <c r="G316" s="183">
        <f>SUM(G319+G321)</f>
        <v>164946.2</v>
      </c>
      <c r="H316" s="14" t="e">
        <f>SUM(#REF!)</f>
        <v>#REF!</v>
      </c>
      <c r="I316" s="14" t="e">
        <f>SUM(H316/G326*100)</f>
        <v>#REF!</v>
      </c>
      <c r="J316"/>
    </row>
    <row r="317" spans="1:9" s="16" customFormat="1" ht="57" hidden="1">
      <c r="A317" s="337" t="s">
        <v>188</v>
      </c>
      <c r="B317" s="320"/>
      <c r="C317" s="77" t="s">
        <v>109</v>
      </c>
      <c r="D317" s="122" t="s">
        <v>416</v>
      </c>
      <c r="E317" s="122" t="s">
        <v>189</v>
      </c>
      <c r="F317" s="142"/>
      <c r="G317" s="183">
        <f>SUM(G318)</f>
        <v>0</v>
      </c>
      <c r="H317" s="14"/>
      <c r="I317" s="14"/>
    </row>
    <row r="318" spans="1:9" s="16" customFormat="1" ht="15" hidden="1">
      <c r="A318" s="337" t="s">
        <v>148</v>
      </c>
      <c r="B318" s="320"/>
      <c r="C318" s="77" t="s">
        <v>109</v>
      </c>
      <c r="D318" s="122" t="s">
        <v>416</v>
      </c>
      <c r="E318" s="122" t="s">
        <v>189</v>
      </c>
      <c r="F318" s="142" t="s">
        <v>78</v>
      </c>
      <c r="G318" s="183"/>
      <c r="H318" s="14"/>
      <c r="I318" s="14"/>
    </row>
    <row r="319" spans="1:9" s="16" customFormat="1" ht="28.5">
      <c r="A319" s="337" t="s">
        <v>87</v>
      </c>
      <c r="B319" s="320"/>
      <c r="C319" s="77" t="s">
        <v>109</v>
      </c>
      <c r="D319" s="122" t="s">
        <v>416</v>
      </c>
      <c r="E319" s="122" t="s">
        <v>74</v>
      </c>
      <c r="F319" s="142"/>
      <c r="G319" s="183">
        <f>SUM(G320)</f>
        <v>164896.2</v>
      </c>
      <c r="H319" s="14"/>
      <c r="I319" s="14"/>
    </row>
    <row r="320" spans="1:10" s="16" customFormat="1" ht="28.5">
      <c r="A320" s="337" t="s">
        <v>463</v>
      </c>
      <c r="B320" s="320"/>
      <c r="C320" s="77" t="s">
        <v>109</v>
      </c>
      <c r="D320" s="122" t="s">
        <v>416</v>
      </c>
      <c r="E320" s="122" t="s">
        <v>74</v>
      </c>
      <c r="F320" s="142" t="s">
        <v>461</v>
      </c>
      <c r="G320" s="183">
        <v>164896.2</v>
      </c>
      <c r="H320" s="14"/>
      <c r="I320" s="14"/>
      <c r="J320" s="16">
        <f>SUM('ведомствен.2015'!G734+'ведомствен.2015'!G643+'ведомствен.2015'!G560)</f>
        <v>164896.2</v>
      </c>
    </row>
    <row r="321" spans="1:9" s="16" customFormat="1" ht="15">
      <c r="A321" s="337" t="s">
        <v>148</v>
      </c>
      <c r="B321" s="320"/>
      <c r="C321" s="74" t="s">
        <v>109</v>
      </c>
      <c r="D321" s="124" t="s">
        <v>416</v>
      </c>
      <c r="E321" s="124" t="s">
        <v>141</v>
      </c>
      <c r="F321" s="135"/>
      <c r="G321" s="180">
        <f>SUM(G322)</f>
        <v>50</v>
      </c>
      <c r="H321" s="14"/>
      <c r="I321" s="14"/>
    </row>
    <row r="322" spans="1:9" s="16" customFormat="1" ht="28.5">
      <c r="A322" s="337" t="s">
        <v>144</v>
      </c>
      <c r="B322" s="320"/>
      <c r="C322" s="74" t="s">
        <v>109</v>
      </c>
      <c r="D322" s="124" t="s">
        <v>416</v>
      </c>
      <c r="E322" s="124" t="s">
        <v>196</v>
      </c>
      <c r="F322" s="135"/>
      <c r="G322" s="180">
        <f>SUM(G323)</f>
        <v>50</v>
      </c>
      <c r="H322" s="14"/>
      <c r="I322" s="14"/>
    </row>
    <row r="323" spans="1:10" s="16" customFormat="1" ht="27" customHeight="1">
      <c r="A323" s="337" t="s">
        <v>463</v>
      </c>
      <c r="B323" s="320"/>
      <c r="C323" s="74" t="s">
        <v>109</v>
      </c>
      <c r="D323" s="124" t="s">
        <v>416</v>
      </c>
      <c r="E323" s="124" t="s">
        <v>196</v>
      </c>
      <c r="F323" s="135" t="s">
        <v>461</v>
      </c>
      <c r="G323" s="180">
        <v>50</v>
      </c>
      <c r="H323" s="14"/>
      <c r="I323" s="14"/>
      <c r="J323" s="16">
        <f>SUM('ведомствен.2015'!G737+'ведомствен.2015'!G646+'ведомствен.2015'!G563)</f>
        <v>50</v>
      </c>
    </row>
    <row r="324" spans="1:9" s="16" customFormat="1" ht="11.25" customHeight="1" hidden="1">
      <c r="A324" s="337" t="s">
        <v>144</v>
      </c>
      <c r="B324" s="320"/>
      <c r="C324" s="74" t="s">
        <v>109</v>
      </c>
      <c r="D324" s="124" t="s">
        <v>416</v>
      </c>
      <c r="E324" s="124" t="s">
        <v>196</v>
      </c>
      <c r="F324" s="135"/>
      <c r="G324" s="180"/>
      <c r="H324" s="14"/>
      <c r="I324" s="14"/>
    </row>
    <row r="325" spans="1:9" s="16" customFormat="1" ht="15">
      <c r="A325" s="337" t="s">
        <v>295</v>
      </c>
      <c r="B325" s="322"/>
      <c r="C325" s="77" t="s">
        <v>109</v>
      </c>
      <c r="D325" s="122" t="s">
        <v>416</v>
      </c>
      <c r="E325" s="122" t="s">
        <v>296</v>
      </c>
      <c r="F325" s="142"/>
      <c r="G325" s="183">
        <f>SUM(G326)</f>
        <v>7227.6</v>
      </c>
      <c r="H325" s="14"/>
      <c r="I325" s="14"/>
    </row>
    <row r="326" spans="1:9" s="16" customFormat="1" ht="28.5">
      <c r="A326" s="337" t="s">
        <v>51</v>
      </c>
      <c r="B326" s="320"/>
      <c r="C326" s="77" t="s">
        <v>109</v>
      </c>
      <c r="D326" s="122" t="s">
        <v>416</v>
      </c>
      <c r="E326" s="122" t="s">
        <v>297</v>
      </c>
      <c r="F326" s="142"/>
      <c r="G326" s="183">
        <f>SUM(G327+G328+G329)</f>
        <v>7227.6</v>
      </c>
      <c r="H326" s="14"/>
      <c r="I326" s="14"/>
    </row>
    <row r="327" spans="1:10" s="16" customFormat="1" ht="28.5">
      <c r="A327" s="337" t="s">
        <v>444</v>
      </c>
      <c r="B327" s="320"/>
      <c r="C327" s="77" t="s">
        <v>109</v>
      </c>
      <c r="D327" s="122" t="s">
        <v>416</v>
      </c>
      <c r="E327" s="122" t="s">
        <v>237</v>
      </c>
      <c r="F327" s="142" t="s">
        <v>445</v>
      </c>
      <c r="G327" s="183">
        <v>2688.4</v>
      </c>
      <c r="H327" s="14"/>
      <c r="I327" s="14"/>
      <c r="J327" s="16">
        <f>SUM('ведомствен.2015'!G649)</f>
        <v>2688.4</v>
      </c>
    </row>
    <row r="328" spans="1:10" s="16" customFormat="1" ht="28.5">
      <c r="A328" s="187" t="s">
        <v>697</v>
      </c>
      <c r="B328" s="320"/>
      <c r="C328" s="77" t="s">
        <v>109</v>
      </c>
      <c r="D328" s="122" t="s">
        <v>416</v>
      </c>
      <c r="E328" s="122" t="s">
        <v>237</v>
      </c>
      <c r="F328" s="142" t="s">
        <v>112</v>
      </c>
      <c r="G328" s="183">
        <v>3341.4</v>
      </c>
      <c r="H328" s="14"/>
      <c r="I328" s="14" t="e">
        <f>SUM(H328/#REF!*100)</f>
        <v>#REF!</v>
      </c>
      <c r="J328" s="16">
        <f>SUM('ведомствен.2015'!G650)</f>
        <v>3341.4</v>
      </c>
    </row>
    <row r="329" spans="1:10" ht="15">
      <c r="A329" s="337" t="s">
        <v>450</v>
      </c>
      <c r="B329" s="320"/>
      <c r="C329" s="77" t="s">
        <v>109</v>
      </c>
      <c r="D329" s="122" t="s">
        <v>416</v>
      </c>
      <c r="E329" s="122" t="s">
        <v>237</v>
      </c>
      <c r="F329" s="142" t="s">
        <v>160</v>
      </c>
      <c r="G329" s="183">
        <v>1197.8</v>
      </c>
      <c r="H329" s="14"/>
      <c r="I329" s="14"/>
      <c r="J329" s="16">
        <f>SUM('ведомствен.2015'!G651)</f>
        <v>1197.8</v>
      </c>
    </row>
    <row r="330" spans="1:9" s="25" customFormat="1" ht="28.5">
      <c r="A330" s="293" t="s">
        <v>640</v>
      </c>
      <c r="B330" s="318"/>
      <c r="C330" s="77" t="s">
        <v>109</v>
      </c>
      <c r="D330" s="122" t="s">
        <v>416</v>
      </c>
      <c r="E330" s="160" t="s">
        <v>641</v>
      </c>
      <c r="F330" s="295"/>
      <c r="G330" s="180">
        <f>G337+G343+G349+G331</f>
        <v>645883.2000000001</v>
      </c>
      <c r="H330" s="14" t="e">
        <f>SUM(H379)</f>
        <v>#REF!</v>
      </c>
      <c r="I330" s="14" t="e">
        <f>SUM(H330/G369*100)</f>
        <v>#REF!</v>
      </c>
    </row>
    <row r="331" spans="1:9" s="25" customFormat="1" ht="85.5">
      <c r="A331" s="394" t="s">
        <v>739</v>
      </c>
      <c r="B331" s="403"/>
      <c r="C331" s="214" t="s">
        <v>109</v>
      </c>
      <c r="D331" s="199" t="s">
        <v>416</v>
      </c>
      <c r="E331" s="395" t="s">
        <v>740</v>
      </c>
      <c r="F331" s="396"/>
      <c r="G331" s="174">
        <f>G332+G335</f>
        <v>257.1</v>
      </c>
      <c r="H331" s="14"/>
      <c r="I331" s="14"/>
    </row>
    <row r="332" spans="1:9" s="25" customFormat="1" ht="28.5">
      <c r="A332" s="397" t="s">
        <v>741</v>
      </c>
      <c r="B332" s="403"/>
      <c r="C332" s="214" t="s">
        <v>109</v>
      </c>
      <c r="D332" s="199" t="s">
        <v>416</v>
      </c>
      <c r="E332" s="395" t="s">
        <v>742</v>
      </c>
      <c r="F332" s="396"/>
      <c r="G332" s="174">
        <f>G333+G334</f>
        <v>170.5</v>
      </c>
      <c r="H332" s="14"/>
      <c r="I332" s="14"/>
    </row>
    <row r="333" spans="1:10" s="25" customFormat="1" ht="15">
      <c r="A333" s="119" t="s">
        <v>449</v>
      </c>
      <c r="B333" s="403"/>
      <c r="C333" s="214" t="s">
        <v>109</v>
      </c>
      <c r="D333" s="199" t="s">
        <v>416</v>
      </c>
      <c r="E333" s="395" t="s">
        <v>742</v>
      </c>
      <c r="F333" s="258" t="s">
        <v>112</v>
      </c>
      <c r="G333" s="174">
        <v>118.8</v>
      </c>
      <c r="H333" s="14"/>
      <c r="I333" s="14"/>
      <c r="J333" s="16">
        <f>SUM('ведомствен.2015'!G655)</f>
        <v>118.8</v>
      </c>
    </row>
    <row r="334" spans="1:10" s="25" customFormat="1" ht="28.5">
      <c r="A334" s="119" t="s">
        <v>470</v>
      </c>
      <c r="B334" s="403"/>
      <c r="C334" s="214" t="s">
        <v>109</v>
      </c>
      <c r="D334" s="199" t="s">
        <v>416</v>
      </c>
      <c r="E334" s="395" t="s">
        <v>742</v>
      </c>
      <c r="F334" s="258" t="s">
        <v>461</v>
      </c>
      <c r="G334" s="174">
        <v>51.7</v>
      </c>
      <c r="H334" s="14"/>
      <c r="I334" s="14"/>
      <c r="J334" s="16">
        <f>SUM('ведомствен.2015'!G656)</f>
        <v>51.7</v>
      </c>
    </row>
    <row r="335" spans="1:9" s="25" customFormat="1" ht="28.5">
      <c r="A335" s="119" t="s">
        <v>743</v>
      </c>
      <c r="B335" s="403"/>
      <c r="C335" s="214" t="s">
        <v>109</v>
      </c>
      <c r="D335" s="199" t="s">
        <v>416</v>
      </c>
      <c r="E335" s="395" t="s">
        <v>744</v>
      </c>
      <c r="F335" s="258"/>
      <c r="G335" s="174">
        <v>86.6</v>
      </c>
      <c r="H335" s="14"/>
      <c r="I335" s="14"/>
    </row>
    <row r="336" spans="1:10" s="25" customFormat="1" ht="28.5">
      <c r="A336" s="119" t="s">
        <v>470</v>
      </c>
      <c r="B336" s="403"/>
      <c r="C336" s="214" t="s">
        <v>109</v>
      </c>
      <c r="D336" s="199" t="s">
        <v>416</v>
      </c>
      <c r="E336" s="395" t="s">
        <v>744</v>
      </c>
      <c r="F336" s="258" t="s">
        <v>461</v>
      </c>
      <c r="G336" s="174">
        <v>86.6</v>
      </c>
      <c r="H336" s="14"/>
      <c r="I336" s="14"/>
      <c r="J336" s="16">
        <f>SUM('ведомствен.2015'!G658)</f>
        <v>86.6</v>
      </c>
    </row>
    <row r="337" spans="1:9" s="25" customFormat="1" ht="114.75" customHeight="1">
      <c r="A337" s="283" t="s">
        <v>642</v>
      </c>
      <c r="B337" s="179"/>
      <c r="C337" s="74" t="s">
        <v>109</v>
      </c>
      <c r="D337" s="124" t="s">
        <v>416</v>
      </c>
      <c r="E337" s="166" t="s">
        <v>643</v>
      </c>
      <c r="F337" s="134"/>
      <c r="G337" s="180">
        <f>SUM(G338+G340)</f>
        <v>52910.700000000004</v>
      </c>
      <c r="H337" s="14"/>
      <c r="I337" s="14"/>
    </row>
    <row r="338" spans="1:9" s="25" customFormat="1" ht="42.75">
      <c r="A338" s="293" t="s">
        <v>646</v>
      </c>
      <c r="B338" s="179"/>
      <c r="C338" s="74" t="s">
        <v>109</v>
      </c>
      <c r="D338" s="124" t="s">
        <v>416</v>
      </c>
      <c r="E338" s="166" t="s">
        <v>647</v>
      </c>
      <c r="F338" s="134"/>
      <c r="G338" s="180">
        <f>G339</f>
        <v>6181.3</v>
      </c>
      <c r="H338" s="14"/>
      <c r="I338" s="14"/>
    </row>
    <row r="339" spans="1:10" s="25" customFormat="1" ht="28.5">
      <c r="A339" s="158" t="s">
        <v>463</v>
      </c>
      <c r="B339" s="179"/>
      <c r="C339" s="74" t="s">
        <v>109</v>
      </c>
      <c r="D339" s="124" t="s">
        <v>416</v>
      </c>
      <c r="E339" s="166" t="s">
        <v>647</v>
      </c>
      <c r="F339" s="134" t="s">
        <v>461</v>
      </c>
      <c r="G339" s="180">
        <v>6181.3</v>
      </c>
      <c r="H339" s="14"/>
      <c r="I339" s="14"/>
      <c r="J339" s="16">
        <f>SUM('ведомствен.2015'!G661)</f>
        <v>6181.3</v>
      </c>
    </row>
    <row r="340" spans="1:9" s="25" customFormat="1" ht="85.5">
      <c r="A340" s="283" t="s">
        <v>644</v>
      </c>
      <c r="B340" s="179"/>
      <c r="C340" s="74" t="s">
        <v>109</v>
      </c>
      <c r="D340" s="124" t="s">
        <v>416</v>
      </c>
      <c r="E340" s="166" t="s">
        <v>645</v>
      </c>
      <c r="F340" s="134"/>
      <c r="G340" s="180">
        <f>G341+G342</f>
        <v>46729.4</v>
      </c>
      <c r="H340" s="14"/>
      <c r="I340" s="14"/>
    </row>
    <row r="341" spans="1:10" s="25" customFormat="1" ht="28.5">
      <c r="A341" s="158" t="s">
        <v>444</v>
      </c>
      <c r="B341" s="318"/>
      <c r="C341" s="74" t="s">
        <v>109</v>
      </c>
      <c r="D341" s="124" t="s">
        <v>416</v>
      </c>
      <c r="E341" s="166" t="s">
        <v>645</v>
      </c>
      <c r="F341" s="134" t="s">
        <v>445</v>
      </c>
      <c r="G341" s="180">
        <v>42416.4</v>
      </c>
      <c r="H341" s="14"/>
      <c r="I341" s="14"/>
      <c r="J341" s="16">
        <f>SUM('ведомствен.2015'!G663)</f>
        <v>42416.4</v>
      </c>
    </row>
    <row r="342" spans="1:10" s="25" customFormat="1" ht="28.5">
      <c r="A342" s="187" t="s">
        <v>697</v>
      </c>
      <c r="B342" s="318"/>
      <c r="C342" s="74" t="s">
        <v>109</v>
      </c>
      <c r="D342" s="124" t="s">
        <v>416</v>
      </c>
      <c r="E342" s="166" t="s">
        <v>645</v>
      </c>
      <c r="F342" s="134" t="s">
        <v>112</v>
      </c>
      <c r="G342" s="180">
        <f>46729.4-42416.4</f>
        <v>4313</v>
      </c>
      <c r="H342" s="14"/>
      <c r="I342" s="14"/>
      <c r="J342" s="16">
        <f>SUM('ведомствен.2015'!G664)</f>
        <v>4313</v>
      </c>
    </row>
    <row r="343" spans="1:9" s="25" customFormat="1" ht="28.5">
      <c r="A343" s="337" t="s">
        <v>543</v>
      </c>
      <c r="B343" s="318"/>
      <c r="C343" s="74" t="s">
        <v>109</v>
      </c>
      <c r="D343" s="124" t="s">
        <v>416</v>
      </c>
      <c r="E343" s="282" t="s">
        <v>653</v>
      </c>
      <c r="F343" s="134"/>
      <c r="G343" s="180">
        <f>SUM(G344+G346)</f>
        <v>305620.10000000003</v>
      </c>
      <c r="H343" s="14"/>
      <c r="I343" s="14"/>
    </row>
    <row r="344" spans="1:9" s="25" customFormat="1" ht="28.5">
      <c r="A344" s="337" t="s">
        <v>87</v>
      </c>
      <c r="B344" s="318"/>
      <c r="C344" s="74" t="s">
        <v>109</v>
      </c>
      <c r="D344" s="124" t="s">
        <v>416</v>
      </c>
      <c r="E344" s="166" t="s">
        <v>650</v>
      </c>
      <c r="F344" s="134"/>
      <c r="G344" s="180">
        <f>SUM(G345)</f>
        <v>302980.7</v>
      </c>
      <c r="H344" s="14"/>
      <c r="I344" s="14"/>
    </row>
    <row r="345" spans="1:10" s="25" customFormat="1" ht="28.5">
      <c r="A345" s="158" t="s">
        <v>463</v>
      </c>
      <c r="B345" s="179"/>
      <c r="C345" s="74" t="s">
        <v>109</v>
      </c>
      <c r="D345" s="124" t="s">
        <v>416</v>
      </c>
      <c r="E345" s="282" t="s">
        <v>650</v>
      </c>
      <c r="F345" s="134" t="s">
        <v>461</v>
      </c>
      <c r="G345" s="180">
        <f>72508.4+233111.7-505.1-2134.3</f>
        <v>302980.7</v>
      </c>
      <c r="H345" s="14"/>
      <c r="I345" s="14"/>
      <c r="J345" s="16">
        <f>SUM('ведомствен.2015'!G667)</f>
        <v>302980.7</v>
      </c>
    </row>
    <row r="346" spans="1:9" s="25" customFormat="1" ht="15">
      <c r="A346" s="156" t="s">
        <v>148</v>
      </c>
      <c r="B346" s="179"/>
      <c r="C346" s="74" t="s">
        <v>109</v>
      </c>
      <c r="D346" s="124" t="s">
        <v>416</v>
      </c>
      <c r="E346" s="166" t="s">
        <v>652</v>
      </c>
      <c r="F346" s="134"/>
      <c r="G346" s="180">
        <f>SUM(G347)</f>
        <v>2639.4</v>
      </c>
      <c r="H346" s="14"/>
      <c r="I346" s="14"/>
    </row>
    <row r="347" spans="1:9" s="25" customFormat="1" ht="28.5">
      <c r="A347" s="158" t="s">
        <v>370</v>
      </c>
      <c r="B347" s="179"/>
      <c r="C347" s="74" t="s">
        <v>109</v>
      </c>
      <c r="D347" s="124" t="s">
        <v>416</v>
      </c>
      <c r="E347" s="166" t="s">
        <v>651</v>
      </c>
      <c r="F347" s="134"/>
      <c r="G347" s="180">
        <f>SUM(G348)</f>
        <v>2639.4</v>
      </c>
      <c r="H347" s="14"/>
      <c r="I347" s="14"/>
    </row>
    <row r="348" spans="1:10" s="25" customFormat="1" ht="28.5">
      <c r="A348" s="158" t="s">
        <v>470</v>
      </c>
      <c r="B348" s="318"/>
      <c r="C348" s="74" t="s">
        <v>109</v>
      </c>
      <c r="D348" s="124" t="s">
        <v>416</v>
      </c>
      <c r="E348" s="166" t="s">
        <v>651</v>
      </c>
      <c r="F348" s="134" t="s">
        <v>461</v>
      </c>
      <c r="G348" s="180">
        <f>505.1+2134.3</f>
        <v>2639.4</v>
      </c>
      <c r="H348" s="14"/>
      <c r="I348" s="14"/>
      <c r="J348" s="16">
        <f>SUM('ведомствен.2015'!G670)</f>
        <v>2639.4</v>
      </c>
    </row>
    <row r="349" spans="1:9" s="25" customFormat="1" ht="71.25">
      <c r="A349" s="293" t="s">
        <v>648</v>
      </c>
      <c r="B349" s="179"/>
      <c r="C349" s="74" t="s">
        <v>109</v>
      </c>
      <c r="D349" s="124" t="s">
        <v>416</v>
      </c>
      <c r="E349" s="166" t="s">
        <v>649</v>
      </c>
      <c r="F349" s="134"/>
      <c r="G349" s="180">
        <f>SUM(G350:G351)</f>
        <v>287095.3</v>
      </c>
      <c r="H349" s="14"/>
      <c r="I349" s="14"/>
    </row>
    <row r="350" spans="1:10" s="25" customFormat="1" ht="28.5">
      <c r="A350" s="158" t="s">
        <v>444</v>
      </c>
      <c r="B350" s="179"/>
      <c r="C350" s="74" t="s">
        <v>109</v>
      </c>
      <c r="D350" s="124" t="s">
        <v>416</v>
      </c>
      <c r="E350" s="166" t="s">
        <v>649</v>
      </c>
      <c r="F350" s="134" t="s">
        <v>445</v>
      </c>
      <c r="G350" s="180">
        <v>283572.6</v>
      </c>
      <c r="H350" s="14"/>
      <c r="I350" s="14"/>
      <c r="J350" s="16">
        <f>SUM('ведомствен.2015'!G672)</f>
        <v>283572.6</v>
      </c>
    </row>
    <row r="351" spans="1:10" s="25" customFormat="1" ht="28.5">
      <c r="A351" s="187" t="s">
        <v>697</v>
      </c>
      <c r="B351" s="179"/>
      <c r="C351" s="74" t="s">
        <v>109</v>
      </c>
      <c r="D351" s="124" t="s">
        <v>416</v>
      </c>
      <c r="E351" s="166" t="s">
        <v>649</v>
      </c>
      <c r="F351" s="134" t="s">
        <v>112</v>
      </c>
      <c r="G351" s="180">
        <f>287095.3-283572.6</f>
        <v>3522.7000000000116</v>
      </c>
      <c r="H351" s="14"/>
      <c r="I351" s="14"/>
      <c r="J351" s="16">
        <f>SUM('ведомствен.2015'!G673)</f>
        <v>3522.7000000000116</v>
      </c>
    </row>
    <row r="352" spans="1:10" ht="28.5">
      <c r="A352" s="332" t="s">
        <v>594</v>
      </c>
      <c r="B352" s="312"/>
      <c r="C352" s="74" t="s">
        <v>109</v>
      </c>
      <c r="D352" s="124" t="s">
        <v>416</v>
      </c>
      <c r="E352" s="124" t="s">
        <v>595</v>
      </c>
      <c r="F352" s="133"/>
      <c r="G352" s="180">
        <f>SUM(G353)</f>
        <v>61578.4</v>
      </c>
      <c r="H352" s="14"/>
      <c r="I352" s="14"/>
      <c r="J352"/>
    </row>
    <row r="353" spans="1:10" ht="28.5">
      <c r="A353" s="332" t="s">
        <v>51</v>
      </c>
      <c r="B353" s="312"/>
      <c r="C353" s="74" t="s">
        <v>109</v>
      </c>
      <c r="D353" s="124" t="s">
        <v>416</v>
      </c>
      <c r="E353" s="124" t="s">
        <v>596</v>
      </c>
      <c r="F353" s="133"/>
      <c r="G353" s="180">
        <f>SUM(G354)</f>
        <v>61578.4</v>
      </c>
      <c r="H353" s="14"/>
      <c r="I353" s="14"/>
      <c r="J353"/>
    </row>
    <row r="354" spans="1:10" ht="71.25">
      <c r="A354" s="332" t="s">
        <v>421</v>
      </c>
      <c r="B354" s="312"/>
      <c r="C354" s="74" t="s">
        <v>109</v>
      </c>
      <c r="D354" s="124" t="s">
        <v>416</v>
      </c>
      <c r="E354" s="124" t="s">
        <v>597</v>
      </c>
      <c r="F354" s="133"/>
      <c r="G354" s="180">
        <f>SUM(G355:G358)</f>
        <v>61578.4</v>
      </c>
      <c r="H354" s="14"/>
      <c r="I354" s="14"/>
      <c r="J354"/>
    </row>
    <row r="355" spans="1:10" ht="28.5">
      <c r="A355" s="332" t="s">
        <v>444</v>
      </c>
      <c r="B355" s="312"/>
      <c r="C355" s="74" t="s">
        <v>109</v>
      </c>
      <c r="D355" s="124" t="s">
        <v>416</v>
      </c>
      <c r="E355" s="124" t="s">
        <v>597</v>
      </c>
      <c r="F355" s="133" t="s">
        <v>445</v>
      </c>
      <c r="G355" s="180">
        <v>43388.7</v>
      </c>
      <c r="H355" s="14"/>
      <c r="I355" s="14"/>
      <c r="J355">
        <f>SUM('ведомствен.2015'!G386)</f>
        <v>43388.7</v>
      </c>
    </row>
    <row r="356" spans="1:10" ht="28.5">
      <c r="A356" s="187" t="s">
        <v>697</v>
      </c>
      <c r="B356" s="312"/>
      <c r="C356" s="74" t="s">
        <v>109</v>
      </c>
      <c r="D356" s="124" t="s">
        <v>416</v>
      </c>
      <c r="E356" s="124" t="s">
        <v>597</v>
      </c>
      <c r="F356" s="133" t="s">
        <v>112</v>
      </c>
      <c r="G356" s="180">
        <v>17829.5</v>
      </c>
      <c r="H356" s="14"/>
      <c r="I356" s="14"/>
      <c r="J356">
        <f>SUM('ведомствен.2015'!G387)</f>
        <v>17829.5</v>
      </c>
    </row>
    <row r="357" spans="1:10" ht="15">
      <c r="A357" s="187" t="s">
        <v>454</v>
      </c>
      <c r="B357" s="200"/>
      <c r="C357" s="196" t="s">
        <v>109</v>
      </c>
      <c r="D357" s="192" t="s">
        <v>416</v>
      </c>
      <c r="E357" s="192" t="s">
        <v>597</v>
      </c>
      <c r="F357" s="241" t="s">
        <v>455</v>
      </c>
      <c r="G357" s="161">
        <v>37.3</v>
      </c>
      <c r="H357" s="14"/>
      <c r="I357" s="14"/>
      <c r="J357">
        <f>SUM('ведомствен.2015'!G388)</f>
        <v>37.3</v>
      </c>
    </row>
    <row r="358" spans="1:10" ht="15">
      <c r="A358" s="187" t="s">
        <v>450</v>
      </c>
      <c r="B358" s="200"/>
      <c r="C358" s="196" t="s">
        <v>109</v>
      </c>
      <c r="D358" s="192" t="s">
        <v>416</v>
      </c>
      <c r="E358" s="192" t="s">
        <v>597</v>
      </c>
      <c r="F358" s="241" t="s">
        <v>160</v>
      </c>
      <c r="G358" s="161">
        <v>322.9</v>
      </c>
      <c r="H358" s="14"/>
      <c r="I358" s="14"/>
      <c r="J358">
        <f>SUM('ведомствен.2015'!G389)</f>
        <v>322.9</v>
      </c>
    </row>
    <row r="359" spans="1:10" ht="15">
      <c r="A359" s="337" t="s">
        <v>530</v>
      </c>
      <c r="B359" s="179"/>
      <c r="C359" s="74" t="s">
        <v>109</v>
      </c>
      <c r="D359" s="124" t="s">
        <v>416</v>
      </c>
      <c r="E359" s="124" t="s">
        <v>121</v>
      </c>
      <c r="F359" s="134"/>
      <c r="G359" s="180">
        <f>SUM(G360+G363)</f>
        <v>3426.2</v>
      </c>
      <c r="H359" s="14"/>
      <c r="I359" s="14"/>
      <c r="J359"/>
    </row>
    <row r="360" spans="1:10" ht="28.5">
      <c r="A360" s="149" t="s">
        <v>636</v>
      </c>
      <c r="B360" s="402"/>
      <c r="C360" s="196" t="s">
        <v>109</v>
      </c>
      <c r="D360" s="192" t="s">
        <v>416</v>
      </c>
      <c r="E360" s="192" t="s">
        <v>637</v>
      </c>
      <c r="F360" s="242"/>
      <c r="G360" s="161">
        <f>SUM(G361:G362)</f>
        <v>2626.1</v>
      </c>
      <c r="H360" s="14"/>
      <c r="I360" s="14"/>
      <c r="J360"/>
    </row>
    <row r="361" spans="1:10" ht="28.5">
      <c r="A361" s="187" t="s">
        <v>697</v>
      </c>
      <c r="B361" s="402"/>
      <c r="C361" s="196" t="s">
        <v>109</v>
      </c>
      <c r="D361" s="192" t="s">
        <v>416</v>
      </c>
      <c r="E361" s="192" t="s">
        <v>637</v>
      </c>
      <c r="F361" s="242" t="s">
        <v>112</v>
      </c>
      <c r="G361" s="161">
        <v>940</v>
      </c>
      <c r="H361" s="14"/>
      <c r="I361" s="14"/>
      <c r="J361">
        <f>SUM('ведомствен.2015'!G676)</f>
        <v>940</v>
      </c>
    </row>
    <row r="362" spans="1:10" ht="28.5">
      <c r="A362" s="149" t="s">
        <v>470</v>
      </c>
      <c r="B362" s="402"/>
      <c r="C362" s="196" t="s">
        <v>109</v>
      </c>
      <c r="D362" s="192" t="s">
        <v>416</v>
      </c>
      <c r="E362" s="192" t="s">
        <v>637</v>
      </c>
      <c r="F362" s="242" t="s">
        <v>461</v>
      </c>
      <c r="G362" s="161">
        <v>1686.1</v>
      </c>
      <c r="H362" s="14"/>
      <c r="I362" s="14"/>
      <c r="J362">
        <f>SUM('ведомствен.2015'!G677)</f>
        <v>1686.1</v>
      </c>
    </row>
    <row r="363" spans="1:10" ht="28.5">
      <c r="A363" s="158" t="s">
        <v>654</v>
      </c>
      <c r="B363" s="325"/>
      <c r="C363" s="74" t="s">
        <v>109</v>
      </c>
      <c r="D363" s="124" t="s">
        <v>416</v>
      </c>
      <c r="E363" s="124" t="s">
        <v>655</v>
      </c>
      <c r="F363" s="134"/>
      <c r="G363" s="180">
        <f>SUM(G364:G366)</f>
        <v>800.1</v>
      </c>
      <c r="H363" s="14"/>
      <c r="I363" s="14"/>
      <c r="J363"/>
    </row>
    <row r="364" spans="1:10" ht="28.5">
      <c r="A364" s="332" t="s">
        <v>444</v>
      </c>
      <c r="B364" s="325"/>
      <c r="C364" s="74" t="s">
        <v>109</v>
      </c>
      <c r="D364" s="124" t="s">
        <v>416</v>
      </c>
      <c r="E364" s="124" t="s">
        <v>655</v>
      </c>
      <c r="F364" s="134" t="s">
        <v>445</v>
      </c>
      <c r="G364" s="180">
        <v>25.9</v>
      </c>
      <c r="H364" s="14"/>
      <c r="I364" s="14"/>
      <c r="J364">
        <f>SUM('ведомствен.2015'!G679)</f>
        <v>25.9</v>
      </c>
    </row>
    <row r="365" spans="1:10" ht="28.5">
      <c r="A365" s="187" t="s">
        <v>697</v>
      </c>
      <c r="B365" s="325"/>
      <c r="C365" s="74" t="s">
        <v>109</v>
      </c>
      <c r="D365" s="124" t="s">
        <v>416</v>
      </c>
      <c r="E365" s="124" t="s">
        <v>655</v>
      </c>
      <c r="F365" s="134" t="s">
        <v>112</v>
      </c>
      <c r="G365" s="180">
        <v>741.2</v>
      </c>
      <c r="H365" s="14"/>
      <c r="I365" s="14"/>
      <c r="J365">
        <f>SUM('ведомствен.2015'!G680)</f>
        <v>741.2</v>
      </c>
    </row>
    <row r="366" spans="1:10" ht="28.5">
      <c r="A366" s="149" t="s">
        <v>470</v>
      </c>
      <c r="B366" s="402"/>
      <c r="C366" s="196" t="s">
        <v>109</v>
      </c>
      <c r="D366" s="192" t="s">
        <v>416</v>
      </c>
      <c r="E366" s="192" t="s">
        <v>655</v>
      </c>
      <c r="F366" s="242" t="s">
        <v>461</v>
      </c>
      <c r="G366" s="161">
        <v>33</v>
      </c>
      <c r="H366" s="14"/>
      <c r="I366" s="14"/>
      <c r="J366">
        <f>SUM('ведомствен.2015'!G681)</f>
        <v>33</v>
      </c>
    </row>
    <row r="367" spans="1:9" s="25" customFormat="1" ht="15">
      <c r="A367" s="337" t="s">
        <v>110</v>
      </c>
      <c r="B367" s="322"/>
      <c r="C367" s="77" t="s">
        <v>109</v>
      </c>
      <c r="D367" s="122" t="s">
        <v>109</v>
      </c>
      <c r="E367" s="122"/>
      <c r="F367" s="142"/>
      <c r="G367" s="183">
        <f>SUM(G372+G379+G368+G384)</f>
        <v>6006.3</v>
      </c>
      <c r="H367" s="14"/>
      <c r="I367" s="14"/>
    </row>
    <row r="368" spans="1:9" s="25" customFormat="1" ht="15">
      <c r="A368" s="119" t="s">
        <v>345</v>
      </c>
      <c r="B368" s="197"/>
      <c r="C368" s="214" t="s">
        <v>109</v>
      </c>
      <c r="D368" s="199" t="s">
        <v>109</v>
      </c>
      <c r="E368" s="199" t="s">
        <v>456</v>
      </c>
      <c r="F368" s="258"/>
      <c r="G368" s="174">
        <f>G369</f>
        <v>298</v>
      </c>
      <c r="H368" s="14"/>
      <c r="I368" s="14"/>
    </row>
    <row r="369" spans="1:10" s="25" customFormat="1" ht="14.25" customHeight="1">
      <c r="A369" s="119" t="s">
        <v>449</v>
      </c>
      <c r="B369" s="197"/>
      <c r="C369" s="214" t="s">
        <v>109</v>
      </c>
      <c r="D369" s="199" t="s">
        <v>109</v>
      </c>
      <c r="E369" s="199" t="s">
        <v>456</v>
      </c>
      <c r="F369" s="258" t="s">
        <v>112</v>
      </c>
      <c r="G369" s="174">
        <v>298</v>
      </c>
      <c r="H369" s="14"/>
      <c r="I369" s="14"/>
      <c r="J369">
        <f>SUM('ведомствен.2015'!G684)</f>
        <v>298</v>
      </c>
    </row>
    <row r="370" spans="1:9" s="16" customFormat="1" ht="15" hidden="1">
      <c r="A370" s="337" t="s">
        <v>220</v>
      </c>
      <c r="B370" s="322"/>
      <c r="C370" s="77" t="s">
        <v>109</v>
      </c>
      <c r="D370" s="122" t="s">
        <v>109</v>
      </c>
      <c r="E370" s="122" t="s">
        <v>346</v>
      </c>
      <c r="F370" s="142" t="s">
        <v>221</v>
      </c>
      <c r="G370" s="183"/>
      <c r="H370" s="14"/>
      <c r="I370" s="14"/>
    </row>
    <row r="371" spans="1:9" s="16" customFormat="1" ht="15" hidden="1">
      <c r="A371" s="337" t="s">
        <v>200</v>
      </c>
      <c r="B371" s="322"/>
      <c r="C371" s="77" t="s">
        <v>109</v>
      </c>
      <c r="D371" s="122" t="s">
        <v>109</v>
      </c>
      <c r="E371" s="122" t="s">
        <v>346</v>
      </c>
      <c r="F371" s="142" t="s">
        <v>201</v>
      </c>
      <c r="G371" s="183"/>
      <c r="H371" s="14"/>
      <c r="I371" s="14"/>
    </row>
    <row r="372" spans="1:9" s="16" customFormat="1" ht="15">
      <c r="A372" s="337" t="s">
        <v>202</v>
      </c>
      <c r="B372" s="322"/>
      <c r="C372" s="77" t="s">
        <v>109</v>
      </c>
      <c r="D372" s="122" t="s">
        <v>109</v>
      </c>
      <c r="E372" s="122" t="s">
        <v>203</v>
      </c>
      <c r="F372" s="142"/>
      <c r="G372" s="183">
        <f>SUM(G375+G373)</f>
        <v>1914.5</v>
      </c>
      <c r="H372" s="14"/>
      <c r="I372" s="14"/>
    </row>
    <row r="373" spans="1:9" s="16" customFormat="1" ht="28.5" hidden="1">
      <c r="A373" s="337" t="s">
        <v>230</v>
      </c>
      <c r="B373" s="322"/>
      <c r="C373" s="77" t="s">
        <v>109</v>
      </c>
      <c r="D373" s="122" t="s">
        <v>109</v>
      </c>
      <c r="E373" s="122" t="s">
        <v>190</v>
      </c>
      <c r="F373" s="142"/>
      <c r="G373" s="183"/>
      <c r="H373" s="14"/>
      <c r="I373" s="14"/>
    </row>
    <row r="374" spans="1:10" ht="15" hidden="1">
      <c r="A374" s="337" t="s">
        <v>52</v>
      </c>
      <c r="B374" s="322"/>
      <c r="C374" s="77" t="s">
        <v>109</v>
      </c>
      <c r="D374" s="122" t="s">
        <v>109</v>
      </c>
      <c r="E374" s="122" t="s">
        <v>190</v>
      </c>
      <c r="F374" s="142"/>
      <c r="G374" s="183"/>
      <c r="H374" s="14"/>
      <c r="I374" s="14"/>
      <c r="J374"/>
    </row>
    <row r="375" spans="1:10" ht="28.5">
      <c r="A375" s="337" t="s">
        <v>51</v>
      </c>
      <c r="B375" s="322"/>
      <c r="C375" s="77" t="s">
        <v>109</v>
      </c>
      <c r="D375" s="122" t="s">
        <v>109</v>
      </c>
      <c r="E375" s="122" t="s">
        <v>206</v>
      </c>
      <c r="F375" s="142"/>
      <c r="G375" s="183">
        <f>SUM(G376+G377+G378)</f>
        <v>1914.5</v>
      </c>
      <c r="H375" s="14"/>
      <c r="I375" s="14"/>
      <c r="J375"/>
    </row>
    <row r="376" spans="1:10" s="25" customFormat="1" ht="28.5">
      <c r="A376" s="337" t="s">
        <v>444</v>
      </c>
      <c r="B376" s="322"/>
      <c r="C376" s="77" t="s">
        <v>109</v>
      </c>
      <c r="D376" s="122" t="s">
        <v>109</v>
      </c>
      <c r="E376" s="122" t="s">
        <v>206</v>
      </c>
      <c r="F376" s="142" t="s">
        <v>445</v>
      </c>
      <c r="G376" s="183">
        <v>1714.3</v>
      </c>
      <c r="H376" s="14"/>
      <c r="I376" s="14"/>
      <c r="J376">
        <f>SUM('ведомствен.2015'!G691)</f>
        <v>1714.3</v>
      </c>
    </row>
    <row r="377" spans="1:10" ht="28.5">
      <c r="A377" s="187" t="s">
        <v>697</v>
      </c>
      <c r="B377" s="322"/>
      <c r="C377" s="77" t="s">
        <v>109</v>
      </c>
      <c r="D377" s="122" t="s">
        <v>109</v>
      </c>
      <c r="E377" s="122" t="s">
        <v>206</v>
      </c>
      <c r="F377" s="142" t="s">
        <v>112</v>
      </c>
      <c r="G377" s="183">
        <v>188.4</v>
      </c>
      <c r="H377" s="14"/>
      <c r="I377" s="14"/>
      <c r="J377" s="78">
        <f>SUM('ведомствен.2015'!G692)</f>
        <v>188.4</v>
      </c>
    </row>
    <row r="378" spans="1:10" s="25" customFormat="1" ht="14.25" customHeight="1">
      <c r="A378" s="337" t="s">
        <v>450</v>
      </c>
      <c r="B378" s="322"/>
      <c r="C378" s="77" t="s">
        <v>109</v>
      </c>
      <c r="D378" s="122" t="s">
        <v>109</v>
      </c>
      <c r="E378" s="122" t="s">
        <v>206</v>
      </c>
      <c r="F378" s="142" t="s">
        <v>160</v>
      </c>
      <c r="G378" s="183">
        <v>11.8</v>
      </c>
      <c r="H378" s="14"/>
      <c r="I378" s="14"/>
      <c r="J378" s="78">
        <f>SUM('ведомствен.2015'!G693)</f>
        <v>11.8</v>
      </c>
    </row>
    <row r="379" spans="1:9" s="25" customFormat="1" ht="0.75" customHeight="1" hidden="1">
      <c r="A379" s="342" t="s">
        <v>207</v>
      </c>
      <c r="B379" s="322"/>
      <c r="C379" s="77" t="s">
        <v>109</v>
      </c>
      <c r="D379" s="122" t="s">
        <v>109</v>
      </c>
      <c r="E379" s="122" t="s">
        <v>111</v>
      </c>
      <c r="F379" s="142"/>
      <c r="G379" s="183">
        <f>SUM(G380)</f>
        <v>0</v>
      </c>
      <c r="H379" s="14" t="e">
        <f>SUM(H380+H393+H395+H399+#REF!+H383+H390)+#REF!</f>
        <v>#REF!</v>
      </c>
      <c r="I379" s="14" t="e">
        <f>SUM(H379/G390*100)</f>
        <v>#REF!</v>
      </c>
    </row>
    <row r="380" spans="1:9" s="25" customFormat="1" ht="28.5" hidden="1">
      <c r="A380" s="342" t="s">
        <v>83</v>
      </c>
      <c r="B380" s="322"/>
      <c r="C380" s="77" t="s">
        <v>109</v>
      </c>
      <c r="D380" s="122" t="s">
        <v>109</v>
      </c>
      <c r="E380" s="122" t="s">
        <v>84</v>
      </c>
      <c r="F380" s="142"/>
      <c r="G380" s="183">
        <f>SUM(G381)</f>
        <v>0</v>
      </c>
      <c r="H380" s="14">
        <v>53118.9</v>
      </c>
      <c r="I380" s="14">
        <f>SUM(H380/G391*100)</f>
        <v>559146.3157894737</v>
      </c>
    </row>
    <row r="381" spans="1:9" s="25" customFormat="1" ht="42.75" hidden="1">
      <c r="A381" s="342" t="s">
        <v>85</v>
      </c>
      <c r="B381" s="322"/>
      <c r="C381" s="77" t="s">
        <v>109</v>
      </c>
      <c r="D381" s="122" t="s">
        <v>109</v>
      </c>
      <c r="E381" s="122" t="s">
        <v>86</v>
      </c>
      <c r="F381" s="142"/>
      <c r="G381" s="183">
        <f>SUM(G382:G383)</f>
        <v>0</v>
      </c>
      <c r="H381" s="14"/>
      <c r="I381" s="14">
        <f>SUM(H381/G393*100)</f>
        <v>0</v>
      </c>
    </row>
    <row r="382" spans="1:9" s="25" customFormat="1" ht="15" hidden="1">
      <c r="A382" s="337" t="s">
        <v>52</v>
      </c>
      <c r="B382" s="322"/>
      <c r="C382" s="77" t="s">
        <v>109</v>
      </c>
      <c r="D382" s="122" t="s">
        <v>109</v>
      </c>
      <c r="E382" s="122" t="s">
        <v>86</v>
      </c>
      <c r="F382" s="142"/>
      <c r="G382" s="183"/>
      <c r="H382" s="14"/>
      <c r="I382" s="14">
        <f>SUM(H382/G394*100)</f>
        <v>0</v>
      </c>
    </row>
    <row r="383" spans="1:10" s="25" customFormat="1" ht="28.5" hidden="1">
      <c r="A383" s="187" t="s">
        <v>697</v>
      </c>
      <c r="B383" s="322"/>
      <c r="C383" s="77" t="s">
        <v>109</v>
      </c>
      <c r="D383" s="122" t="s">
        <v>109</v>
      </c>
      <c r="E383" s="122" t="s">
        <v>86</v>
      </c>
      <c r="F383" s="142" t="s">
        <v>112</v>
      </c>
      <c r="G383" s="183"/>
      <c r="H383" s="14">
        <f>SUM(H384)</f>
        <v>392.5</v>
      </c>
      <c r="I383" s="14">
        <f>SUM(H383/G395*100)</f>
        <v>1.0414013414841232</v>
      </c>
      <c r="J383" s="78">
        <f>SUM('ведомствен.2015'!G698)</f>
        <v>0</v>
      </c>
    </row>
    <row r="384" spans="1:9" s="25" customFormat="1" ht="15">
      <c r="A384" s="337" t="s">
        <v>530</v>
      </c>
      <c r="B384" s="323"/>
      <c r="C384" s="77" t="s">
        <v>109</v>
      </c>
      <c r="D384" s="122" t="s">
        <v>109</v>
      </c>
      <c r="E384" s="122" t="s">
        <v>121</v>
      </c>
      <c r="F384" s="142"/>
      <c r="G384" s="183">
        <f>SUM(G390)+G385+G387</f>
        <v>3793.8</v>
      </c>
      <c r="H384" s="14">
        <v>392.5</v>
      </c>
      <c r="I384" s="14">
        <f>SUM(H384/G396*100)</f>
        <v>1.1772574849580988</v>
      </c>
    </row>
    <row r="385" spans="1:9" s="25" customFormat="1" ht="42.75">
      <c r="A385" s="167" t="s">
        <v>656</v>
      </c>
      <c r="B385" s="319"/>
      <c r="C385" s="74" t="s">
        <v>109</v>
      </c>
      <c r="D385" s="124" t="s">
        <v>109</v>
      </c>
      <c r="E385" s="124" t="s">
        <v>657</v>
      </c>
      <c r="F385" s="134"/>
      <c r="G385" s="180">
        <f>G386</f>
        <v>10</v>
      </c>
      <c r="H385" s="14"/>
      <c r="I385" s="14"/>
    </row>
    <row r="386" spans="1:10" s="25" customFormat="1" ht="28.5">
      <c r="A386" s="187" t="s">
        <v>697</v>
      </c>
      <c r="B386" s="319"/>
      <c r="C386" s="74" t="s">
        <v>109</v>
      </c>
      <c r="D386" s="124" t="s">
        <v>109</v>
      </c>
      <c r="E386" s="124" t="s">
        <v>657</v>
      </c>
      <c r="F386" s="134" t="s">
        <v>112</v>
      </c>
      <c r="G386" s="180">
        <v>10</v>
      </c>
      <c r="H386" s="14"/>
      <c r="I386" s="14"/>
      <c r="J386" s="78">
        <f>SUM('ведомствен.2015'!G701)</f>
        <v>10</v>
      </c>
    </row>
    <row r="387" spans="1:10" s="25" customFormat="1" ht="42.75">
      <c r="A387" s="120" t="s">
        <v>745</v>
      </c>
      <c r="B387" s="197"/>
      <c r="C387" s="214" t="s">
        <v>109</v>
      </c>
      <c r="D387" s="199" t="s">
        <v>109</v>
      </c>
      <c r="E387" s="199" t="s">
        <v>746</v>
      </c>
      <c r="F387" s="258"/>
      <c r="G387" s="174">
        <f>SUM(G388+G389)</f>
        <v>3000</v>
      </c>
      <c r="H387" s="14"/>
      <c r="I387" s="14"/>
      <c r="J387" s="78"/>
    </row>
    <row r="388" spans="1:10" s="25" customFormat="1" ht="15">
      <c r="A388" s="119" t="s">
        <v>449</v>
      </c>
      <c r="B388" s="197"/>
      <c r="C388" s="214" t="s">
        <v>109</v>
      </c>
      <c r="D388" s="199" t="s">
        <v>109</v>
      </c>
      <c r="E388" s="199" t="s">
        <v>746</v>
      </c>
      <c r="F388" s="258" t="s">
        <v>112</v>
      </c>
      <c r="G388" s="174">
        <v>430.8</v>
      </c>
      <c r="H388" s="14"/>
      <c r="I388" s="14"/>
      <c r="J388" s="78">
        <f>SUM('ведомствен.2015'!G703)</f>
        <v>430.8</v>
      </c>
    </row>
    <row r="389" spans="1:10" s="25" customFormat="1" ht="15">
      <c r="A389" s="119" t="s">
        <v>450</v>
      </c>
      <c r="B389" s="197"/>
      <c r="C389" s="214" t="s">
        <v>109</v>
      </c>
      <c r="D389" s="199" t="s">
        <v>109</v>
      </c>
      <c r="E389" s="199" t="s">
        <v>746</v>
      </c>
      <c r="F389" s="258" t="s">
        <v>160</v>
      </c>
      <c r="G389" s="174">
        <v>2569.2</v>
      </c>
      <c r="H389" s="14"/>
      <c r="I389" s="14"/>
      <c r="J389" s="78">
        <f>SUM('ведомствен.2015'!G704)</f>
        <v>2569.2</v>
      </c>
    </row>
    <row r="390" spans="1:9" s="25" customFormat="1" ht="15">
      <c r="A390" s="267" t="s">
        <v>546</v>
      </c>
      <c r="B390" s="404"/>
      <c r="C390" s="214" t="s">
        <v>109</v>
      </c>
      <c r="D390" s="199" t="s">
        <v>109</v>
      </c>
      <c r="E390" s="199" t="s">
        <v>89</v>
      </c>
      <c r="F390" s="258"/>
      <c r="G390" s="177">
        <f>SUM(G391:G392)</f>
        <v>783.8</v>
      </c>
      <c r="H390" s="14">
        <f>SUM(H391)</f>
        <v>0</v>
      </c>
      <c r="I390" s="14">
        <f>SUM(H390/G397*100)</f>
        <v>0</v>
      </c>
    </row>
    <row r="391" spans="1:10" s="25" customFormat="1" ht="28.5">
      <c r="A391" s="149" t="s">
        <v>444</v>
      </c>
      <c r="B391" s="404"/>
      <c r="C391" s="214" t="s">
        <v>109</v>
      </c>
      <c r="D391" s="199" t="s">
        <v>109</v>
      </c>
      <c r="E391" s="199" t="s">
        <v>89</v>
      </c>
      <c r="F391" s="258" t="s">
        <v>445</v>
      </c>
      <c r="G391" s="177">
        <v>9.5</v>
      </c>
      <c r="H391" s="14"/>
      <c r="I391" s="14">
        <f>SUM(H391/G398*100)</f>
        <v>0</v>
      </c>
      <c r="J391" s="78">
        <f>SUM('ведомствен.2015'!G706)</f>
        <v>9.5</v>
      </c>
    </row>
    <row r="392" spans="1:10" s="25" customFormat="1" ht="28.5">
      <c r="A392" s="187" t="s">
        <v>697</v>
      </c>
      <c r="B392" s="404"/>
      <c r="C392" s="214" t="s">
        <v>109</v>
      </c>
      <c r="D392" s="199" t="s">
        <v>109</v>
      </c>
      <c r="E392" s="199" t="s">
        <v>89</v>
      </c>
      <c r="F392" s="258" t="s">
        <v>112</v>
      </c>
      <c r="G392" s="177">
        <v>774.3</v>
      </c>
      <c r="H392" s="14"/>
      <c r="I392" s="14"/>
      <c r="J392" s="78">
        <f>SUM('ведомствен.2015'!G707)</f>
        <v>774.3</v>
      </c>
    </row>
    <row r="393" spans="1:9" s="25" customFormat="1" ht="15">
      <c r="A393" s="337" t="s">
        <v>208</v>
      </c>
      <c r="B393" s="322"/>
      <c r="C393" s="77" t="s">
        <v>109</v>
      </c>
      <c r="D393" s="122" t="s">
        <v>272</v>
      </c>
      <c r="E393" s="122"/>
      <c r="F393" s="142"/>
      <c r="G393" s="183">
        <f>G394+G399</f>
        <v>37689.59999999999</v>
      </c>
      <c r="H393" s="14">
        <f>SUM(H394)</f>
        <v>5014</v>
      </c>
      <c r="I393" s="14" t="e">
        <f>SUM(H393/G399*100)</f>
        <v>#DIV/0!</v>
      </c>
    </row>
    <row r="394" spans="1:9" s="25" customFormat="1" ht="57">
      <c r="A394" s="342" t="s">
        <v>263</v>
      </c>
      <c r="B394" s="322"/>
      <c r="C394" s="77" t="s">
        <v>109</v>
      </c>
      <c r="D394" s="122" t="s">
        <v>272</v>
      </c>
      <c r="E394" s="122" t="s">
        <v>264</v>
      </c>
      <c r="F394" s="142"/>
      <c r="G394" s="183">
        <f>SUM(G395)</f>
        <v>37689.59999999999</v>
      </c>
      <c r="H394" s="14">
        <v>5014</v>
      </c>
      <c r="I394" s="14" t="e">
        <f>SUM(H394/G400*100)</f>
        <v>#DIV/0!</v>
      </c>
    </row>
    <row r="395" spans="1:10" ht="28.5">
      <c r="A395" s="337" t="s">
        <v>51</v>
      </c>
      <c r="B395" s="322"/>
      <c r="C395" s="77" t="s">
        <v>109</v>
      </c>
      <c r="D395" s="122" t="s">
        <v>272</v>
      </c>
      <c r="E395" s="122" t="s">
        <v>265</v>
      </c>
      <c r="F395" s="142"/>
      <c r="G395" s="183">
        <f>SUM(G396+G397+G398)</f>
        <v>37689.59999999999</v>
      </c>
      <c r="H395" s="14">
        <f>SUM(H396)</f>
        <v>0</v>
      </c>
      <c r="I395" s="14" t="e">
        <f>SUM(H395/G401*100)</f>
        <v>#DIV/0!</v>
      </c>
      <c r="J395"/>
    </row>
    <row r="396" spans="1:10" s="25" customFormat="1" ht="28.5">
      <c r="A396" s="337" t="s">
        <v>444</v>
      </c>
      <c r="B396" s="322"/>
      <c r="C396" s="77" t="s">
        <v>109</v>
      </c>
      <c r="D396" s="122" t="s">
        <v>272</v>
      </c>
      <c r="E396" s="122" t="s">
        <v>265</v>
      </c>
      <c r="F396" s="142" t="s">
        <v>445</v>
      </c>
      <c r="G396" s="183">
        <v>33340.2</v>
      </c>
      <c r="H396" s="14"/>
      <c r="I396" s="14" t="e">
        <f>SUM(H396/#REF!*100)</f>
        <v>#REF!</v>
      </c>
      <c r="J396" s="78">
        <f>SUM('ведомствен.2015'!G711)</f>
        <v>33340.2</v>
      </c>
    </row>
    <row r="397" spans="1:10" ht="28.5">
      <c r="A397" s="187" t="s">
        <v>697</v>
      </c>
      <c r="B397" s="323"/>
      <c r="C397" s="77" t="s">
        <v>109</v>
      </c>
      <c r="D397" s="122" t="s">
        <v>272</v>
      </c>
      <c r="E397" s="122" t="s">
        <v>265</v>
      </c>
      <c r="F397" s="142" t="s">
        <v>112</v>
      </c>
      <c r="G397" s="183">
        <v>3950.7</v>
      </c>
      <c r="H397" s="14">
        <f>SUM(H398)</f>
        <v>0</v>
      </c>
      <c r="I397" s="14" t="e">
        <f>SUM(H397/#REF!*100)</f>
        <v>#REF!</v>
      </c>
      <c r="J397" s="78">
        <f>SUM('ведомствен.2015'!G712)</f>
        <v>3950.7</v>
      </c>
    </row>
    <row r="398" spans="1:10" ht="14.25" customHeight="1">
      <c r="A398" s="337" t="s">
        <v>450</v>
      </c>
      <c r="B398" s="322"/>
      <c r="C398" s="77" t="s">
        <v>109</v>
      </c>
      <c r="D398" s="122" t="s">
        <v>272</v>
      </c>
      <c r="E398" s="122" t="s">
        <v>265</v>
      </c>
      <c r="F398" s="142" t="s">
        <v>160</v>
      </c>
      <c r="G398" s="183">
        <v>398.7</v>
      </c>
      <c r="H398" s="14"/>
      <c r="I398" s="14" t="e">
        <f>SUM(H398/#REF!*100)</f>
        <v>#REF!</v>
      </c>
      <c r="J398" s="78">
        <f>SUM('ведомствен.2015'!G713)</f>
        <v>398.7</v>
      </c>
    </row>
    <row r="399" spans="1:10" ht="15" hidden="1">
      <c r="A399" s="158" t="s">
        <v>497</v>
      </c>
      <c r="B399" s="314"/>
      <c r="C399" s="287" t="s">
        <v>109</v>
      </c>
      <c r="D399" s="288" t="s">
        <v>272</v>
      </c>
      <c r="E399" s="124" t="s">
        <v>121</v>
      </c>
      <c r="F399" s="290"/>
      <c r="G399" s="304">
        <f>SUM(G400)</f>
        <v>0</v>
      </c>
      <c r="H399" s="14">
        <f>SUM(H400)</f>
        <v>454</v>
      </c>
      <c r="I399" s="14" t="e">
        <f>SUM(H399/#REF!*100)</f>
        <v>#REF!</v>
      </c>
      <c r="J399"/>
    </row>
    <row r="400" spans="1:9" s="25" customFormat="1" ht="28.5" hidden="1">
      <c r="A400" s="338" t="s">
        <v>498</v>
      </c>
      <c r="B400" s="314"/>
      <c r="C400" s="287" t="s">
        <v>109</v>
      </c>
      <c r="D400" s="288" t="s">
        <v>272</v>
      </c>
      <c r="E400" s="288" t="s">
        <v>49</v>
      </c>
      <c r="F400" s="290"/>
      <c r="G400" s="304">
        <f>G401</f>
        <v>0</v>
      </c>
      <c r="H400" s="14">
        <v>454</v>
      </c>
      <c r="I400" s="14" t="e">
        <f>SUM(H400/#REF!*100)</f>
        <v>#REF!</v>
      </c>
    </row>
    <row r="401" spans="1:10" ht="28.5" hidden="1">
      <c r="A401" s="158" t="s">
        <v>512</v>
      </c>
      <c r="B401" s="314"/>
      <c r="C401" s="287" t="s">
        <v>109</v>
      </c>
      <c r="D401" s="288" t="s">
        <v>272</v>
      </c>
      <c r="E401" s="288" t="s">
        <v>510</v>
      </c>
      <c r="F401" s="290" t="s">
        <v>507</v>
      </c>
      <c r="G401" s="304"/>
      <c r="H401" s="14"/>
      <c r="I401" s="14" t="e">
        <f>SUM(H401/#REF!*100)</f>
        <v>#REF!</v>
      </c>
      <c r="J401">
        <f>SUM('ведомствен.2015'!G289)</f>
        <v>0</v>
      </c>
    </row>
    <row r="402" spans="1:12" ht="15">
      <c r="A402" s="335" t="s">
        <v>294</v>
      </c>
      <c r="B402" s="315"/>
      <c r="C402" s="139" t="s">
        <v>116</v>
      </c>
      <c r="D402" s="126"/>
      <c r="E402" s="126"/>
      <c r="F402" s="137"/>
      <c r="G402" s="182">
        <f>SUM(G403+G455)</f>
        <v>112679.70000000001</v>
      </c>
      <c r="H402" s="14">
        <f>SUM(H417:H418)</f>
        <v>14679.5</v>
      </c>
      <c r="I402" s="14" t="e">
        <f>SUM(H402/G415*100)</f>
        <v>#DIV/0!</v>
      </c>
      <c r="J402"/>
      <c r="K402">
        <f>SUM(J403:J474)</f>
        <v>112679.70000000001</v>
      </c>
      <c r="L402">
        <f>SUM('ведомствен.2015'!G758)</f>
        <v>112679.70000000001</v>
      </c>
    </row>
    <row r="403" spans="1:13" ht="15">
      <c r="A403" s="332" t="s">
        <v>326</v>
      </c>
      <c r="B403" s="312"/>
      <c r="C403" s="74" t="s">
        <v>116</v>
      </c>
      <c r="D403" s="124" t="s">
        <v>414</v>
      </c>
      <c r="E403" s="124"/>
      <c r="F403" s="134"/>
      <c r="G403" s="180">
        <f>SUM(G404+G429+G440+G445)</f>
        <v>102338.70000000001</v>
      </c>
      <c r="H403" s="14"/>
      <c r="I403" s="14"/>
      <c r="J403"/>
      <c r="M403" s="273">
        <f>SUM(K402-G402)</f>
        <v>0</v>
      </c>
    </row>
    <row r="404" spans="1:10" ht="27.75" customHeight="1">
      <c r="A404" s="158" t="s">
        <v>536</v>
      </c>
      <c r="B404" s="312"/>
      <c r="C404" s="74" t="s">
        <v>116</v>
      </c>
      <c r="D404" s="124" t="s">
        <v>414</v>
      </c>
      <c r="E404" s="124" t="s">
        <v>128</v>
      </c>
      <c r="F404" s="134"/>
      <c r="G404" s="180">
        <f>SUM(G407+G410)+G405</f>
        <v>58163.8</v>
      </c>
      <c r="H404" s="14"/>
      <c r="I404" s="14"/>
      <c r="J404"/>
    </row>
    <row r="405" spans="1:10" ht="42.75" hidden="1">
      <c r="A405" s="158" t="s">
        <v>339</v>
      </c>
      <c r="B405" s="312"/>
      <c r="C405" s="74" t="s">
        <v>116</v>
      </c>
      <c r="D405" s="124" t="s">
        <v>414</v>
      </c>
      <c r="E405" s="124" t="s">
        <v>588</v>
      </c>
      <c r="F405" s="134"/>
      <c r="G405" s="180">
        <f>SUM(G406)</f>
        <v>0</v>
      </c>
      <c r="H405" s="14"/>
      <c r="I405" s="14"/>
      <c r="J405"/>
    </row>
    <row r="406" spans="1:10" ht="15" hidden="1">
      <c r="A406" s="332" t="s">
        <v>449</v>
      </c>
      <c r="B406" s="312"/>
      <c r="C406" s="74" t="s">
        <v>116</v>
      </c>
      <c r="D406" s="124" t="s">
        <v>414</v>
      </c>
      <c r="E406" s="124" t="s">
        <v>588</v>
      </c>
      <c r="F406" s="134" t="s">
        <v>112</v>
      </c>
      <c r="G406" s="180"/>
      <c r="H406" s="14"/>
      <c r="I406" s="14"/>
      <c r="J406">
        <f>SUM('ведомствен.2015'!G762)</f>
        <v>0</v>
      </c>
    </row>
    <row r="407" spans="1:10" ht="28.5">
      <c r="A407" s="332" t="s">
        <v>14</v>
      </c>
      <c r="B407" s="315"/>
      <c r="C407" s="74" t="s">
        <v>116</v>
      </c>
      <c r="D407" s="124" t="s">
        <v>414</v>
      </c>
      <c r="E407" s="124" t="s">
        <v>182</v>
      </c>
      <c r="F407" s="134"/>
      <c r="G407" s="180">
        <f>SUM(G408)</f>
        <v>35848.8</v>
      </c>
      <c r="H407" s="14"/>
      <c r="I407" s="14"/>
      <c r="J407"/>
    </row>
    <row r="408" spans="1:10" ht="28.5">
      <c r="A408" s="332" t="s">
        <v>87</v>
      </c>
      <c r="B408" s="315"/>
      <c r="C408" s="74" t="s">
        <v>116</v>
      </c>
      <c r="D408" s="124" t="s">
        <v>414</v>
      </c>
      <c r="E408" s="124" t="s">
        <v>184</v>
      </c>
      <c r="F408" s="134"/>
      <c r="G408" s="180">
        <f>SUM(G409)</f>
        <v>35848.8</v>
      </c>
      <c r="H408" s="14"/>
      <c r="I408" s="14"/>
      <c r="J408"/>
    </row>
    <row r="409" spans="1:10" ht="28.5">
      <c r="A409" s="337" t="s">
        <v>463</v>
      </c>
      <c r="B409" s="320"/>
      <c r="C409" s="74" t="s">
        <v>116</v>
      </c>
      <c r="D409" s="124" t="s">
        <v>414</v>
      </c>
      <c r="E409" s="124" t="s">
        <v>184</v>
      </c>
      <c r="F409" s="135" t="s">
        <v>461</v>
      </c>
      <c r="G409" s="180">
        <v>35848.8</v>
      </c>
      <c r="H409" s="14"/>
      <c r="I409" s="14"/>
      <c r="J409">
        <f>SUM('ведомствен.2015'!G765)</f>
        <v>35848.8</v>
      </c>
    </row>
    <row r="410" spans="1:10" ht="28.5">
      <c r="A410" s="332" t="s">
        <v>51</v>
      </c>
      <c r="B410" s="320"/>
      <c r="C410" s="74" t="s">
        <v>116</v>
      </c>
      <c r="D410" s="124" t="s">
        <v>414</v>
      </c>
      <c r="E410" s="124" t="s">
        <v>129</v>
      </c>
      <c r="F410" s="135"/>
      <c r="G410" s="180">
        <f>SUM(G411:G413)</f>
        <v>22315</v>
      </c>
      <c r="H410" s="14"/>
      <c r="I410" s="14"/>
      <c r="J410"/>
    </row>
    <row r="411" spans="1:10" ht="28.5">
      <c r="A411" s="332" t="s">
        <v>444</v>
      </c>
      <c r="B411" s="312"/>
      <c r="C411" s="74" t="s">
        <v>116</v>
      </c>
      <c r="D411" s="124" t="s">
        <v>414</v>
      </c>
      <c r="E411" s="124" t="s">
        <v>129</v>
      </c>
      <c r="F411" s="133" t="s">
        <v>445</v>
      </c>
      <c r="G411" s="180">
        <v>18532.5</v>
      </c>
      <c r="H411" s="14"/>
      <c r="I411" s="14"/>
      <c r="J411">
        <f>SUM('ведомствен.2015'!G767)</f>
        <v>18532.5</v>
      </c>
    </row>
    <row r="412" spans="1:10" ht="28.5">
      <c r="A412" s="187" t="s">
        <v>697</v>
      </c>
      <c r="B412" s="312"/>
      <c r="C412" s="74" t="s">
        <v>116</v>
      </c>
      <c r="D412" s="124" t="s">
        <v>414</v>
      </c>
      <c r="E412" s="124" t="s">
        <v>129</v>
      </c>
      <c r="F412" s="133" t="s">
        <v>112</v>
      </c>
      <c r="G412" s="181">
        <v>3324.2</v>
      </c>
      <c r="H412" s="14"/>
      <c r="I412" s="14"/>
      <c r="J412">
        <f>SUM('ведомствен.2015'!G768)</f>
        <v>3324.2</v>
      </c>
    </row>
    <row r="413" spans="1:10" ht="15">
      <c r="A413" s="332" t="s">
        <v>450</v>
      </c>
      <c r="B413" s="312"/>
      <c r="C413" s="74" t="s">
        <v>116</v>
      </c>
      <c r="D413" s="124" t="s">
        <v>414</v>
      </c>
      <c r="E413" s="124" t="s">
        <v>129</v>
      </c>
      <c r="F413" s="134" t="s">
        <v>160</v>
      </c>
      <c r="G413" s="180">
        <v>458.3</v>
      </c>
      <c r="H413" s="14"/>
      <c r="I413" s="14"/>
      <c r="J413">
        <f>SUM('ведомствен.2015'!G769)</f>
        <v>458.3</v>
      </c>
    </row>
    <row r="414" spans="1:9" ht="28.5" hidden="1">
      <c r="A414" s="332" t="s">
        <v>88</v>
      </c>
      <c r="B414" s="315"/>
      <c r="C414" s="74" t="s">
        <v>116</v>
      </c>
      <c r="D414" s="124" t="s">
        <v>414</v>
      </c>
      <c r="E414" s="124" t="s">
        <v>182</v>
      </c>
      <c r="F414" s="134"/>
      <c r="G414" s="180">
        <f>SUM(G415+G417)</f>
        <v>0</v>
      </c>
      <c r="H414" s="14"/>
      <c r="I414" s="14"/>
    </row>
    <row r="415" spans="1:10" ht="28.5" hidden="1">
      <c r="A415" s="332" t="s">
        <v>183</v>
      </c>
      <c r="B415" s="315"/>
      <c r="C415" s="74" t="s">
        <v>116</v>
      </c>
      <c r="D415" s="124" t="s">
        <v>414</v>
      </c>
      <c r="E415" s="124" t="s">
        <v>184</v>
      </c>
      <c r="F415" s="134"/>
      <c r="G415" s="180">
        <f>SUM(G416)</f>
        <v>0</v>
      </c>
      <c r="H415" s="14"/>
      <c r="I415" s="14"/>
      <c r="J415"/>
    </row>
    <row r="416" spans="1:10" ht="42.75" hidden="1">
      <c r="A416" s="337" t="s">
        <v>147</v>
      </c>
      <c r="B416" s="320"/>
      <c r="C416" s="74" t="s">
        <v>116</v>
      </c>
      <c r="D416" s="124" t="s">
        <v>414</v>
      </c>
      <c r="E416" s="124" t="s">
        <v>184</v>
      </c>
      <c r="F416" s="135" t="s">
        <v>53</v>
      </c>
      <c r="G416" s="180"/>
      <c r="H416" s="14"/>
      <c r="I416" s="14"/>
      <c r="J416"/>
    </row>
    <row r="417" spans="1:9" ht="15" hidden="1">
      <c r="A417" s="332" t="s">
        <v>148</v>
      </c>
      <c r="B417" s="312"/>
      <c r="C417" s="74" t="s">
        <v>116</v>
      </c>
      <c r="D417" s="124" t="s">
        <v>414</v>
      </c>
      <c r="E417" s="75" t="s">
        <v>371</v>
      </c>
      <c r="F417" s="135"/>
      <c r="G417" s="180">
        <f>SUM(G420+G422)+G418</f>
        <v>0</v>
      </c>
      <c r="H417" s="14">
        <v>14679.5</v>
      </c>
      <c r="I417" s="14" t="e">
        <f>SUM(H417/G423*100)</f>
        <v>#DIV/0!</v>
      </c>
    </row>
    <row r="418" spans="1:9" ht="28.5" hidden="1">
      <c r="A418" s="332" t="s">
        <v>417</v>
      </c>
      <c r="B418" s="312"/>
      <c r="C418" s="74" t="s">
        <v>116</v>
      </c>
      <c r="D418" s="124" t="s">
        <v>414</v>
      </c>
      <c r="E418" s="75" t="s">
        <v>372</v>
      </c>
      <c r="F418" s="135"/>
      <c r="G418" s="180">
        <f>SUM(G419)</f>
        <v>0</v>
      </c>
      <c r="H418" s="14"/>
      <c r="I418" s="14" t="e">
        <f>SUM(H418/G424*100)</f>
        <v>#DIV/0!</v>
      </c>
    </row>
    <row r="419" spans="1:10" ht="15" hidden="1">
      <c r="A419" s="332" t="s">
        <v>148</v>
      </c>
      <c r="B419" s="312"/>
      <c r="C419" s="74" t="s">
        <v>116</v>
      </c>
      <c r="D419" s="124" t="s">
        <v>414</v>
      </c>
      <c r="E419" s="75" t="s">
        <v>372</v>
      </c>
      <c r="F419" s="135" t="s">
        <v>78</v>
      </c>
      <c r="G419" s="180"/>
      <c r="H419" s="14">
        <f>SUM(H420)</f>
        <v>2102.5</v>
      </c>
      <c r="I419" s="14" t="e">
        <f>SUM(H419/G425*100)</f>
        <v>#DIV/0!</v>
      </c>
      <c r="J419"/>
    </row>
    <row r="420" spans="1:10" ht="28.5" hidden="1">
      <c r="A420" s="337" t="s">
        <v>370</v>
      </c>
      <c r="B420" s="320"/>
      <c r="C420" s="74" t="s">
        <v>116</v>
      </c>
      <c r="D420" s="124" t="s">
        <v>414</v>
      </c>
      <c r="E420" s="124" t="s">
        <v>369</v>
      </c>
      <c r="F420" s="135"/>
      <c r="G420" s="180">
        <f>SUM(G421)</f>
        <v>0</v>
      </c>
      <c r="H420" s="14">
        <f>SUM(H422)+H429</f>
        <v>2102.5</v>
      </c>
      <c r="I420" s="14" t="e">
        <f>SUM(H420/G426*100)</f>
        <v>#DIV/0!</v>
      </c>
      <c r="J420"/>
    </row>
    <row r="421" spans="1:10" ht="15" hidden="1">
      <c r="A421" s="337" t="s">
        <v>134</v>
      </c>
      <c r="B421" s="320"/>
      <c r="C421" s="74" t="s">
        <v>116</v>
      </c>
      <c r="D421" s="124" t="s">
        <v>414</v>
      </c>
      <c r="E421" s="124" t="s">
        <v>369</v>
      </c>
      <c r="F421" s="135" t="s">
        <v>78</v>
      </c>
      <c r="G421" s="180"/>
      <c r="H421" s="14"/>
      <c r="I421" s="14"/>
      <c r="J421"/>
    </row>
    <row r="422" spans="1:9" ht="28.5" hidden="1">
      <c r="A422" s="337" t="s">
        <v>144</v>
      </c>
      <c r="B422" s="320"/>
      <c r="C422" s="74" t="s">
        <v>116</v>
      </c>
      <c r="D422" s="124" t="s">
        <v>414</v>
      </c>
      <c r="E422" s="124" t="s">
        <v>192</v>
      </c>
      <c r="F422" s="135"/>
      <c r="G422" s="180">
        <f>SUM(G423)</f>
        <v>0</v>
      </c>
      <c r="H422" s="14">
        <v>2102.5</v>
      </c>
      <c r="I422" s="14" t="e">
        <f>SUM(H422/G428*100)</f>
        <v>#DIV/0!</v>
      </c>
    </row>
    <row r="423" spans="1:9" ht="15" hidden="1">
      <c r="A423" s="337" t="s">
        <v>134</v>
      </c>
      <c r="B423" s="320"/>
      <c r="C423" s="74" t="s">
        <v>116</v>
      </c>
      <c r="D423" s="124" t="s">
        <v>414</v>
      </c>
      <c r="E423" s="124" t="s">
        <v>192</v>
      </c>
      <c r="F423" s="135" t="s">
        <v>78</v>
      </c>
      <c r="G423" s="180"/>
      <c r="H423" s="14"/>
      <c r="I423" s="14"/>
    </row>
    <row r="424" spans="1:9" ht="28.5" hidden="1">
      <c r="A424" s="332" t="s">
        <v>51</v>
      </c>
      <c r="B424" s="179"/>
      <c r="C424" s="74" t="s">
        <v>116</v>
      </c>
      <c r="D424" s="124" t="s">
        <v>414</v>
      </c>
      <c r="E424" s="124" t="s">
        <v>129</v>
      </c>
      <c r="F424" s="134"/>
      <c r="G424" s="180">
        <f>SUM(G425:G427)</f>
        <v>0</v>
      </c>
      <c r="H424" s="14"/>
      <c r="I424" s="14"/>
    </row>
    <row r="425" spans="1:9" ht="15" hidden="1">
      <c r="A425" s="337" t="s">
        <v>52</v>
      </c>
      <c r="B425" s="179"/>
      <c r="C425" s="74" t="s">
        <v>116</v>
      </c>
      <c r="D425" s="124" t="s">
        <v>414</v>
      </c>
      <c r="E425" s="124" t="s">
        <v>129</v>
      </c>
      <c r="F425" s="134" t="s">
        <v>221</v>
      </c>
      <c r="G425" s="180"/>
      <c r="H425" s="14"/>
      <c r="I425" s="14"/>
    </row>
    <row r="426" spans="1:9" ht="42.75" hidden="1">
      <c r="A426" s="337" t="s">
        <v>329</v>
      </c>
      <c r="B426" s="320"/>
      <c r="C426" s="74" t="s">
        <v>116</v>
      </c>
      <c r="D426" s="124" t="s">
        <v>414</v>
      </c>
      <c r="E426" s="124" t="s">
        <v>129</v>
      </c>
      <c r="F426" s="135" t="s">
        <v>330</v>
      </c>
      <c r="G426" s="180"/>
      <c r="H426" s="14"/>
      <c r="I426" s="14"/>
    </row>
    <row r="427" spans="1:9" ht="42.75" hidden="1">
      <c r="A427" s="332" t="s">
        <v>231</v>
      </c>
      <c r="B427" s="312"/>
      <c r="C427" s="74" t="s">
        <v>116</v>
      </c>
      <c r="D427" s="124" t="s">
        <v>414</v>
      </c>
      <c r="E427" s="124" t="s">
        <v>331</v>
      </c>
      <c r="F427" s="135"/>
      <c r="G427" s="180">
        <f>SUM(G428)</f>
        <v>0</v>
      </c>
      <c r="H427" s="14"/>
      <c r="I427" s="14"/>
    </row>
    <row r="428" spans="1:9" ht="15" hidden="1">
      <c r="A428" s="337" t="s">
        <v>220</v>
      </c>
      <c r="B428" s="320"/>
      <c r="C428" s="74" t="s">
        <v>116</v>
      </c>
      <c r="D428" s="124" t="s">
        <v>414</v>
      </c>
      <c r="E428" s="124" t="s">
        <v>331</v>
      </c>
      <c r="F428" s="135" t="s">
        <v>221</v>
      </c>
      <c r="G428" s="180"/>
      <c r="H428" s="14">
        <v>14679.5</v>
      </c>
      <c r="I428" s="14" t="e">
        <f aca="true" t="shared" si="6" ref="I428:I446">SUM(H428/G434*100)</f>
        <v>#DIV/0!</v>
      </c>
    </row>
    <row r="429" spans="1:9" ht="15">
      <c r="A429" s="332" t="s">
        <v>332</v>
      </c>
      <c r="B429" s="312"/>
      <c r="C429" s="74" t="s">
        <v>116</v>
      </c>
      <c r="D429" s="124" t="s">
        <v>414</v>
      </c>
      <c r="E429" s="124" t="s">
        <v>333</v>
      </c>
      <c r="F429" s="134"/>
      <c r="G429" s="180">
        <f>SUM(G430)</f>
        <v>5995.6</v>
      </c>
      <c r="H429" s="14"/>
      <c r="I429" s="14" t="e">
        <f t="shared" si="6"/>
        <v>#DIV/0!</v>
      </c>
    </row>
    <row r="430" spans="1:10" ht="28.5">
      <c r="A430" s="332" t="s">
        <v>88</v>
      </c>
      <c r="B430" s="315"/>
      <c r="C430" s="74" t="s">
        <v>116</v>
      </c>
      <c r="D430" s="124" t="s">
        <v>414</v>
      </c>
      <c r="E430" s="124" t="s">
        <v>76</v>
      </c>
      <c r="F430" s="134"/>
      <c r="G430" s="180">
        <f>SUM(G431)+G433</f>
        <v>5995.6</v>
      </c>
      <c r="H430" s="14"/>
      <c r="I430" s="14" t="e">
        <f t="shared" si="6"/>
        <v>#DIV/0!</v>
      </c>
      <c r="J430"/>
    </row>
    <row r="431" spans="1:10" ht="28.5">
      <c r="A431" s="332" t="s">
        <v>183</v>
      </c>
      <c r="B431" s="315"/>
      <c r="C431" s="74" t="s">
        <v>116</v>
      </c>
      <c r="D431" s="124" t="s">
        <v>414</v>
      </c>
      <c r="E431" s="124" t="s">
        <v>77</v>
      </c>
      <c r="F431" s="134"/>
      <c r="G431" s="180">
        <f>SUM(G432)</f>
        <v>5995.6</v>
      </c>
      <c r="H431" s="14">
        <f>SUM(H432)</f>
        <v>10268.9</v>
      </c>
      <c r="I431" s="14" t="e">
        <f t="shared" si="6"/>
        <v>#DIV/0!</v>
      </c>
      <c r="J431"/>
    </row>
    <row r="432" spans="1:10" ht="32.25" customHeight="1">
      <c r="A432" s="337" t="s">
        <v>463</v>
      </c>
      <c r="B432" s="320"/>
      <c r="C432" s="74" t="s">
        <v>116</v>
      </c>
      <c r="D432" s="124" t="s">
        <v>414</v>
      </c>
      <c r="E432" s="124" t="s">
        <v>77</v>
      </c>
      <c r="F432" s="135" t="s">
        <v>461</v>
      </c>
      <c r="G432" s="180">
        <v>5995.6</v>
      </c>
      <c r="H432" s="14">
        <f>SUM(H433+H435+H437)</f>
        <v>10268.9</v>
      </c>
      <c r="I432" s="14">
        <f aca="true" t="shared" si="7" ref="I432:I437">SUM(H432/G440*100)</f>
        <v>26.936727322328398</v>
      </c>
      <c r="J432">
        <f>SUM('ведомствен.2015'!G788)</f>
        <v>5995.6</v>
      </c>
    </row>
    <row r="433" spans="1:9" ht="15" hidden="1">
      <c r="A433" s="332" t="s">
        <v>148</v>
      </c>
      <c r="B433" s="320"/>
      <c r="C433" s="74" t="s">
        <v>116</v>
      </c>
      <c r="D433" s="124" t="s">
        <v>414</v>
      </c>
      <c r="E433" s="124" t="s">
        <v>193</v>
      </c>
      <c r="F433" s="135"/>
      <c r="G433" s="180">
        <f>SUM(G438)</f>
        <v>0</v>
      </c>
      <c r="H433" s="14">
        <v>8963.8</v>
      </c>
      <c r="I433" s="14">
        <f t="shared" si="7"/>
        <v>23.51327175957379</v>
      </c>
    </row>
    <row r="434" spans="1:10" ht="28.5" hidden="1">
      <c r="A434" s="332" t="s">
        <v>417</v>
      </c>
      <c r="B434" s="320"/>
      <c r="C434" s="74" t="s">
        <v>116</v>
      </c>
      <c r="D434" s="124" t="s">
        <v>414</v>
      </c>
      <c r="E434" s="124" t="s">
        <v>419</v>
      </c>
      <c r="F434" s="135"/>
      <c r="G434" s="180">
        <f>SUM(G435)</f>
        <v>0</v>
      </c>
      <c r="H434" s="14"/>
      <c r="I434" s="14">
        <f t="shared" si="7"/>
        <v>0</v>
      </c>
      <c r="J434"/>
    </row>
    <row r="435" spans="1:10" ht="15" hidden="1">
      <c r="A435" s="332" t="s">
        <v>148</v>
      </c>
      <c r="B435" s="320"/>
      <c r="C435" s="74" t="s">
        <v>116</v>
      </c>
      <c r="D435" s="124" t="s">
        <v>414</v>
      </c>
      <c r="E435" s="124" t="s">
        <v>419</v>
      </c>
      <c r="F435" s="135" t="s">
        <v>78</v>
      </c>
      <c r="G435" s="180"/>
      <c r="H435" s="14">
        <f>SUM(H436)</f>
        <v>0</v>
      </c>
      <c r="I435" s="14">
        <f t="shared" si="7"/>
        <v>0</v>
      </c>
      <c r="J435"/>
    </row>
    <row r="436" spans="1:10" ht="28.5" hidden="1">
      <c r="A436" s="337" t="s">
        <v>370</v>
      </c>
      <c r="B436" s="320"/>
      <c r="C436" s="74" t="s">
        <v>116</v>
      </c>
      <c r="D436" s="124" t="s">
        <v>414</v>
      </c>
      <c r="E436" s="124" t="s">
        <v>143</v>
      </c>
      <c r="F436" s="135"/>
      <c r="G436" s="180">
        <f>SUM(G437)</f>
        <v>0</v>
      </c>
      <c r="H436" s="14"/>
      <c r="I436" s="14">
        <f t="shared" si="7"/>
        <v>0</v>
      </c>
      <c r="J436"/>
    </row>
    <row r="437" spans="1:10" ht="15" hidden="1">
      <c r="A437" s="337" t="s">
        <v>134</v>
      </c>
      <c r="B437" s="320"/>
      <c r="C437" s="74" t="s">
        <v>116</v>
      </c>
      <c r="D437" s="124" t="s">
        <v>414</v>
      </c>
      <c r="E437" s="124" t="s">
        <v>143</v>
      </c>
      <c r="F437" s="135" t="s">
        <v>78</v>
      </c>
      <c r="G437" s="180"/>
      <c r="H437" s="14">
        <f>SUM(H440)</f>
        <v>1305.1</v>
      </c>
      <c r="I437" s="14">
        <f t="shared" si="7"/>
        <v>2289.6491228070176</v>
      </c>
      <c r="J437"/>
    </row>
    <row r="438" spans="1:10" ht="28.5" hidden="1">
      <c r="A438" s="343" t="s">
        <v>144</v>
      </c>
      <c r="B438" s="320"/>
      <c r="C438" s="74" t="s">
        <v>116</v>
      </c>
      <c r="D438" s="124" t="s">
        <v>414</v>
      </c>
      <c r="E438" s="124" t="s">
        <v>565</v>
      </c>
      <c r="F438" s="135"/>
      <c r="G438" s="180">
        <f>SUM(G439)</f>
        <v>0</v>
      </c>
      <c r="H438" s="14"/>
      <c r="I438" s="14"/>
      <c r="J438"/>
    </row>
    <row r="439" spans="1:10" ht="28.5" hidden="1">
      <c r="A439" s="337" t="s">
        <v>463</v>
      </c>
      <c r="B439" s="320"/>
      <c r="C439" s="74" t="s">
        <v>116</v>
      </c>
      <c r="D439" s="124" t="s">
        <v>414</v>
      </c>
      <c r="E439" s="124" t="s">
        <v>565</v>
      </c>
      <c r="F439" s="135" t="s">
        <v>461</v>
      </c>
      <c r="G439" s="180"/>
      <c r="H439" s="14"/>
      <c r="I439" s="14"/>
      <c r="J439">
        <f>SUM('ведомствен.2015'!G795)</f>
        <v>0</v>
      </c>
    </row>
    <row r="440" spans="1:10" ht="15">
      <c r="A440" s="332" t="s">
        <v>334</v>
      </c>
      <c r="B440" s="312"/>
      <c r="C440" s="74" t="s">
        <v>116</v>
      </c>
      <c r="D440" s="124" t="s">
        <v>414</v>
      </c>
      <c r="E440" s="124" t="s">
        <v>335</v>
      </c>
      <c r="F440" s="134"/>
      <c r="G440" s="180">
        <f>SUM(G441)</f>
        <v>38122.3</v>
      </c>
      <c r="H440" s="14">
        <v>1305.1</v>
      </c>
      <c r="I440" s="14">
        <f t="shared" si="6"/>
        <v>2289.6491228070176</v>
      </c>
      <c r="J440"/>
    </row>
    <row r="441" spans="1:10" ht="31.5" customHeight="1">
      <c r="A441" s="332" t="s">
        <v>51</v>
      </c>
      <c r="B441" s="315"/>
      <c r="C441" s="74" t="s">
        <v>116</v>
      </c>
      <c r="D441" s="124" t="s">
        <v>414</v>
      </c>
      <c r="E441" s="124" t="s">
        <v>336</v>
      </c>
      <c r="F441" s="134"/>
      <c r="G441" s="180">
        <f>SUM(G442:G444)</f>
        <v>38122.3</v>
      </c>
      <c r="H441" s="14">
        <f>SUM(H442+H443)</f>
        <v>0</v>
      </c>
      <c r="I441" s="14" t="e">
        <f t="shared" si="6"/>
        <v>#DIV/0!</v>
      </c>
      <c r="J441"/>
    </row>
    <row r="442" spans="1:10" ht="28.5">
      <c r="A442" s="332" t="s">
        <v>444</v>
      </c>
      <c r="B442" s="312"/>
      <c r="C442" s="74" t="s">
        <v>116</v>
      </c>
      <c r="D442" s="124" t="s">
        <v>414</v>
      </c>
      <c r="E442" s="124" t="s">
        <v>336</v>
      </c>
      <c r="F442" s="133" t="s">
        <v>445</v>
      </c>
      <c r="G442" s="180">
        <v>33066.9</v>
      </c>
      <c r="H442" s="14"/>
      <c r="I442" s="14" t="e">
        <f t="shared" si="6"/>
        <v>#DIV/0!</v>
      </c>
      <c r="J442">
        <f>SUM('ведомствен.2015'!G798)</f>
        <v>33066.9</v>
      </c>
    </row>
    <row r="443" spans="1:10" ht="28.5">
      <c r="A443" s="187" t="s">
        <v>697</v>
      </c>
      <c r="B443" s="312"/>
      <c r="C443" s="74" t="s">
        <v>116</v>
      </c>
      <c r="D443" s="124" t="s">
        <v>414</v>
      </c>
      <c r="E443" s="124" t="s">
        <v>336</v>
      </c>
      <c r="F443" s="133" t="s">
        <v>112</v>
      </c>
      <c r="G443" s="181">
        <v>4522.8</v>
      </c>
      <c r="H443" s="14">
        <f>SUM(H444)</f>
        <v>0</v>
      </c>
      <c r="I443" s="14" t="e">
        <f t="shared" si="6"/>
        <v>#DIV/0!</v>
      </c>
      <c r="J443">
        <f>SUM('ведомствен.2015'!G799)</f>
        <v>4522.8</v>
      </c>
    </row>
    <row r="444" spans="1:10" ht="15">
      <c r="A444" s="332" t="s">
        <v>450</v>
      </c>
      <c r="B444" s="312"/>
      <c r="C444" s="74" t="s">
        <v>116</v>
      </c>
      <c r="D444" s="124" t="s">
        <v>414</v>
      </c>
      <c r="E444" s="124" t="s">
        <v>336</v>
      </c>
      <c r="F444" s="134" t="s">
        <v>160</v>
      </c>
      <c r="G444" s="180">
        <v>532.6</v>
      </c>
      <c r="H444" s="14"/>
      <c r="I444" s="14" t="e">
        <f t="shared" si="6"/>
        <v>#DIV/0!</v>
      </c>
      <c r="J444">
        <f>SUM('ведомствен.2015'!G800)</f>
        <v>532.6</v>
      </c>
    </row>
    <row r="445" spans="1:10" ht="42.75">
      <c r="A445" s="149" t="s">
        <v>690</v>
      </c>
      <c r="B445" s="403"/>
      <c r="C445" s="196" t="s">
        <v>116</v>
      </c>
      <c r="D445" s="192" t="s">
        <v>414</v>
      </c>
      <c r="E445" s="192" t="s">
        <v>691</v>
      </c>
      <c r="F445" s="243"/>
      <c r="G445" s="161">
        <f>SUM(G446)</f>
        <v>57</v>
      </c>
      <c r="H445" s="14">
        <f>SUM(H446)</f>
        <v>7333.8</v>
      </c>
      <c r="I445" s="14" t="e">
        <f t="shared" si="6"/>
        <v>#DIV/0!</v>
      </c>
      <c r="J445"/>
    </row>
    <row r="446" spans="1:10" ht="28.5">
      <c r="A446" s="187" t="s">
        <v>697</v>
      </c>
      <c r="B446" s="403"/>
      <c r="C446" s="196" t="s">
        <v>116</v>
      </c>
      <c r="D446" s="192" t="s">
        <v>414</v>
      </c>
      <c r="E446" s="192" t="s">
        <v>691</v>
      </c>
      <c r="F446" s="243" t="s">
        <v>112</v>
      </c>
      <c r="G446" s="161">
        <v>57</v>
      </c>
      <c r="H446" s="14">
        <f>SUM(H448:H452)</f>
        <v>7333.8</v>
      </c>
      <c r="I446" s="14" t="e">
        <f t="shared" si="6"/>
        <v>#DIV/0!</v>
      </c>
      <c r="J446">
        <f>SUM('ведомствен.2015'!G802)</f>
        <v>57</v>
      </c>
    </row>
    <row r="447" spans="1:10" ht="28.5" hidden="1">
      <c r="A447" s="337" t="s">
        <v>337</v>
      </c>
      <c r="B447" s="320"/>
      <c r="C447" s="74" t="s">
        <v>116</v>
      </c>
      <c r="D447" s="124" t="s">
        <v>414</v>
      </c>
      <c r="E447" s="124" t="s">
        <v>338</v>
      </c>
      <c r="F447" s="135"/>
      <c r="G447" s="180">
        <f>SUM(G450+G448)</f>
        <v>0</v>
      </c>
      <c r="H447" s="14"/>
      <c r="I447" s="14"/>
      <c r="J447"/>
    </row>
    <row r="448" spans="1:10" ht="15" hidden="1">
      <c r="A448" s="337" t="s">
        <v>220</v>
      </c>
      <c r="B448" s="320"/>
      <c r="C448" s="74" t="s">
        <v>116</v>
      </c>
      <c r="D448" s="124" t="s">
        <v>414</v>
      </c>
      <c r="E448" s="124" t="s">
        <v>338</v>
      </c>
      <c r="F448" s="135" t="s">
        <v>221</v>
      </c>
      <c r="G448" s="180"/>
      <c r="H448" s="14"/>
      <c r="I448" s="14" t="e">
        <f aca="true" t="shared" si="8" ref="I448:I456">SUM(H448/G454*100)</f>
        <v>#DIV/0!</v>
      </c>
      <c r="J448"/>
    </row>
    <row r="449" spans="1:10" ht="42.75" hidden="1">
      <c r="A449" s="337" t="s">
        <v>339</v>
      </c>
      <c r="B449" s="320"/>
      <c r="C449" s="74" t="s">
        <v>116</v>
      </c>
      <c r="D449" s="124" t="s">
        <v>414</v>
      </c>
      <c r="E449" s="124" t="s">
        <v>340</v>
      </c>
      <c r="F449" s="135"/>
      <c r="G449" s="180">
        <f>SUM(G450)</f>
        <v>0</v>
      </c>
      <c r="H449" s="14">
        <f>SUM(H453+H458)+H450</f>
        <v>4633.8</v>
      </c>
      <c r="I449" s="14">
        <f t="shared" si="8"/>
        <v>44.80997969248622</v>
      </c>
      <c r="J449"/>
    </row>
    <row r="450" spans="1:10" ht="15" hidden="1">
      <c r="A450" s="337" t="s">
        <v>220</v>
      </c>
      <c r="B450" s="320"/>
      <c r="C450" s="74" t="s">
        <v>116</v>
      </c>
      <c r="D450" s="124" t="s">
        <v>414</v>
      </c>
      <c r="E450" s="124" t="s">
        <v>340</v>
      </c>
      <c r="F450" s="135" t="s">
        <v>221</v>
      </c>
      <c r="G450" s="180"/>
      <c r="H450" s="14">
        <f>SUM(H451)</f>
        <v>900</v>
      </c>
      <c r="I450" s="14" t="e">
        <f t="shared" si="8"/>
        <v>#DIV/0!</v>
      </c>
      <c r="J450"/>
    </row>
    <row r="451" spans="1:10" ht="15" hidden="1">
      <c r="A451" s="337" t="s">
        <v>120</v>
      </c>
      <c r="B451" s="315"/>
      <c r="C451" s="74" t="s">
        <v>116</v>
      </c>
      <c r="D451" s="124" t="s">
        <v>414</v>
      </c>
      <c r="E451" s="124" t="s">
        <v>121</v>
      </c>
      <c r="F451" s="134"/>
      <c r="G451" s="180">
        <f>SUM(G452)</f>
        <v>0</v>
      </c>
      <c r="H451" s="14">
        <f>SUM(H452)</f>
        <v>900</v>
      </c>
      <c r="I451" s="14" t="e">
        <f t="shared" si="8"/>
        <v>#DIV/0!</v>
      </c>
      <c r="J451"/>
    </row>
    <row r="452" spans="1:10" ht="42.75" hidden="1">
      <c r="A452" s="332" t="s">
        <v>185</v>
      </c>
      <c r="B452" s="315"/>
      <c r="C452" s="74" t="s">
        <v>116</v>
      </c>
      <c r="D452" s="124" t="s">
        <v>414</v>
      </c>
      <c r="E452" s="124" t="s">
        <v>270</v>
      </c>
      <c r="F452" s="134"/>
      <c r="G452" s="180">
        <f>SUM(G453:G454)</f>
        <v>0</v>
      </c>
      <c r="H452" s="14">
        <v>900</v>
      </c>
      <c r="I452" s="14" t="e">
        <f t="shared" si="8"/>
        <v>#DIV/0!</v>
      </c>
      <c r="J452"/>
    </row>
    <row r="453" spans="1:10" ht="15" hidden="1">
      <c r="A453" s="337" t="s">
        <v>52</v>
      </c>
      <c r="B453" s="315"/>
      <c r="C453" s="74" t="s">
        <v>116</v>
      </c>
      <c r="D453" s="124" t="s">
        <v>414</v>
      </c>
      <c r="E453" s="124" t="s">
        <v>270</v>
      </c>
      <c r="F453" s="134" t="s">
        <v>221</v>
      </c>
      <c r="G453" s="180"/>
      <c r="H453" s="14">
        <f>SUM(H454)</f>
        <v>3733.8</v>
      </c>
      <c r="I453" s="14">
        <f t="shared" si="8"/>
        <v>51.40143171806167</v>
      </c>
      <c r="J453"/>
    </row>
    <row r="454" spans="1:10" ht="15" hidden="1">
      <c r="A454" s="337" t="s">
        <v>134</v>
      </c>
      <c r="B454" s="315"/>
      <c r="C454" s="74" t="s">
        <v>116</v>
      </c>
      <c r="D454" s="124" t="s">
        <v>414</v>
      </c>
      <c r="E454" s="124" t="s">
        <v>270</v>
      </c>
      <c r="F454" s="134" t="s">
        <v>78</v>
      </c>
      <c r="G454" s="180"/>
      <c r="H454" s="14">
        <f>SUM(H455)</f>
        <v>3733.8</v>
      </c>
      <c r="I454" s="14">
        <f t="shared" si="8"/>
        <v>51.40143171806167</v>
      </c>
      <c r="J454"/>
    </row>
    <row r="455" spans="1:9" ht="15">
      <c r="A455" s="333" t="s">
        <v>211</v>
      </c>
      <c r="B455" s="315"/>
      <c r="C455" s="74" t="s">
        <v>116</v>
      </c>
      <c r="D455" s="124" t="s">
        <v>114</v>
      </c>
      <c r="E455" s="124"/>
      <c r="F455" s="134"/>
      <c r="G455" s="180">
        <f>SUM(G459+G464+G457)</f>
        <v>10341</v>
      </c>
      <c r="H455" s="14">
        <v>3733.8</v>
      </c>
      <c r="I455" s="14">
        <f t="shared" si="8"/>
        <v>58.913187541418154</v>
      </c>
    </row>
    <row r="456" spans="1:10" ht="15" hidden="1">
      <c r="A456" s="332" t="s">
        <v>363</v>
      </c>
      <c r="B456" s="315"/>
      <c r="C456" s="74" t="s">
        <v>116</v>
      </c>
      <c r="D456" s="124" t="s">
        <v>114</v>
      </c>
      <c r="E456" s="124" t="s">
        <v>365</v>
      </c>
      <c r="F456" s="134"/>
      <c r="G456" s="180">
        <f>SUM(G457)</f>
        <v>0</v>
      </c>
      <c r="H456" s="14">
        <f>SUM(H457)</f>
        <v>0</v>
      </c>
      <c r="I456" s="14">
        <f t="shared" si="8"/>
        <v>0</v>
      </c>
      <c r="J456"/>
    </row>
    <row r="457" spans="1:10" ht="15" hidden="1">
      <c r="A457" s="332" t="s">
        <v>345</v>
      </c>
      <c r="B457" s="315"/>
      <c r="C457" s="74" t="s">
        <v>116</v>
      </c>
      <c r="D457" s="124" t="s">
        <v>114</v>
      </c>
      <c r="E457" s="124" t="s">
        <v>346</v>
      </c>
      <c r="F457" s="134"/>
      <c r="G457" s="180">
        <f>SUM(G458)</f>
        <v>0</v>
      </c>
      <c r="H457" s="14"/>
      <c r="I457" s="14"/>
      <c r="J457"/>
    </row>
    <row r="458" spans="1:10" ht="28.5" hidden="1">
      <c r="A458" s="332" t="s">
        <v>277</v>
      </c>
      <c r="B458" s="315"/>
      <c r="C458" s="74" t="s">
        <v>116</v>
      </c>
      <c r="D458" s="124" t="s">
        <v>114</v>
      </c>
      <c r="E458" s="124" t="s">
        <v>346</v>
      </c>
      <c r="F458" s="134" t="s">
        <v>278</v>
      </c>
      <c r="G458" s="180"/>
      <c r="H458" s="14">
        <f>SUM(H461)</f>
        <v>0</v>
      </c>
      <c r="I458" s="14">
        <f>SUM(H458/G464*100)</f>
        <v>0</v>
      </c>
      <c r="J458"/>
    </row>
    <row r="459" spans="1:10" ht="57">
      <c r="A459" s="333" t="s">
        <v>263</v>
      </c>
      <c r="B459" s="315"/>
      <c r="C459" s="74" t="s">
        <v>116</v>
      </c>
      <c r="D459" s="124" t="s">
        <v>114</v>
      </c>
      <c r="E459" s="124" t="s">
        <v>264</v>
      </c>
      <c r="F459" s="134"/>
      <c r="G459" s="180">
        <f>SUM(G460)</f>
        <v>7264</v>
      </c>
      <c r="H459" s="14"/>
      <c r="I459" s="14"/>
      <c r="J459"/>
    </row>
    <row r="460" spans="1:10" ht="28.5">
      <c r="A460" s="332" t="s">
        <v>51</v>
      </c>
      <c r="B460" s="315"/>
      <c r="C460" s="74" t="s">
        <v>116</v>
      </c>
      <c r="D460" s="124" t="s">
        <v>114</v>
      </c>
      <c r="E460" s="124" t="s">
        <v>265</v>
      </c>
      <c r="F460" s="134"/>
      <c r="G460" s="180">
        <f>SUM(G461:G463)</f>
        <v>7264</v>
      </c>
      <c r="H460" s="14"/>
      <c r="I460" s="14"/>
      <c r="J460"/>
    </row>
    <row r="461" spans="1:10" ht="28.5">
      <c r="A461" s="332" t="s">
        <v>444</v>
      </c>
      <c r="B461" s="320"/>
      <c r="C461" s="74" t="s">
        <v>116</v>
      </c>
      <c r="D461" s="124" t="s">
        <v>114</v>
      </c>
      <c r="E461" s="124" t="s">
        <v>265</v>
      </c>
      <c r="F461" s="135" t="s">
        <v>445</v>
      </c>
      <c r="G461" s="180">
        <v>6337.8</v>
      </c>
      <c r="H461" s="14">
        <f>SUM(H462:H466)</f>
        <v>0</v>
      </c>
      <c r="I461" s="14">
        <f>SUM(H461/G467*100)</f>
        <v>0</v>
      </c>
      <c r="J461">
        <f>SUM('ведомствен.2015'!G817)</f>
        <v>6337.8</v>
      </c>
    </row>
    <row r="462" spans="1:10" ht="28.5">
      <c r="A462" s="187" t="s">
        <v>697</v>
      </c>
      <c r="B462" s="320"/>
      <c r="C462" s="74" t="s">
        <v>116</v>
      </c>
      <c r="D462" s="124" t="s">
        <v>114</v>
      </c>
      <c r="E462" s="124" t="s">
        <v>265</v>
      </c>
      <c r="F462" s="135" t="s">
        <v>112</v>
      </c>
      <c r="G462" s="180">
        <v>917.3</v>
      </c>
      <c r="H462" s="14"/>
      <c r="I462" s="14">
        <f>SUM(H462/G468*100)</f>
        <v>0</v>
      </c>
      <c r="J462">
        <f>SUM('ведомствен.2015'!G818)</f>
        <v>917.3</v>
      </c>
    </row>
    <row r="463" spans="1:10" ht="15">
      <c r="A463" s="332" t="s">
        <v>450</v>
      </c>
      <c r="B463" s="320"/>
      <c r="C463" s="74" t="s">
        <v>116</v>
      </c>
      <c r="D463" s="124" t="s">
        <v>114</v>
      </c>
      <c r="E463" s="124" t="s">
        <v>265</v>
      </c>
      <c r="F463" s="135" t="s">
        <v>160</v>
      </c>
      <c r="G463" s="180">
        <v>8.9</v>
      </c>
      <c r="H463" s="18"/>
      <c r="I463" s="14" t="e">
        <f>SUM(H463/G469*100)</f>
        <v>#DIV/0!</v>
      </c>
      <c r="J463">
        <f>SUM('ведомствен.2015'!G819)</f>
        <v>8.9</v>
      </c>
    </row>
    <row r="464" spans="1:10" ht="15">
      <c r="A464" s="337" t="s">
        <v>120</v>
      </c>
      <c r="B464" s="315"/>
      <c r="C464" s="74" t="s">
        <v>116</v>
      </c>
      <c r="D464" s="124" t="s">
        <v>114</v>
      </c>
      <c r="E464" s="124" t="s">
        <v>121</v>
      </c>
      <c r="F464" s="134"/>
      <c r="G464" s="180">
        <f>SUM(G465+G468+G472)</f>
        <v>3077</v>
      </c>
      <c r="H464" s="18"/>
      <c r="I464" s="14"/>
      <c r="J464"/>
    </row>
    <row r="465" spans="1:9" ht="28.5">
      <c r="A465" s="332" t="s">
        <v>589</v>
      </c>
      <c r="B465" s="315"/>
      <c r="C465" s="74" t="s">
        <v>116</v>
      </c>
      <c r="D465" s="124" t="s">
        <v>114</v>
      </c>
      <c r="E465" s="124" t="s">
        <v>279</v>
      </c>
      <c r="F465" s="134"/>
      <c r="G465" s="180">
        <f>SUM(G466:G467)</f>
        <v>1060</v>
      </c>
      <c r="H465" s="14"/>
      <c r="I465" s="14" t="e">
        <f aca="true" t="shared" si="9" ref="I465:I478">SUM(H465/G471*100)</f>
        <v>#DIV/0!</v>
      </c>
    </row>
    <row r="466" spans="1:10" ht="28.5">
      <c r="A466" s="187" t="s">
        <v>697</v>
      </c>
      <c r="B466" s="315"/>
      <c r="C466" s="74" t="s">
        <v>116</v>
      </c>
      <c r="D466" s="124" t="s">
        <v>114</v>
      </c>
      <c r="E466" s="124" t="s">
        <v>279</v>
      </c>
      <c r="F466" s="134" t="s">
        <v>112</v>
      </c>
      <c r="G466" s="180">
        <v>230</v>
      </c>
      <c r="H466" s="18"/>
      <c r="I466" s="14">
        <f t="shared" si="9"/>
        <v>0</v>
      </c>
      <c r="J466" s="36">
        <f>SUM('ведомствен.2015'!G824)</f>
        <v>230</v>
      </c>
    </row>
    <row r="467" spans="1:10" s="26" customFormat="1" ht="28.5">
      <c r="A467" s="337" t="s">
        <v>463</v>
      </c>
      <c r="B467" s="315"/>
      <c r="C467" s="74" t="s">
        <v>116</v>
      </c>
      <c r="D467" s="124" t="s">
        <v>114</v>
      </c>
      <c r="E467" s="124" t="s">
        <v>279</v>
      </c>
      <c r="F467" s="134" t="s">
        <v>461</v>
      </c>
      <c r="G467" s="180">
        <v>830</v>
      </c>
      <c r="H467" s="18">
        <v>2421.6</v>
      </c>
      <c r="I467" s="14">
        <f t="shared" si="9"/>
        <v>4248.421052631578</v>
      </c>
      <c r="J467" s="36">
        <f>SUM('ведомствен.2015'!G825)</f>
        <v>830</v>
      </c>
    </row>
    <row r="468" spans="1:10" ht="15">
      <c r="A468" s="332" t="s">
        <v>462</v>
      </c>
      <c r="B468" s="315"/>
      <c r="C468" s="74" t="s">
        <v>116</v>
      </c>
      <c r="D468" s="124" t="s">
        <v>114</v>
      </c>
      <c r="E468" s="124" t="s">
        <v>280</v>
      </c>
      <c r="F468" s="134"/>
      <c r="G468" s="180">
        <f>SUM(G469:G471)</f>
        <v>1900</v>
      </c>
      <c r="H468" s="14" t="e">
        <f>SUM(H469)+#REF!</f>
        <v>#REF!</v>
      </c>
      <c r="I468" s="14" t="e">
        <f t="shared" si="9"/>
        <v>#REF!</v>
      </c>
      <c r="J468"/>
    </row>
    <row r="469" spans="1:10" ht="28.5" hidden="1">
      <c r="A469" s="332" t="s">
        <v>444</v>
      </c>
      <c r="B469" s="315"/>
      <c r="C469" s="74" t="s">
        <v>116</v>
      </c>
      <c r="D469" s="124" t="s">
        <v>114</v>
      </c>
      <c r="E469" s="124" t="s">
        <v>280</v>
      </c>
      <c r="F469" s="134" t="s">
        <v>445</v>
      </c>
      <c r="G469" s="180"/>
      <c r="H469" s="14" t="e">
        <f>SUM(H470)</f>
        <v>#REF!</v>
      </c>
      <c r="I469" s="14" t="e">
        <f>SUM(H469/#REF!*100)</f>
        <v>#REF!</v>
      </c>
      <c r="J469"/>
    </row>
    <row r="470" spans="1:10" ht="28.5">
      <c r="A470" s="187" t="s">
        <v>697</v>
      </c>
      <c r="B470" s="315"/>
      <c r="C470" s="74" t="s">
        <v>116</v>
      </c>
      <c r="D470" s="124" t="s">
        <v>114</v>
      </c>
      <c r="E470" s="124" t="s">
        <v>280</v>
      </c>
      <c r="F470" s="134" t="s">
        <v>112</v>
      </c>
      <c r="G470" s="180">
        <v>1900</v>
      </c>
      <c r="H470" s="14" t="e">
        <f>SUM(#REF!)</f>
        <v>#REF!</v>
      </c>
      <c r="I470" s="14" t="e">
        <f>SUM(H470/#REF!*100)</f>
        <v>#REF!</v>
      </c>
      <c r="J470" s="36">
        <f>SUM('ведомствен.2015'!G828)</f>
        <v>1900</v>
      </c>
    </row>
    <row r="471" spans="1:10" s="13" customFormat="1" ht="15.75" hidden="1">
      <c r="A471" s="332" t="s">
        <v>450</v>
      </c>
      <c r="B471" s="315"/>
      <c r="C471" s="74" t="s">
        <v>116</v>
      </c>
      <c r="D471" s="124" t="s">
        <v>114</v>
      </c>
      <c r="E471" s="124" t="s">
        <v>280</v>
      </c>
      <c r="F471" s="134" t="s">
        <v>160</v>
      </c>
      <c r="G471" s="180"/>
      <c r="H471" s="17" t="e">
        <f>SUM(H472+#REF!+H516+H521+#REF!+#REF!)</f>
        <v>#REF!</v>
      </c>
      <c r="I471" s="17" t="e">
        <f>SUM(H471/G475*100)</f>
        <v>#REF!</v>
      </c>
      <c r="J471"/>
    </row>
    <row r="472" spans="1:10" ht="42.75">
      <c r="A472" s="332" t="s">
        <v>590</v>
      </c>
      <c r="B472" s="315"/>
      <c r="C472" s="74"/>
      <c r="D472" s="124"/>
      <c r="E472" s="124" t="s">
        <v>591</v>
      </c>
      <c r="F472" s="134"/>
      <c r="G472" s="180">
        <f>SUM(G473:G474)</f>
        <v>117</v>
      </c>
      <c r="H472" s="14">
        <f>SUM(H475+H477)</f>
        <v>49456.8</v>
      </c>
      <c r="I472" s="14">
        <f>SUM(H472/G476*100)</f>
        <v>543.2664001054528</v>
      </c>
      <c r="J472"/>
    </row>
    <row r="473" spans="1:10" ht="28.5">
      <c r="A473" s="187" t="s">
        <v>697</v>
      </c>
      <c r="B473" s="315"/>
      <c r="C473" s="74" t="s">
        <v>116</v>
      </c>
      <c r="D473" s="124" t="s">
        <v>114</v>
      </c>
      <c r="E473" s="124" t="s">
        <v>591</v>
      </c>
      <c r="F473" s="134" t="s">
        <v>112</v>
      </c>
      <c r="G473" s="180">
        <v>57</v>
      </c>
      <c r="H473" s="14" t="e">
        <f>SUM(H474)</f>
        <v>#REF!</v>
      </c>
      <c r="I473" s="14" t="e">
        <f>SUM(H473/G477*100)</f>
        <v>#REF!</v>
      </c>
      <c r="J473" s="36">
        <f>SUM('ведомствен.2015'!G831)</f>
        <v>57</v>
      </c>
    </row>
    <row r="474" spans="1:10" ht="28.5">
      <c r="A474" s="337" t="s">
        <v>463</v>
      </c>
      <c r="B474" s="315"/>
      <c r="C474" s="74" t="s">
        <v>116</v>
      </c>
      <c r="D474" s="124" t="s">
        <v>114</v>
      </c>
      <c r="E474" s="124" t="s">
        <v>591</v>
      </c>
      <c r="F474" s="134" t="s">
        <v>461</v>
      </c>
      <c r="G474" s="180">
        <v>60</v>
      </c>
      <c r="H474" s="14" t="e">
        <f>SUM(#REF!)</f>
        <v>#REF!</v>
      </c>
      <c r="I474" s="14" t="e">
        <f>SUM(H474/G478*100)</f>
        <v>#REF!</v>
      </c>
      <c r="J474" s="36">
        <f>SUM('ведомствен.2015'!G832)</f>
        <v>60</v>
      </c>
    </row>
    <row r="475" spans="1:12" ht="15">
      <c r="A475" s="335" t="s">
        <v>293</v>
      </c>
      <c r="B475" s="315"/>
      <c r="C475" s="139" t="s">
        <v>272</v>
      </c>
      <c r="D475" s="126"/>
      <c r="E475" s="126"/>
      <c r="F475" s="137"/>
      <c r="G475" s="305">
        <f>SUM(G476+G487+G505+G514)</f>
        <v>47219</v>
      </c>
      <c r="H475" s="14">
        <f>SUM(H476)</f>
        <v>146.8</v>
      </c>
      <c r="I475" s="14" t="e">
        <f t="shared" si="9"/>
        <v>#DIV/0!</v>
      </c>
      <c r="J475"/>
      <c r="K475" s="36">
        <f>SUM(J480:J524)</f>
        <v>47218.99999999999</v>
      </c>
      <c r="L475">
        <f>SUM('ведомствен.2015'!G834)</f>
        <v>47219</v>
      </c>
    </row>
    <row r="476" spans="1:10" ht="15">
      <c r="A476" s="332" t="s">
        <v>162</v>
      </c>
      <c r="B476" s="312"/>
      <c r="C476" s="74" t="s">
        <v>272</v>
      </c>
      <c r="D476" s="124" t="s">
        <v>414</v>
      </c>
      <c r="E476" s="124"/>
      <c r="F476" s="134"/>
      <c r="G476" s="180">
        <f>SUM(G477)</f>
        <v>9103.6</v>
      </c>
      <c r="H476" s="14">
        <v>146.8</v>
      </c>
      <c r="I476" s="14" t="e">
        <f t="shared" si="9"/>
        <v>#DIV/0!</v>
      </c>
      <c r="J476"/>
    </row>
    <row r="477" spans="1:10" ht="28.5">
      <c r="A477" s="332" t="s">
        <v>583</v>
      </c>
      <c r="B477" s="312"/>
      <c r="C477" s="74" t="s">
        <v>272</v>
      </c>
      <c r="D477" s="124" t="s">
        <v>414</v>
      </c>
      <c r="E477" s="124" t="s">
        <v>584</v>
      </c>
      <c r="F477" s="134"/>
      <c r="G477" s="181">
        <f>SUM(G478)</f>
        <v>9103.6</v>
      </c>
      <c r="H477" s="14">
        <f>SUM(H478)</f>
        <v>49310</v>
      </c>
      <c r="I477" s="14" t="e">
        <f t="shared" si="9"/>
        <v>#DIV/0!</v>
      </c>
      <c r="J477"/>
    </row>
    <row r="478" spans="1:10" ht="28.5">
      <c r="A478" s="332" t="s">
        <v>88</v>
      </c>
      <c r="B478" s="315"/>
      <c r="C478" s="74" t="s">
        <v>272</v>
      </c>
      <c r="D478" s="124" t="s">
        <v>414</v>
      </c>
      <c r="E478" s="124" t="s">
        <v>585</v>
      </c>
      <c r="F478" s="134"/>
      <c r="G478" s="180">
        <f>SUM(G486)+G479</f>
        <v>9103.6</v>
      </c>
      <c r="H478" s="14">
        <f>SUM(H485:H487)</f>
        <v>49310</v>
      </c>
      <c r="I478" s="14" t="e">
        <f t="shared" si="9"/>
        <v>#DIV/0!</v>
      </c>
      <c r="J478"/>
    </row>
    <row r="479" spans="1:9" ht="15" hidden="1">
      <c r="A479" s="337" t="s">
        <v>148</v>
      </c>
      <c r="B479" s="315"/>
      <c r="C479" s="74" t="s">
        <v>272</v>
      </c>
      <c r="D479" s="124" t="s">
        <v>414</v>
      </c>
      <c r="E479" s="124" t="s">
        <v>132</v>
      </c>
      <c r="F479" s="134"/>
      <c r="G479" s="180">
        <f>SUM(G481+G483)</f>
        <v>0</v>
      </c>
      <c r="H479" s="14"/>
      <c r="I479" s="14"/>
    </row>
    <row r="480" spans="1:9" ht="15" hidden="1">
      <c r="A480" s="337" t="s">
        <v>134</v>
      </c>
      <c r="B480" s="315"/>
      <c r="C480" s="74" t="s">
        <v>272</v>
      </c>
      <c r="D480" s="124" t="s">
        <v>414</v>
      </c>
      <c r="E480" s="124" t="s">
        <v>132</v>
      </c>
      <c r="F480" s="134" t="s">
        <v>78</v>
      </c>
      <c r="G480" s="180"/>
      <c r="H480" s="14"/>
      <c r="I480" s="14"/>
    </row>
    <row r="481" spans="1:9" ht="28.5" hidden="1">
      <c r="A481" s="337" t="s">
        <v>370</v>
      </c>
      <c r="B481" s="315"/>
      <c r="C481" s="74" t="s">
        <v>272</v>
      </c>
      <c r="D481" s="124" t="s">
        <v>414</v>
      </c>
      <c r="E481" s="124" t="s">
        <v>133</v>
      </c>
      <c r="F481" s="134"/>
      <c r="G481" s="180">
        <f>SUM(G482)</f>
        <v>0</v>
      </c>
      <c r="H481" s="14"/>
      <c r="I481" s="14"/>
    </row>
    <row r="482" spans="1:9" ht="15" hidden="1">
      <c r="A482" s="337" t="s">
        <v>134</v>
      </c>
      <c r="B482" s="315"/>
      <c r="C482" s="74" t="s">
        <v>272</v>
      </c>
      <c r="D482" s="124" t="s">
        <v>414</v>
      </c>
      <c r="E482" s="124" t="s">
        <v>133</v>
      </c>
      <c r="F482" s="134" t="s">
        <v>78</v>
      </c>
      <c r="G482" s="180"/>
      <c r="H482" s="14"/>
      <c r="I482" s="14"/>
    </row>
    <row r="483" spans="1:10" ht="28.5" hidden="1">
      <c r="A483" s="332" t="s">
        <v>191</v>
      </c>
      <c r="B483" s="315"/>
      <c r="C483" s="74" t="s">
        <v>272</v>
      </c>
      <c r="D483" s="124" t="s">
        <v>414</v>
      </c>
      <c r="E483" s="124" t="s">
        <v>194</v>
      </c>
      <c r="F483" s="134"/>
      <c r="G483" s="180">
        <f>SUM(G484)</f>
        <v>0</v>
      </c>
      <c r="H483" s="14"/>
      <c r="I483" s="14"/>
      <c r="J483"/>
    </row>
    <row r="484" spans="1:10" ht="15" hidden="1">
      <c r="A484" s="332" t="s">
        <v>148</v>
      </c>
      <c r="B484" s="315"/>
      <c r="C484" s="74" t="s">
        <v>272</v>
      </c>
      <c r="D484" s="124" t="s">
        <v>414</v>
      </c>
      <c r="E484" s="124" t="s">
        <v>194</v>
      </c>
      <c r="F484" s="134" t="s">
        <v>78</v>
      </c>
      <c r="G484" s="180"/>
      <c r="H484" s="14"/>
      <c r="I484" s="14"/>
      <c r="J484"/>
    </row>
    <row r="485" spans="1:9" ht="28.5">
      <c r="A485" s="332" t="s">
        <v>273</v>
      </c>
      <c r="B485" s="315"/>
      <c r="C485" s="74" t="s">
        <v>272</v>
      </c>
      <c r="D485" s="124" t="s">
        <v>414</v>
      </c>
      <c r="E485" s="124" t="s">
        <v>586</v>
      </c>
      <c r="F485" s="134"/>
      <c r="G485" s="180">
        <f>SUM(G486)</f>
        <v>9103.6</v>
      </c>
      <c r="H485" s="14">
        <v>49310</v>
      </c>
      <c r="I485" s="14" t="e">
        <f>SUM(H485/G491*100)</f>
        <v>#DIV/0!</v>
      </c>
    </row>
    <row r="486" spans="1:10" ht="28.5">
      <c r="A486" s="337" t="s">
        <v>463</v>
      </c>
      <c r="B486" s="320"/>
      <c r="C486" s="74" t="s">
        <v>272</v>
      </c>
      <c r="D486" s="124" t="s">
        <v>414</v>
      </c>
      <c r="E486" s="124" t="s">
        <v>586</v>
      </c>
      <c r="F486" s="135" t="s">
        <v>461</v>
      </c>
      <c r="G486" s="180">
        <v>9103.6</v>
      </c>
      <c r="H486" s="14"/>
      <c r="I486" s="14" t="e">
        <f>SUM(H486/G492*100)</f>
        <v>#DIV/0!</v>
      </c>
      <c r="J486" s="36">
        <f>SUM('ведомствен.2015'!G845)</f>
        <v>9103.6</v>
      </c>
    </row>
    <row r="487" spans="1:10" ht="15">
      <c r="A487" s="332" t="s">
        <v>217</v>
      </c>
      <c r="B487" s="312"/>
      <c r="C487" s="74" t="s">
        <v>272</v>
      </c>
      <c r="D487" s="124" t="s">
        <v>416</v>
      </c>
      <c r="E487" s="124"/>
      <c r="F487" s="134"/>
      <c r="G487" s="180">
        <f>SUM(G488)</f>
        <v>22863</v>
      </c>
      <c r="H487" s="14"/>
      <c r="I487" s="14" t="e">
        <f>SUM(H487/G493*100)</f>
        <v>#DIV/0!</v>
      </c>
      <c r="J487"/>
    </row>
    <row r="488" spans="1:10" ht="28.5">
      <c r="A488" s="332" t="s">
        <v>583</v>
      </c>
      <c r="B488" s="312"/>
      <c r="C488" s="74" t="s">
        <v>272</v>
      </c>
      <c r="D488" s="124" t="s">
        <v>416</v>
      </c>
      <c r="E488" s="124" t="s">
        <v>584</v>
      </c>
      <c r="F488" s="134"/>
      <c r="G488" s="180">
        <f>SUM(G489)+G497</f>
        <v>22863</v>
      </c>
      <c r="H488" s="14">
        <f>SUM(H489)</f>
        <v>21823.6</v>
      </c>
      <c r="I488" s="14" t="e">
        <f>SUM(H488/G494*100)</f>
        <v>#DIV/0!</v>
      </c>
      <c r="J488"/>
    </row>
    <row r="489" spans="1:10" ht="42.75">
      <c r="A489" s="332" t="s">
        <v>592</v>
      </c>
      <c r="B489" s="315"/>
      <c r="C489" s="74" t="s">
        <v>272</v>
      </c>
      <c r="D489" s="124" t="s">
        <v>416</v>
      </c>
      <c r="E489" s="192" t="s">
        <v>671</v>
      </c>
      <c r="F489" s="134"/>
      <c r="G489" s="180">
        <f>SUM(G490+G495)</f>
        <v>10962.5</v>
      </c>
      <c r="H489" s="14">
        <f>SUM(H495:H496)</f>
        <v>21823.6</v>
      </c>
      <c r="I489" s="14">
        <f>SUM(H489/G495*100)</f>
        <v>199.07502850627137</v>
      </c>
      <c r="J489"/>
    </row>
    <row r="490" spans="1:10" ht="15" hidden="1">
      <c r="A490" s="337" t="s">
        <v>148</v>
      </c>
      <c r="B490" s="315"/>
      <c r="C490" s="74" t="s">
        <v>272</v>
      </c>
      <c r="D490" s="124" t="s">
        <v>416</v>
      </c>
      <c r="E490" s="124" t="s">
        <v>132</v>
      </c>
      <c r="F490" s="134"/>
      <c r="G490" s="180">
        <f>SUM(G493)+G491</f>
        <v>0</v>
      </c>
      <c r="H490" s="14"/>
      <c r="I490" s="14"/>
      <c r="J490"/>
    </row>
    <row r="491" spans="1:9" ht="28.5" hidden="1">
      <c r="A491" s="337" t="s">
        <v>370</v>
      </c>
      <c r="B491" s="315"/>
      <c r="C491" s="74" t="s">
        <v>272</v>
      </c>
      <c r="D491" s="124" t="s">
        <v>416</v>
      </c>
      <c r="E491" s="124" t="s">
        <v>133</v>
      </c>
      <c r="F491" s="134"/>
      <c r="G491" s="180">
        <f>SUM(G492)</f>
        <v>0</v>
      </c>
      <c r="H491" s="14"/>
      <c r="I491" s="14"/>
    </row>
    <row r="492" spans="1:9" ht="15" hidden="1">
      <c r="A492" s="337" t="s">
        <v>134</v>
      </c>
      <c r="B492" s="315"/>
      <c r="C492" s="74" t="s">
        <v>272</v>
      </c>
      <c r="D492" s="124" t="s">
        <v>416</v>
      </c>
      <c r="E492" s="124" t="s">
        <v>133</v>
      </c>
      <c r="F492" s="134" t="s">
        <v>78</v>
      </c>
      <c r="G492" s="180"/>
      <c r="H492" s="14"/>
      <c r="I492" s="14"/>
    </row>
    <row r="493" spans="1:9" ht="28.5" hidden="1">
      <c r="A493" s="332" t="s">
        <v>191</v>
      </c>
      <c r="B493" s="315"/>
      <c r="C493" s="74" t="s">
        <v>272</v>
      </c>
      <c r="D493" s="124" t="s">
        <v>416</v>
      </c>
      <c r="E493" s="124" t="s">
        <v>194</v>
      </c>
      <c r="F493" s="134"/>
      <c r="G493" s="180">
        <f>SUM(G494)</f>
        <v>0</v>
      </c>
      <c r="H493" s="14"/>
      <c r="I493" s="14"/>
    </row>
    <row r="494" spans="1:9" ht="15" hidden="1">
      <c r="A494" s="337" t="s">
        <v>134</v>
      </c>
      <c r="B494" s="315"/>
      <c r="C494" s="74" t="s">
        <v>272</v>
      </c>
      <c r="D494" s="124" t="s">
        <v>416</v>
      </c>
      <c r="E494" s="124" t="s">
        <v>194</v>
      </c>
      <c r="F494" s="134" t="s">
        <v>78</v>
      </c>
      <c r="G494" s="180"/>
      <c r="H494" s="14"/>
      <c r="I494" s="14"/>
    </row>
    <row r="495" spans="1:9" ht="28.5">
      <c r="A495" s="332" t="s">
        <v>273</v>
      </c>
      <c r="B495" s="315"/>
      <c r="C495" s="74" t="s">
        <v>272</v>
      </c>
      <c r="D495" s="124" t="s">
        <v>416</v>
      </c>
      <c r="E495" s="192" t="s">
        <v>672</v>
      </c>
      <c r="F495" s="134"/>
      <c r="G495" s="180">
        <f>SUM(G496)</f>
        <v>10962.5</v>
      </c>
      <c r="H495" s="14">
        <v>21823.6</v>
      </c>
      <c r="I495" s="14" t="e">
        <f>SUM(H495/G500*100)</f>
        <v>#DIV/0!</v>
      </c>
    </row>
    <row r="496" spans="1:10" ht="28.5">
      <c r="A496" s="337" t="s">
        <v>463</v>
      </c>
      <c r="B496" s="320"/>
      <c r="C496" s="74" t="s">
        <v>272</v>
      </c>
      <c r="D496" s="124" t="s">
        <v>416</v>
      </c>
      <c r="E496" s="192" t="s">
        <v>672</v>
      </c>
      <c r="F496" s="135" t="s">
        <v>461</v>
      </c>
      <c r="G496" s="180">
        <v>10962.5</v>
      </c>
      <c r="H496" s="14"/>
      <c r="I496" s="14" t="e">
        <f>SUM(H496/G501*100)</f>
        <v>#DIV/0!</v>
      </c>
      <c r="J496" s="36">
        <f>SUM('ведомствен.2015'!G855)</f>
        <v>10962.5</v>
      </c>
    </row>
    <row r="497" spans="1:10" ht="45.75" customHeight="1">
      <c r="A497" s="332" t="s">
        <v>593</v>
      </c>
      <c r="B497" s="312"/>
      <c r="C497" s="74" t="s">
        <v>272</v>
      </c>
      <c r="D497" s="124" t="s">
        <v>416</v>
      </c>
      <c r="E497" s="192" t="s">
        <v>673</v>
      </c>
      <c r="F497" s="134"/>
      <c r="G497" s="180">
        <f>SUM(G503:G503)+G498</f>
        <v>11900.5</v>
      </c>
      <c r="H497" s="14"/>
      <c r="I497" s="14"/>
      <c r="J497"/>
    </row>
    <row r="498" spans="1:10" ht="15" hidden="1">
      <c r="A498" s="337" t="s">
        <v>148</v>
      </c>
      <c r="B498" s="312"/>
      <c r="C498" s="74" t="s">
        <v>272</v>
      </c>
      <c r="D498" s="124" t="s">
        <v>416</v>
      </c>
      <c r="E498" s="192" t="s">
        <v>195</v>
      </c>
      <c r="F498" s="134"/>
      <c r="G498" s="180">
        <f>SUM(G499)+G501</f>
        <v>0</v>
      </c>
      <c r="H498" s="14"/>
      <c r="I498" s="14"/>
      <c r="J498"/>
    </row>
    <row r="499" spans="1:10" ht="28.5" hidden="1">
      <c r="A499" s="337" t="s">
        <v>135</v>
      </c>
      <c r="B499" s="315"/>
      <c r="C499" s="74" t="s">
        <v>272</v>
      </c>
      <c r="D499" s="124" t="s">
        <v>416</v>
      </c>
      <c r="E499" s="192" t="s">
        <v>136</v>
      </c>
      <c r="F499" s="134"/>
      <c r="G499" s="180">
        <f>SUM(G500)</f>
        <v>0</v>
      </c>
      <c r="H499" s="14"/>
      <c r="I499" s="14"/>
      <c r="J499"/>
    </row>
    <row r="500" spans="1:10" ht="28.5" hidden="1">
      <c r="A500" s="337" t="s">
        <v>463</v>
      </c>
      <c r="B500" s="320"/>
      <c r="C500" s="74" t="s">
        <v>272</v>
      </c>
      <c r="D500" s="124" t="s">
        <v>416</v>
      </c>
      <c r="E500" s="192" t="s">
        <v>136</v>
      </c>
      <c r="F500" s="135" t="s">
        <v>461</v>
      </c>
      <c r="G500" s="180"/>
      <c r="H500" s="14"/>
      <c r="I500" s="14"/>
      <c r="J500" s="36">
        <f>SUM('ведомствен.2015'!G859)</f>
        <v>0</v>
      </c>
    </row>
    <row r="501" spans="1:10" ht="28.5" hidden="1">
      <c r="A501" s="337" t="s">
        <v>370</v>
      </c>
      <c r="B501" s="315"/>
      <c r="C501" s="74" t="s">
        <v>272</v>
      </c>
      <c r="D501" s="124" t="s">
        <v>416</v>
      </c>
      <c r="E501" s="192" t="s">
        <v>436</v>
      </c>
      <c r="F501" s="134"/>
      <c r="G501" s="180">
        <f>SUM(G502)</f>
        <v>0</v>
      </c>
      <c r="H501" s="14"/>
      <c r="I501" s="14"/>
      <c r="J501"/>
    </row>
    <row r="502" spans="1:10" ht="15" hidden="1">
      <c r="A502" s="337" t="s">
        <v>134</v>
      </c>
      <c r="B502" s="315"/>
      <c r="C502" s="74" t="s">
        <v>272</v>
      </c>
      <c r="D502" s="124" t="s">
        <v>416</v>
      </c>
      <c r="E502" s="192" t="s">
        <v>436</v>
      </c>
      <c r="F502" s="134" t="s">
        <v>78</v>
      </c>
      <c r="G502" s="180"/>
      <c r="H502" s="14"/>
      <c r="I502" s="14"/>
      <c r="J502"/>
    </row>
    <row r="503" spans="1:9" ht="28.5">
      <c r="A503" s="337" t="s">
        <v>273</v>
      </c>
      <c r="B503" s="312"/>
      <c r="C503" s="74" t="s">
        <v>272</v>
      </c>
      <c r="D503" s="124" t="s">
        <v>416</v>
      </c>
      <c r="E503" s="192" t="s">
        <v>674</v>
      </c>
      <c r="F503" s="134"/>
      <c r="G503" s="180">
        <f>SUM(G504)</f>
        <v>11900.5</v>
      </c>
      <c r="H503" s="14">
        <v>7467.6</v>
      </c>
      <c r="I503" s="14">
        <f>SUM(H503/G510*100)</f>
        <v>470.57785619761796</v>
      </c>
    </row>
    <row r="504" spans="1:10" ht="28.5">
      <c r="A504" s="337" t="s">
        <v>463</v>
      </c>
      <c r="B504" s="320"/>
      <c r="C504" s="74" t="s">
        <v>272</v>
      </c>
      <c r="D504" s="124" t="s">
        <v>416</v>
      </c>
      <c r="E504" s="192" t="s">
        <v>674</v>
      </c>
      <c r="F504" s="135" t="s">
        <v>461</v>
      </c>
      <c r="G504" s="180">
        <v>11900.5</v>
      </c>
      <c r="H504" s="14"/>
      <c r="I504" s="14">
        <f>SUM(H504/G511*100)</f>
        <v>0</v>
      </c>
      <c r="J504" s="36">
        <f>SUM('ведомствен.2015'!G863)</f>
        <v>11900.5</v>
      </c>
    </row>
    <row r="505" spans="1:9" ht="16.5" customHeight="1">
      <c r="A505" s="337" t="s">
        <v>218</v>
      </c>
      <c r="B505" s="312"/>
      <c r="C505" s="74" t="s">
        <v>272</v>
      </c>
      <c r="D505" s="124" t="s">
        <v>114</v>
      </c>
      <c r="E505" s="124"/>
      <c r="F505" s="134"/>
      <c r="G505" s="180">
        <f>SUM(G508+G512)</f>
        <v>1586.9</v>
      </c>
      <c r="H505" s="14" t="e">
        <f>SUM(#REF!)</f>
        <v>#REF!</v>
      </c>
      <c r="I505" s="14" t="e">
        <f>SUM(H505/G512*100)</f>
        <v>#REF!</v>
      </c>
    </row>
    <row r="506" spans="1:10" ht="30" customHeight="1" hidden="1">
      <c r="A506" s="337" t="s">
        <v>345</v>
      </c>
      <c r="B506" s="312"/>
      <c r="C506" s="74" t="s">
        <v>272</v>
      </c>
      <c r="D506" s="124" t="s">
        <v>114</v>
      </c>
      <c r="E506" s="124" t="s">
        <v>346</v>
      </c>
      <c r="F506" s="134"/>
      <c r="G506" s="180">
        <f>SUM(G507)</f>
        <v>0</v>
      </c>
      <c r="H506" s="14">
        <f>SUM(H507)</f>
        <v>1817.2</v>
      </c>
      <c r="I506" s="14" t="e">
        <f>SUM(H506/G513*100)</f>
        <v>#DIV/0!</v>
      </c>
      <c r="J506"/>
    </row>
    <row r="507" spans="1:10" ht="31.5" customHeight="1" hidden="1">
      <c r="A507" s="337" t="s">
        <v>220</v>
      </c>
      <c r="B507" s="312"/>
      <c r="C507" s="74" t="s">
        <v>272</v>
      </c>
      <c r="D507" s="124" t="s">
        <v>114</v>
      </c>
      <c r="E507" s="124" t="s">
        <v>346</v>
      </c>
      <c r="F507" s="134" t="s">
        <v>221</v>
      </c>
      <c r="G507" s="180"/>
      <c r="H507" s="14">
        <f>SUM(H509:H510)</f>
        <v>1817.2</v>
      </c>
      <c r="I507" s="14">
        <f>SUM(H507/G514*100)</f>
        <v>13.297720537119021</v>
      </c>
      <c r="J507"/>
    </row>
    <row r="508" spans="1:10" ht="31.5" customHeight="1">
      <c r="A508" s="332" t="s">
        <v>583</v>
      </c>
      <c r="B508" s="312"/>
      <c r="C508" s="74" t="s">
        <v>272</v>
      </c>
      <c r="D508" s="124" t="s">
        <v>114</v>
      </c>
      <c r="E508" s="124" t="s">
        <v>584</v>
      </c>
      <c r="F508" s="134"/>
      <c r="G508" s="180">
        <f>SUM(G509)</f>
        <v>1586.9</v>
      </c>
      <c r="H508" s="14"/>
      <c r="I508" s="14"/>
      <c r="J508"/>
    </row>
    <row r="509" spans="1:9" ht="28.5">
      <c r="A509" s="332" t="s">
        <v>88</v>
      </c>
      <c r="B509" s="312"/>
      <c r="C509" s="74" t="s">
        <v>272</v>
      </c>
      <c r="D509" s="124" t="s">
        <v>114</v>
      </c>
      <c r="E509" s="124" t="s">
        <v>585</v>
      </c>
      <c r="F509" s="134"/>
      <c r="G509" s="180">
        <f>SUM(G510)</f>
        <v>1586.9</v>
      </c>
      <c r="H509" s="14">
        <v>1817.2</v>
      </c>
      <c r="I509" s="14" t="e">
        <f aca="true" t="shared" si="10" ref="I509:I515">SUM(H509/G515*100)</f>
        <v>#DIV/0!</v>
      </c>
    </row>
    <row r="510" spans="1:9" ht="28.5">
      <c r="A510" s="337" t="s">
        <v>273</v>
      </c>
      <c r="B510" s="312"/>
      <c r="C510" s="74" t="s">
        <v>272</v>
      </c>
      <c r="D510" s="124" t="s">
        <v>114</v>
      </c>
      <c r="E510" s="124" t="s">
        <v>586</v>
      </c>
      <c r="F510" s="134"/>
      <c r="G510" s="180">
        <f>SUM(G511)</f>
        <v>1586.9</v>
      </c>
      <c r="H510" s="14"/>
      <c r="I510" s="14" t="e">
        <f t="shared" si="10"/>
        <v>#DIV/0!</v>
      </c>
    </row>
    <row r="511" spans="1:10" ht="28.5">
      <c r="A511" s="337" t="s">
        <v>463</v>
      </c>
      <c r="B511" s="320"/>
      <c r="C511" s="74" t="s">
        <v>272</v>
      </c>
      <c r="D511" s="124" t="s">
        <v>114</v>
      </c>
      <c r="E511" s="124" t="s">
        <v>586</v>
      </c>
      <c r="F511" s="135" t="s">
        <v>461</v>
      </c>
      <c r="G511" s="180">
        <v>1586.9</v>
      </c>
      <c r="H511" s="14"/>
      <c r="I511" s="14">
        <f t="shared" si="10"/>
        <v>0</v>
      </c>
      <c r="J511" s="36">
        <f>SUM('ведомствен.2015'!G870)</f>
        <v>1586.9</v>
      </c>
    </row>
    <row r="512" spans="1:10" ht="15" hidden="1">
      <c r="A512" s="333" t="s">
        <v>3</v>
      </c>
      <c r="B512" s="312"/>
      <c r="C512" s="74" t="s">
        <v>272</v>
      </c>
      <c r="D512" s="124" t="s">
        <v>414</v>
      </c>
      <c r="E512" s="124" t="s">
        <v>240</v>
      </c>
      <c r="F512" s="133"/>
      <c r="G512" s="180">
        <f>SUM(G513)</f>
        <v>0</v>
      </c>
      <c r="H512" s="14" t="e">
        <f>SUM(#REF!)</f>
        <v>#REF!</v>
      </c>
      <c r="I512" s="14" t="e">
        <f t="shared" si="10"/>
        <v>#REF!</v>
      </c>
      <c r="J512"/>
    </row>
    <row r="513" spans="1:10" ht="28.5" hidden="1">
      <c r="A513" s="332" t="s">
        <v>306</v>
      </c>
      <c r="B513" s="312"/>
      <c r="C513" s="74" t="s">
        <v>272</v>
      </c>
      <c r="D513" s="124" t="s">
        <v>414</v>
      </c>
      <c r="E513" s="124" t="s">
        <v>240</v>
      </c>
      <c r="F513" s="133" t="s">
        <v>241</v>
      </c>
      <c r="G513" s="180"/>
      <c r="H513" s="14">
        <f>SUM(H514)</f>
        <v>340</v>
      </c>
      <c r="I513" s="14">
        <f t="shared" si="10"/>
        <v>2.9917989511104857</v>
      </c>
      <c r="J513"/>
    </row>
    <row r="514" spans="1:10" ht="15">
      <c r="A514" s="333" t="s">
        <v>216</v>
      </c>
      <c r="B514" s="179"/>
      <c r="C514" s="74" t="s">
        <v>272</v>
      </c>
      <c r="D514" s="124" t="s">
        <v>272</v>
      </c>
      <c r="E514" s="124"/>
      <c r="F514" s="134"/>
      <c r="G514" s="180">
        <f>SUM(G517)+G522</f>
        <v>13665.500000000002</v>
      </c>
      <c r="H514" s="14">
        <f>SUM(H515)</f>
        <v>340</v>
      </c>
      <c r="I514" s="14">
        <f t="shared" si="10"/>
        <v>23.236741388737016</v>
      </c>
      <c r="J514"/>
    </row>
    <row r="515" spans="1:9" ht="42.75" hidden="1">
      <c r="A515" s="333" t="s">
        <v>197</v>
      </c>
      <c r="B515" s="179"/>
      <c r="C515" s="74" t="s">
        <v>272</v>
      </c>
      <c r="D515" s="124" t="s">
        <v>272</v>
      </c>
      <c r="E515" s="124" t="s">
        <v>198</v>
      </c>
      <c r="F515" s="134"/>
      <c r="G515" s="180">
        <f>SUM(G516)</f>
        <v>0</v>
      </c>
      <c r="H515" s="14">
        <v>340</v>
      </c>
      <c r="I515" s="14">
        <f t="shared" si="10"/>
        <v>735.930735930736</v>
      </c>
    </row>
    <row r="516" spans="1:10" ht="15" hidden="1">
      <c r="A516" s="337" t="s">
        <v>148</v>
      </c>
      <c r="B516" s="179"/>
      <c r="C516" s="74" t="s">
        <v>272</v>
      </c>
      <c r="D516" s="124" t="s">
        <v>272</v>
      </c>
      <c r="E516" s="124" t="s">
        <v>198</v>
      </c>
      <c r="F516" s="134" t="s">
        <v>78</v>
      </c>
      <c r="G516" s="180"/>
      <c r="H516" s="14">
        <f>SUM(H517)</f>
        <v>9494.7</v>
      </c>
      <c r="I516" s="14" t="e">
        <f>SUM(H516/#REF!*100)</f>
        <v>#REF!</v>
      </c>
      <c r="J516"/>
    </row>
    <row r="517" spans="1:10" ht="28.5">
      <c r="A517" s="332" t="s">
        <v>583</v>
      </c>
      <c r="B517" s="312"/>
      <c r="C517" s="74" t="s">
        <v>272</v>
      </c>
      <c r="D517" s="124" t="s">
        <v>272</v>
      </c>
      <c r="E517" s="124" t="s">
        <v>584</v>
      </c>
      <c r="F517" s="134"/>
      <c r="G517" s="180">
        <f>SUM(G518)</f>
        <v>12873.800000000001</v>
      </c>
      <c r="H517" s="14">
        <f>SUM(H518)</f>
        <v>9494.7</v>
      </c>
      <c r="I517" s="14" t="e">
        <f>SUM(H517/#REF!*100)</f>
        <v>#REF!</v>
      </c>
      <c r="J517"/>
    </row>
    <row r="518" spans="1:10" ht="28.5">
      <c r="A518" s="332" t="s">
        <v>51</v>
      </c>
      <c r="B518" s="312"/>
      <c r="C518" s="74" t="s">
        <v>272</v>
      </c>
      <c r="D518" s="124" t="s">
        <v>272</v>
      </c>
      <c r="E518" s="124" t="s">
        <v>587</v>
      </c>
      <c r="F518" s="134"/>
      <c r="G518" s="180">
        <f>SUM(G519:G521)</f>
        <v>12873.800000000001</v>
      </c>
      <c r="H518" s="14">
        <f>SUM(H519:H520)</f>
        <v>9494.7</v>
      </c>
      <c r="I518" s="14" t="e">
        <f>SUM(H518/#REF!*100)</f>
        <v>#REF!</v>
      </c>
      <c r="J518"/>
    </row>
    <row r="519" spans="1:10" ht="28.5">
      <c r="A519" s="332" t="s">
        <v>444</v>
      </c>
      <c r="B519" s="312"/>
      <c r="C519" s="74" t="s">
        <v>272</v>
      </c>
      <c r="D519" s="124" t="s">
        <v>272</v>
      </c>
      <c r="E519" s="124" t="s">
        <v>587</v>
      </c>
      <c r="F519" s="133" t="s">
        <v>445</v>
      </c>
      <c r="G519" s="180">
        <v>11364.4</v>
      </c>
      <c r="H519" s="14">
        <v>9494.7</v>
      </c>
      <c r="I519" s="14" t="e">
        <f>SUM(H519/#REF!*100)</f>
        <v>#REF!</v>
      </c>
      <c r="J519" s="36">
        <f>SUM('ведомствен.2015'!G878)</f>
        <v>11364.4</v>
      </c>
    </row>
    <row r="520" spans="1:10" ht="28.5">
      <c r="A520" s="187" t="s">
        <v>697</v>
      </c>
      <c r="B520" s="312"/>
      <c r="C520" s="74" t="s">
        <v>272</v>
      </c>
      <c r="D520" s="124" t="s">
        <v>272</v>
      </c>
      <c r="E520" s="124" t="s">
        <v>587</v>
      </c>
      <c r="F520" s="133" t="s">
        <v>112</v>
      </c>
      <c r="G520" s="181">
        <v>1463.2</v>
      </c>
      <c r="H520" s="14"/>
      <c r="I520" s="14" t="e">
        <f>SUM(H520/#REF!*100)</f>
        <v>#REF!</v>
      </c>
      <c r="J520" s="36">
        <f>SUM('ведомствен.2015'!G879)</f>
        <v>1463.2</v>
      </c>
    </row>
    <row r="521" spans="1:10" ht="15">
      <c r="A521" s="332" t="s">
        <v>450</v>
      </c>
      <c r="B521" s="312"/>
      <c r="C521" s="74" t="s">
        <v>272</v>
      </c>
      <c r="D521" s="124" t="s">
        <v>272</v>
      </c>
      <c r="E521" s="124" t="s">
        <v>587</v>
      </c>
      <c r="F521" s="134" t="s">
        <v>160</v>
      </c>
      <c r="G521" s="180">
        <v>46.2</v>
      </c>
      <c r="H521" s="14" t="e">
        <f>SUM(#REF!+#REF!+#REF!)</f>
        <v>#REF!</v>
      </c>
      <c r="I521" s="14" t="e">
        <f>SUM(H521/#REF!*100)</f>
        <v>#REF!</v>
      </c>
      <c r="J521" s="36">
        <f>SUM('ведомствен.2015'!G880)</f>
        <v>46.2</v>
      </c>
    </row>
    <row r="522" spans="1:9" s="95" customFormat="1" ht="15">
      <c r="A522" s="119" t="s">
        <v>120</v>
      </c>
      <c r="B522" s="200"/>
      <c r="C522" s="409" t="s">
        <v>272</v>
      </c>
      <c r="D522" s="270" t="s">
        <v>272</v>
      </c>
      <c r="E522" s="192" t="s">
        <v>121</v>
      </c>
      <c r="F522" s="242"/>
      <c r="G522" s="180">
        <f>SUM(G523)</f>
        <v>791.7</v>
      </c>
      <c r="H522" s="97"/>
      <c r="I522" s="97"/>
    </row>
    <row r="523" spans="1:9" s="95" customFormat="1" ht="42.75">
      <c r="A523" s="354" t="s">
        <v>675</v>
      </c>
      <c r="B523" s="405"/>
      <c r="C523" s="409" t="s">
        <v>272</v>
      </c>
      <c r="D523" s="270" t="s">
        <v>272</v>
      </c>
      <c r="E523" s="192" t="s">
        <v>676</v>
      </c>
      <c r="F523" s="356"/>
      <c r="G523" s="357">
        <f>SUM(G524)</f>
        <v>791.7</v>
      </c>
      <c r="H523" s="97"/>
      <c r="I523" s="97"/>
    </row>
    <row r="524" spans="1:10" s="95" customFormat="1" ht="36" customHeight="1">
      <c r="A524" s="119" t="s">
        <v>463</v>
      </c>
      <c r="B524" s="200"/>
      <c r="C524" s="196" t="s">
        <v>272</v>
      </c>
      <c r="D524" s="192" t="s">
        <v>272</v>
      </c>
      <c r="E524" s="192" t="s">
        <v>676</v>
      </c>
      <c r="F524" s="242"/>
      <c r="G524" s="161">
        <v>791.7</v>
      </c>
      <c r="H524" s="97"/>
      <c r="I524" s="97"/>
      <c r="J524" s="36">
        <f>SUM('ведомствен.2015'!G883)</f>
        <v>791.7</v>
      </c>
    </row>
    <row r="525" spans="1:12" s="16" customFormat="1" ht="15">
      <c r="A525" s="335" t="s">
        <v>167</v>
      </c>
      <c r="B525" s="315"/>
      <c r="C525" s="136" t="s">
        <v>5</v>
      </c>
      <c r="D525" s="125"/>
      <c r="E525" s="125"/>
      <c r="F525" s="138"/>
      <c r="G525" s="305">
        <f>SUM(G526+G530+G544+G634+G659)</f>
        <v>944759</v>
      </c>
      <c r="H525" s="18">
        <f>SUM(H526)+H528</f>
        <v>0</v>
      </c>
      <c r="I525" s="14" t="e">
        <f aca="true" t="shared" si="11" ref="I525:I538">SUM(H525/G531*100)</f>
        <v>#DIV/0!</v>
      </c>
      <c r="K525" s="16">
        <f>SUM(J527:J694)</f>
        <v>944758.9999999999</v>
      </c>
      <c r="L525" s="16">
        <f>SUM('ведомствен.2015'!G290+'ведомствен.2015'!G401+'ведомствен.2015'!G714)+'ведомствен.2015'!G349</f>
        <v>944759</v>
      </c>
    </row>
    <row r="526" spans="1:13" s="16" customFormat="1" ht="15">
      <c r="A526" s="332" t="s">
        <v>169</v>
      </c>
      <c r="B526" s="312"/>
      <c r="C526" s="63" t="s">
        <v>5</v>
      </c>
      <c r="D526" s="75" t="s">
        <v>414</v>
      </c>
      <c r="E526" s="75"/>
      <c r="F526" s="133"/>
      <c r="G526" s="180">
        <f>SUM(G527)</f>
        <v>4100.5</v>
      </c>
      <c r="H526" s="14">
        <f>SUM(H527)</f>
        <v>0</v>
      </c>
      <c r="I526" s="14" t="e">
        <f t="shared" si="11"/>
        <v>#DIV/0!</v>
      </c>
      <c r="L526" s="274">
        <f>SUM(K525-G525)</f>
        <v>-1.1641532182693481E-10</v>
      </c>
      <c r="M526" s="16">
        <f>SUM(L525-K525)</f>
        <v>1.1641532182693481E-10</v>
      </c>
    </row>
    <row r="527" spans="1:9" s="16" customFormat="1" ht="15">
      <c r="A527" s="332" t="s">
        <v>170</v>
      </c>
      <c r="B527" s="312"/>
      <c r="C527" s="63" t="s">
        <v>5</v>
      </c>
      <c r="D527" s="75" t="s">
        <v>414</v>
      </c>
      <c r="E527" s="75" t="s">
        <v>171</v>
      </c>
      <c r="F527" s="133"/>
      <c r="G527" s="180">
        <f>SUM(G528)</f>
        <v>4100.5</v>
      </c>
      <c r="H527" s="14"/>
      <c r="I527" s="14" t="e">
        <f t="shared" si="11"/>
        <v>#DIV/0!</v>
      </c>
    </row>
    <row r="528" spans="1:9" s="16" customFormat="1" ht="28.5">
      <c r="A528" s="332" t="s">
        <v>172</v>
      </c>
      <c r="B528" s="312"/>
      <c r="C528" s="63" t="s">
        <v>5</v>
      </c>
      <c r="D528" s="75" t="s">
        <v>414</v>
      </c>
      <c r="E528" s="75" t="s">
        <v>173</v>
      </c>
      <c r="F528" s="133"/>
      <c r="G528" s="180">
        <f>SUM(G529)</f>
        <v>4100.5</v>
      </c>
      <c r="H528" s="14">
        <f>SUM(H529)</f>
        <v>0</v>
      </c>
      <c r="I528" s="14" t="e">
        <f t="shared" si="11"/>
        <v>#DIV/0!</v>
      </c>
    </row>
    <row r="529" spans="1:11" s="16" customFormat="1" ht="15">
      <c r="A529" s="332" t="s">
        <v>454</v>
      </c>
      <c r="B529" s="312"/>
      <c r="C529" s="63" t="s">
        <v>5</v>
      </c>
      <c r="D529" s="75" t="s">
        <v>414</v>
      </c>
      <c r="E529" s="75" t="s">
        <v>173</v>
      </c>
      <c r="F529" s="133" t="s">
        <v>455</v>
      </c>
      <c r="G529" s="180">
        <v>4100.5</v>
      </c>
      <c r="H529" s="14"/>
      <c r="I529" s="14" t="e">
        <f t="shared" si="11"/>
        <v>#DIV/0!</v>
      </c>
      <c r="J529" s="16">
        <f>SUM('ведомствен.2015'!G405)</f>
        <v>4100.5</v>
      </c>
      <c r="K529" s="359">
        <f>SUM(G529-J529)</f>
        <v>0</v>
      </c>
    </row>
    <row r="530" spans="1:9" s="16" customFormat="1" ht="15">
      <c r="A530" s="332" t="s">
        <v>174</v>
      </c>
      <c r="B530" s="312"/>
      <c r="C530" s="74" t="s">
        <v>5</v>
      </c>
      <c r="D530" s="124" t="s">
        <v>416</v>
      </c>
      <c r="E530" s="75"/>
      <c r="F530" s="133"/>
      <c r="G530" s="180">
        <f>SUM(G531+G536)</f>
        <v>50356.19999999999</v>
      </c>
      <c r="H530" s="14">
        <f>SUM(H531+H533)</f>
        <v>16618.3</v>
      </c>
      <c r="I530" s="14">
        <f t="shared" si="11"/>
        <v>33.00149733299971</v>
      </c>
    </row>
    <row r="531" spans="1:9" s="16" customFormat="1" ht="15" hidden="1">
      <c r="A531" s="344" t="s">
        <v>69</v>
      </c>
      <c r="B531" s="312"/>
      <c r="C531" s="74" t="s">
        <v>5</v>
      </c>
      <c r="D531" s="124" t="s">
        <v>416</v>
      </c>
      <c r="E531" s="124" t="s">
        <v>70</v>
      </c>
      <c r="F531" s="134"/>
      <c r="G531" s="180"/>
      <c r="H531" s="14">
        <f>SUM(H532)</f>
        <v>0</v>
      </c>
      <c r="I531" s="14">
        <f t="shared" si="11"/>
        <v>0</v>
      </c>
    </row>
    <row r="532" spans="1:9" s="16" customFormat="1" ht="28.5" hidden="1">
      <c r="A532" s="344" t="s">
        <v>16</v>
      </c>
      <c r="B532" s="312"/>
      <c r="C532" s="74" t="s">
        <v>5</v>
      </c>
      <c r="D532" s="124" t="s">
        <v>416</v>
      </c>
      <c r="E532" s="124" t="s">
        <v>17</v>
      </c>
      <c r="F532" s="134"/>
      <c r="G532" s="180">
        <f>SUM(G533+G534)</f>
        <v>0</v>
      </c>
      <c r="H532" s="14"/>
      <c r="I532" s="14">
        <f t="shared" si="11"/>
        <v>0</v>
      </c>
    </row>
    <row r="533" spans="1:9" s="16" customFormat="1" ht="15" hidden="1">
      <c r="A533" s="158" t="s">
        <v>220</v>
      </c>
      <c r="B533" s="312"/>
      <c r="C533" s="74" t="s">
        <v>5</v>
      </c>
      <c r="D533" s="124" t="s">
        <v>416</v>
      </c>
      <c r="E533" s="124" t="s">
        <v>17</v>
      </c>
      <c r="F533" s="134" t="s">
        <v>221</v>
      </c>
      <c r="G533" s="180"/>
      <c r="H533" s="14">
        <f>SUM(H534)</f>
        <v>16618.3</v>
      </c>
      <c r="I533" s="14">
        <f t="shared" si="11"/>
        <v>1403.691190134302</v>
      </c>
    </row>
    <row r="534" spans="1:10" s="16" customFormat="1" ht="28.5" hidden="1">
      <c r="A534" s="344" t="s">
        <v>18</v>
      </c>
      <c r="B534" s="312"/>
      <c r="C534" s="74" t="s">
        <v>5</v>
      </c>
      <c r="D534" s="124" t="s">
        <v>416</v>
      </c>
      <c r="E534" s="124" t="s">
        <v>19</v>
      </c>
      <c r="F534" s="134"/>
      <c r="G534" s="180">
        <f>SUM(G535)</f>
        <v>0</v>
      </c>
      <c r="H534" s="14">
        <v>16618.3</v>
      </c>
      <c r="I534" s="14">
        <f t="shared" si="11"/>
        <v>34.237287437214924</v>
      </c>
      <c r="J534" s="38"/>
    </row>
    <row r="535" spans="1:9" s="16" customFormat="1" ht="15" hidden="1">
      <c r="A535" s="158" t="s">
        <v>220</v>
      </c>
      <c r="B535" s="312"/>
      <c r="C535" s="74" t="s">
        <v>5</v>
      </c>
      <c r="D535" s="124" t="s">
        <v>416</v>
      </c>
      <c r="E535" s="124" t="s">
        <v>19</v>
      </c>
      <c r="F535" s="134" t="s">
        <v>221</v>
      </c>
      <c r="G535" s="180"/>
      <c r="H535" s="18" t="e">
        <f>SUM(H545+#REF!+#REF!+#REF!+H536)</f>
        <v>#REF!</v>
      </c>
      <c r="I535" s="14" t="e">
        <f t="shared" si="11"/>
        <v>#REF!</v>
      </c>
    </row>
    <row r="536" spans="1:9" s="16" customFormat="1" ht="15">
      <c r="A536" s="344" t="s">
        <v>69</v>
      </c>
      <c r="B536" s="312"/>
      <c r="C536" s="74" t="s">
        <v>5</v>
      </c>
      <c r="D536" s="124" t="s">
        <v>416</v>
      </c>
      <c r="E536" s="124" t="s">
        <v>20</v>
      </c>
      <c r="F536" s="134"/>
      <c r="G536" s="180">
        <f>SUM(G537+G540)</f>
        <v>50356.19999999999</v>
      </c>
      <c r="H536" s="14">
        <f>SUM(H538)</f>
        <v>200</v>
      </c>
      <c r="I536" s="14">
        <f t="shared" si="11"/>
        <v>2.6332420476090164</v>
      </c>
    </row>
    <row r="537" spans="1:9" s="16" customFormat="1" ht="28.5">
      <c r="A537" s="158" t="s">
        <v>51</v>
      </c>
      <c r="B537" s="312"/>
      <c r="C537" s="74" t="s">
        <v>5</v>
      </c>
      <c r="D537" s="124" t="s">
        <v>416</v>
      </c>
      <c r="E537" s="124" t="s">
        <v>21</v>
      </c>
      <c r="F537" s="134"/>
      <c r="G537" s="180">
        <f>SUM(G538:G539)</f>
        <v>1817.6000000000001</v>
      </c>
      <c r="H537" s="14">
        <f>SUM(H538)</f>
        <v>200</v>
      </c>
      <c r="I537" s="14">
        <f t="shared" si="11"/>
        <v>135.4096140825999</v>
      </c>
    </row>
    <row r="538" spans="1:11" s="16" customFormat="1" ht="28.5">
      <c r="A538" s="332" t="s">
        <v>444</v>
      </c>
      <c r="B538" s="312"/>
      <c r="C538" s="74" t="s">
        <v>5</v>
      </c>
      <c r="D538" s="124" t="s">
        <v>416</v>
      </c>
      <c r="E538" s="124" t="s">
        <v>21</v>
      </c>
      <c r="F538" s="133" t="s">
        <v>445</v>
      </c>
      <c r="G538" s="180">
        <v>633.7</v>
      </c>
      <c r="H538" s="14">
        <v>200</v>
      </c>
      <c r="I538" s="14">
        <f t="shared" si="11"/>
        <v>0.027082663601631352</v>
      </c>
      <c r="J538" s="16">
        <f>SUM('ведомствен.2015'!G414)</f>
        <v>633.7</v>
      </c>
      <c r="K538" s="359">
        <f aca="true" t="shared" si="12" ref="K538:K543">SUM(G538-J538)</f>
        <v>0</v>
      </c>
    </row>
    <row r="539" spans="1:11" s="16" customFormat="1" ht="28.5">
      <c r="A539" s="187" t="s">
        <v>697</v>
      </c>
      <c r="B539" s="312"/>
      <c r="C539" s="74" t="s">
        <v>5</v>
      </c>
      <c r="D539" s="124" t="s">
        <v>416</v>
      </c>
      <c r="E539" s="124" t="s">
        <v>21</v>
      </c>
      <c r="F539" s="133" t="s">
        <v>112</v>
      </c>
      <c r="G539" s="180">
        <v>1183.9</v>
      </c>
      <c r="H539" s="14"/>
      <c r="I539" s="14"/>
      <c r="J539" s="16">
        <f>SUM('ведомствен.2015'!G415)</f>
        <v>1183.9</v>
      </c>
      <c r="K539" s="359">
        <f t="shared" si="12"/>
        <v>0</v>
      </c>
    </row>
    <row r="540" spans="1:10" ht="28.5">
      <c r="A540" s="158" t="s">
        <v>22</v>
      </c>
      <c r="B540" s="312"/>
      <c r="C540" s="74" t="s">
        <v>5</v>
      </c>
      <c r="D540" s="124" t="s">
        <v>416</v>
      </c>
      <c r="E540" s="124" t="s">
        <v>23</v>
      </c>
      <c r="F540" s="134"/>
      <c r="G540" s="180">
        <f>SUM(G541:G543)</f>
        <v>48538.59999999999</v>
      </c>
      <c r="H540" s="14">
        <f>SUM(H543)</f>
        <v>0</v>
      </c>
      <c r="I540" s="14" t="e">
        <f>SUM(H540/G546*100)</f>
        <v>#DIV/0!</v>
      </c>
      <c r="J540"/>
    </row>
    <row r="541" spans="1:11" ht="28.5">
      <c r="A541" s="332" t="s">
        <v>444</v>
      </c>
      <c r="B541" s="312"/>
      <c r="C541" s="74" t="s">
        <v>5</v>
      </c>
      <c r="D541" s="124" t="s">
        <v>416</v>
      </c>
      <c r="E541" s="124" t="s">
        <v>23</v>
      </c>
      <c r="F541" s="133" t="s">
        <v>445</v>
      </c>
      <c r="G541" s="180">
        <v>40795.7</v>
      </c>
      <c r="H541" s="14"/>
      <c r="I541" s="14"/>
      <c r="J541" s="16">
        <f>SUM('ведомствен.2015'!G417)</f>
        <v>40795.7</v>
      </c>
      <c r="K541" s="359">
        <f t="shared" si="12"/>
        <v>0</v>
      </c>
    </row>
    <row r="542" spans="1:11" ht="27" customHeight="1">
      <c r="A542" s="187" t="s">
        <v>697</v>
      </c>
      <c r="B542" s="312"/>
      <c r="C542" s="74" t="s">
        <v>5</v>
      </c>
      <c r="D542" s="124" t="s">
        <v>416</v>
      </c>
      <c r="E542" s="124" t="s">
        <v>23</v>
      </c>
      <c r="F542" s="133" t="s">
        <v>112</v>
      </c>
      <c r="G542" s="180">
        <v>7595.2</v>
      </c>
      <c r="H542" s="14"/>
      <c r="I542" s="14"/>
      <c r="J542" s="16">
        <f>SUM('ведомствен.2015'!G418)</f>
        <v>7595.2</v>
      </c>
      <c r="K542" s="359">
        <f t="shared" si="12"/>
        <v>0</v>
      </c>
    </row>
    <row r="543" spans="1:11" ht="16.5" customHeight="1">
      <c r="A543" s="332" t="s">
        <v>450</v>
      </c>
      <c r="B543" s="312"/>
      <c r="C543" s="74" t="s">
        <v>5</v>
      </c>
      <c r="D543" s="124" t="s">
        <v>416</v>
      </c>
      <c r="E543" s="124" t="s">
        <v>23</v>
      </c>
      <c r="F543" s="133" t="s">
        <v>160</v>
      </c>
      <c r="G543" s="180">
        <v>147.7</v>
      </c>
      <c r="H543" s="14">
        <f>SUM(H544)</f>
        <v>0</v>
      </c>
      <c r="I543" s="14">
        <f>SUM(H543/G549*100)</f>
        <v>0</v>
      </c>
      <c r="J543" s="16">
        <f>SUM('ведомствен.2015'!G419)</f>
        <v>147.7</v>
      </c>
      <c r="K543" s="359">
        <f t="shared" si="12"/>
        <v>0</v>
      </c>
    </row>
    <row r="544" spans="1:11" ht="15">
      <c r="A544" s="332" t="s">
        <v>24</v>
      </c>
      <c r="B544" s="312"/>
      <c r="C544" s="63" t="s">
        <v>5</v>
      </c>
      <c r="D544" s="75" t="s">
        <v>98</v>
      </c>
      <c r="E544" s="75"/>
      <c r="F544" s="133"/>
      <c r="G544" s="180">
        <f>SUM(G548+G582+G626)+G586+G609</f>
        <v>738479.8</v>
      </c>
      <c r="H544" s="14"/>
      <c r="I544" s="14">
        <f>SUM(H544/G551*100)</f>
        <v>0</v>
      </c>
      <c r="J544"/>
      <c r="K544">
        <f>SUM(J549:J633)</f>
        <v>738479.7999999999</v>
      </c>
    </row>
    <row r="545" spans="1:10" ht="15" hidden="1">
      <c r="A545" s="332" t="s">
        <v>363</v>
      </c>
      <c r="B545" s="312"/>
      <c r="C545" s="63" t="s">
        <v>5</v>
      </c>
      <c r="D545" s="75" t="s">
        <v>98</v>
      </c>
      <c r="E545" s="75" t="s">
        <v>365</v>
      </c>
      <c r="F545" s="133"/>
      <c r="G545" s="180">
        <f>SUM(G547)</f>
        <v>0</v>
      </c>
      <c r="H545" s="14" t="e">
        <f>SUM(H546+H548+H551+#REF!+#REF!+H578+H583+H634+#REF!+#REF!+H682)+#REF!+#REF!+#REF!+#REF!+H572+H581+H629+#REF!+#REF!+#REF!+H575+#REF!+H565+H560</f>
        <v>#REF!</v>
      </c>
      <c r="I545" s="14" t="e">
        <f>SUM(H545/G558*100)</f>
        <v>#REF!</v>
      </c>
      <c r="J545"/>
    </row>
    <row r="546" spans="1:10" ht="15" hidden="1">
      <c r="A546" s="332" t="s">
        <v>345</v>
      </c>
      <c r="B546" s="312"/>
      <c r="C546" s="63" t="s">
        <v>5</v>
      </c>
      <c r="D546" s="75" t="s">
        <v>98</v>
      </c>
      <c r="E546" s="75" t="s">
        <v>346</v>
      </c>
      <c r="F546" s="133"/>
      <c r="G546" s="180">
        <f>SUM(G547)</f>
        <v>0</v>
      </c>
      <c r="H546" s="14">
        <f>SUM(H547:H547)</f>
        <v>0</v>
      </c>
      <c r="I546" s="14">
        <f>SUM(H546/G560*100)</f>
        <v>0</v>
      </c>
      <c r="J546"/>
    </row>
    <row r="547" spans="1:10" ht="15" hidden="1">
      <c r="A547" s="332" t="s">
        <v>268</v>
      </c>
      <c r="B547" s="179"/>
      <c r="C547" s="63" t="s">
        <v>5</v>
      </c>
      <c r="D547" s="75" t="s">
        <v>98</v>
      </c>
      <c r="E547" s="75" t="s">
        <v>346</v>
      </c>
      <c r="F547" s="134" t="s">
        <v>269</v>
      </c>
      <c r="G547" s="180"/>
      <c r="H547" s="14"/>
      <c r="I547" s="14">
        <f>SUM(H547/G561*100)</f>
        <v>0</v>
      </c>
      <c r="J547"/>
    </row>
    <row r="548" spans="1:9" s="16" customFormat="1" ht="15">
      <c r="A548" s="332" t="s">
        <v>25</v>
      </c>
      <c r="B548" s="312"/>
      <c r="C548" s="63" t="s">
        <v>5</v>
      </c>
      <c r="D548" s="75" t="s">
        <v>98</v>
      </c>
      <c r="E548" s="75" t="s">
        <v>26</v>
      </c>
      <c r="F548" s="133"/>
      <c r="G548" s="180">
        <f>SUM(G549+G558+G561+G564+G567+G552+G555)</f>
        <v>285327.2</v>
      </c>
      <c r="H548" s="14">
        <f>SUM(H549:H549)</f>
        <v>0</v>
      </c>
      <c r="I548" s="14">
        <f>SUM(H548/G563*100)</f>
        <v>0</v>
      </c>
    </row>
    <row r="549" spans="1:9" s="16" customFormat="1" ht="42.75">
      <c r="A549" s="332" t="s">
        <v>259</v>
      </c>
      <c r="B549" s="312"/>
      <c r="C549" s="74" t="s">
        <v>5</v>
      </c>
      <c r="D549" s="124" t="s">
        <v>98</v>
      </c>
      <c r="E549" s="124" t="s">
        <v>260</v>
      </c>
      <c r="F549" s="134"/>
      <c r="G549" s="180">
        <f>SUM(G550:G551)</f>
        <v>100501.3</v>
      </c>
      <c r="H549" s="14"/>
      <c r="I549" s="14" t="e">
        <f>SUM(H549/#REF!*100)</f>
        <v>#REF!</v>
      </c>
    </row>
    <row r="550" spans="1:11" s="16" customFormat="1" ht="28.5">
      <c r="A550" s="187" t="s">
        <v>697</v>
      </c>
      <c r="B550" s="312"/>
      <c r="C550" s="74" t="s">
        <v>5</v>
      </c>
      <c r="D550" s="124" t="s">
        <v>98</v>
      </c>
      <c r="E550" s="124" t="s">
        <v>260</v>
      </c>
      <c r="F550" s="134" t="s">
        <v>112</v>
      </c>
      <c r="G550" s="180">
        <v>1970.6</v>
      </c>
      <c r="H550" s="14"/>
      <c r="I550" s="14"/>
      <c r="J550" s="16">
        <f>SUM('ведомствен.2015'!G426)</f>
        <v>1970.6</v>
      </c>
      <c r="K550" s="359">
        <f aca="true" t="shared" si="13" ref="K550:K566">SUM(G550-J550)</f>
        <v>0</v>
      </c>
    </row>
    <row r="551" spans="1:11" s="16" customFormat="1" ht="15">
      <c r="A551" s="332" t="s">
        <v>454</v>
      </c>
      <c r="B551" s="312"/>
      <c r="C551" s="74" t="s">
        <v>5</v>
      </c>
      <c r="D551" s="124" t="s">
        <v>98</v>
      </c>
      <c r="E551" s="124" t="s">
        <v>260</v>
      </c>
      <c r="F551" s="134" t="s">
        <v>455</v>
      </c>
      <c r="G551" s="180">
        <v>98530.7</v>
      </c>
      <c r="H551" s="14">
        <f>SUM(H558)</f>
        <v>0</v>
      </c>
      <c r="I551" s="14" t="e">
        <f>SUM(H551/#REF!*100)</f>
        <v>#REF!</v>
      </c>
      <c r="J551" s="16">
        <f>SUM('ведомствен.2015'!G427)</f>
        <v>98530.7</v>
      </c>
      <c r="K551" s="359">
        <f t="shared" si="13"/>
        <v>0</v>
      </c>
    </row>
    <row r="552" spans="1:9" s="16" customFormat="1" ht="42.75">
      <c r="A552" s="345" t="s">
        <v>599</v>
      </c>
      <c r="B552" s="326"/>
      <c r="C552" s="296" t="s">
        <v>5</v>
      </c>
      <c r="D552" s="297" t="s">
        <v>98</v>
      </c>
      <c r="E552" s="297" t="s">
        <v>600</v>
      </c>
      <c r="F552" s="298"/>
      <c r="G552" s="308">
        <f>G553+G554</f>
        <v>2047.3999999999999</v>
      </c>
      <c r="H552" s="14"/>
      <c r="I552" s="14"/>
    </row>
    <row r="553" spans="1:11" s="16" customFormat="1" ht="28.5">
      <c r="A553" s="187" t="s">
        <v>697</v>
      </c>
      <c r="B553" s="326"/>
      <c r="C553" s="296" t="s">
        <v>5</v>
      </c>
      <c r="D553" s="297" t="s">
        <v>98</v>
      </c>
      <c r="E553" s="297" t="s">
        <v>600</v>
      </c>
      <c r="F553" s="298" t="s">
        <v>112</v>
      </c>
      <c r="G553" s="308">
        <v>30.3</v>
      </c>
      <c r="H553" s="14"/>
      <c r="I553" s="14"/>
      <c r="J553" s="16">
        <f>SUM('ведомствен.2015'!G429)</f>
        <v>30.3</v>
      </c>
      <c r="K553" s="359">
        <f t="shared" si="13"/>
        <v>0</v>
      </c>
    </row>
    <row r="554" spans="1:11" s="16" customFormat="1" ht="15">
      <c r="A554" s="345" t="s">
        <v>454</v>
      </c>
      <c r="B554" s="326"/>
      <c r="C554" s="296" t="s">
        <v>5</v>
      </c>
      <c r="D554" s="297" t="s">
        <v>98</v>
      </c>
      <c r="E554" s="297" t="s">
        <v>600</v>
      </c>
      <c r="F554" s="298" t="s">
        <v>455</v>
      </c>
      <c r="G554" s="308">
        <v>2017.1</v>
      </c>
      <c r="H554" s="14"/>
      <c r="I554" s="14"/>
      <c r="J554" s="16">
        <f>SUM('ведомствен.2015'!G430)</f>
        <v>2017.1</v>
      </c>
      <c r="K554" s="359">
        <f t="shared" si="13"/>
        <v>0</v>
      </c>
    </row>
    <row r="555" spans="1:9" s="16" customFormat="1" ht="42.75">
      <c r="A555" s="345" t="s">
        <v>601</v>
      </c>
      <c r="B555" s="326"/>
      <c r="C555" s="296" t="s">
        <v>5</v>
      </c>
      <c r="D555" s="297" t="s">
        <v>98</v>
      </c>
      <c r="E555" s="297" t="s">
        <v>602</v>
      </c>
      <c r="F555" s="298"/>
      <c r="G555" s="308">
        <f>G556+G557</f>
        <v>11566.5</v>
      </c>
      <c r="H555" s="14"/>
      <c r="I555" s="14"/>
    </row>
    <row r="556" spans="1:11" s="16" customFormat="1" ht="28.5">
      <c r="A556" s="187" t="s">
        <v>697</v>
      </c>
      <c r="B556" s="326"/>
      <c r="C556" s="296" t="s">
        <v>5</v>
      </c>
      <c r="D556" s="297" t="s">
        <v>98</v>
      </c>
      <c r="E556" s="297" t="s">
        <v>602</v>
      </c>
      <c r="F556" s="298" t="s">
        <v>112</v>
      </c>
      <c r="G556" s="308">
        <v>170.9</v>
      </c>
      <c r="H556" s="14"/>
      <c r="I556" s="14"/>
      <c r="J556" s="16">
        <f>SUM('ведомствен.2015'!G432)</f>
        <v>170.9</v>
      </c>
      <c r="K556" s="359">
        <f t="shared" si="13"/>
        <v>0</v>
      </c>
    </row>
    <row r="557" spans="1:11" s="16" customFormat="1" ht="15">
      <c r="A557" s="345" t="s">
        <v>454</v>
      </c>
      <c r="B557" s="326"/>
      <c r="C557" s="296" t="s">
        <v>5</v>
      </c>
      <c r="D557" s="297" t="s">
        <v>98</v>
      </c>
      <c r="E557" s="297" t="s">
        <v>602</v>
      </c>
      <c r="F557" s="298" t="s">
        <v>455</v>
      </c>
      <c r="G557" s="308">
        <v>11395.6</v>
      </c>
      <c r="H557" s="14"/>
      <c r="I557" s="14"/>
      <c r="J557" s="16">
        <f>SUM('ведомствен.2015'!G433)</f>
        <v>11395.6</v>
      </c>
      <c r="K557" s="359">
        <f t="shared" si="13"/>
        <v>0</v>
      </c>
    </row>
    <row r="558" spans="1:9" s="16" customFormat="1" ht="28.5">
      <c r="A558" s="332" t="s">
        <v>258</v>
      </c>
      <c r="B558" s="312"/>
      <c r="C558" s="74" t="s">
        <v>5</v>
      </c>
      <c r="D558" s="124" t="s">
        <v>98</v>
      </c>
      <c r="E558" s="124" t="s">
        <v>517</v>
      </c>
      <c r="F558" s="134"/>
      <c r="G558" s="180">
        <f>SUM(G559:G560)</f>
        <v>159864</v>
      </c>
      <c r="H558" s="14"/>
      <c r="I558" s="14">
        <f>SUM(H558/G564*100)</f>
        <v>0</v>
      </c>
    </row>
    <row r="559" spans="1:11" s="16" customFormat="1" ht="28.5">
      <c r="A559" s="187" t="s">
        <v>697</v>
      </c>
      <c r="B559" s="312"/>
      <c r="C559" s="74" t="s">
        <v>5</v>
      </c>
      <c r="D559" s="124" t="s">
        <v>98</v>
      </c>
      <c r="E559" s="124" t="s">
        <v>517</v>
      </c>
      <c r="F559" s="134" t="s">
        <v>112</v>
      </c>
      <c r="G559" s="180">
        <v>2362.5</v>
      </c>
      <c r="H559" s="14"/>
      <c r="I559" s="14"/>
      <c r="J559" s="16">
        <f>SUM('ведомствен.2015'!G435)</f>
        <v>2362.5</v>
      </c>
      <c r="K559" s="359">
        <f t="shared" si="13"/>
        <v>0</v>
      </c>
    </row>
    <row r="560" spans="1:11" s="16" customFormat="1" ht="15">
      <c r="A560" s="332" t="s">
        <v>454</v>
      </c>
      <c r="B560" s="179"/>
      <c r="C560" s="74" t="s">
        <v>5</v>
      </c>
      <c r="D560" s="124" t="s">
        <v>98</v>
      </c>
      <c r="E560" s="124" t="s">
        <v>517</v>
      </c>
      <c r="F560" s="134" t="s">
        <v>455</v>
      </c>
      <c r="G560" s="180">
        <v>157501.5</v>
      </c>
      <c r="H560" s="14">
        <f>SUM(H561)</f>
        <v>361.8</v>
      </c>
      <c r="I560" s="14">
        <f>SUM(H560/G565*100)</f>
        <v>30.15</v>
      </c>
      <c r="J560" s="16">
        <f>SUM('ведомствен.2015'!G436)</f>
        <v>157501.5</v>
      </c>
      <c r="K560" s="359">
        <f t="shared" si="13"/>
        <v>0</v>
      </c>
    </row>
    <row r="561" spans="1:9" s="16" customFormat="1" ht="42.75">
      <c r="A561" s="333" t="s">
        <v>257</v>
      </c>
      <c r="B561" s="312"/>
      <c r="C561" s="74" t="s">
        <v>5</v>
      </c>
      <c r="D561" s="124" t="s">
        <v>98</v>
      </c>
      <c r="E561" s="124" t="s">
        <v>518</v>
      </c>
      <c r="F561" s="134"/>
      <c r="G561" s="180">
        <f>SUM(G562:G563)</f>
        <v>77.10000000000001</v>
      </c>
      <c r="H561" s="14">
        <v>361.8</v>
      </c>
      <c r="I561" s="14">
        <f>SUM(H561/G566*100)</f>
        <v>22.178630540060077</v>
      </c>
    </row>
    <row r="562" spans="1:11" s="16" customFormat="1" ht="28.5">
      <c r="A562" s="187" t="s">
        <v>697</v>
      </c>
      <c r="B562" s="312"/>
      <c r="C562" s="74" t="s">
        <v>5</v>
      </c>
      <c r="D562" s="124" t="s">
        <v>98</v>
      </c>
      <c r="E562" s="124" t="s">
        <v>518</v>
      </c>
      <c r="F562" s="134" t="s">
        <v>112</v>
      </c>
      <c r="G562" s="180">
        <v>1.2</v>
      </c>
      <c r="H562" s="14"/>
      <c r="I562" s="14"/>
      <c r="J562" s="16">
        <f>SUM('ведомствен.2015'!G438)</f>
        <v>1.2</v>
      </c>
      <c r="K562" s="359">
        <f t="shared" si="13"/>
        <v>0</v>
      </c>
    </row>
    <row r="563" spans="1:11" s="16" customFormat="1" ht="15">
      <c r="A563" s="332" t="s">
        <v>454</v>
      </c>
      <c r="B563" s="312"/>
      <c r="C563" s="74" t="s">
        <v>5</v>
      </c>
      <c r="D563" s="124" t="s">
        <v>98</v>
      </c>
      <c r="E563" s="124" t="s">
        <v>518</v>
      </c>
      <c r="F563" s="134" t="s">
        <v>455</v>
      </c>
      <c r="G563" s="180">
        <v>75.9</v>
      </c>
      <c r="H563" s="14"/>
      <c r="I563" s="14">
        <f>SUM(H563/G567*100)</f>
        <v>0</v>
      </c>
      <c r="J563" s="16">
        <f>SUM('ведомствен.2015'!G439)</f>
        <v>75.9</v>
      </c>
      <c r="K563" s="359">
        <f t="shared" si="13"/>
        <v>0</v>
      </c>
    </row>
    <row r="564" spans="1:10" s="16" customFormat="1" ht="15">
      <c r="A564" s="337" t="s">
        <v>199</v>
      </c>
      <c r="B564" s="316"/>
      <c r="C564" s="279" t="s">
        <v>5</v>
      </c>
      <c r="D564" s="280" t="s">
        <v>98</v>
      </c>
      <c r="E564" s="280" t="s">
        <v>521</v>
      </c>
      <c r="F564" s="281"/>
      <c r="G564" s="185">
        <f>G565+G566</f>
        <v>2831.3</v>
      </c>
      <c r="H564" s="14"/>
      <c r="I564" s="14"/>
      <c r="J564" s="38"/>
    </row>
    <row r="565" spans="1:11" s="16" customFormat="1" ht="28.5">
      <c r="A565" s="187" t="s">
        <v>697</v>
      </c>
      <c r="B565" s="316"/>
      <c r="C565" s="279" t="s">
        <v>5</v>
      </c>
      <c r="D565" s="280" t="s">
        <v>98</v>
      </c>
      <c r="E565" s="280" t="s">
        <v>521</v>
      </c>
      <c r="F565" s="281" t="s">
        <v>112</v>
      </c>
      <c r="G565" s="185">
        <v>1200</v>
      </c>
      <c r="H565" s="14">
        <f>SUM(H566)</f>
        <v>542.8</v>
      </c>
      <c r="I565" s="14" t="e">
        <f>SUM(H565/#REF!*100)</f>
        <v>#REF!</v>
      </c>
      <c r="J565" s="16">
        <f>SUM('ведомствен.2015'!G444)</f>
        <v>1200</v>
      </c>
      <c r="K565" s="359">
        <f t="shared" si="13"/>
        <v>0</v>
      </c>
    </row>
    <row r="566" spans="1:11" s="16" customFormat="1" ht="15">
      <c r="A566" s="337" t="s">
        <v>454</v>
      </c>
      <c r="B566" s="316"/>
      <c r="C566" s="279" t="s">
        <v>5</v>
      </c>
      <c r="D566" s="280" t="s">
        <v>98</v>
      </c>
      <c r="E566" s="280" t="s">
        <v>521</v>
      </c>
      <c r="F566" s="281" t="s">
        <v>455</v>
      </c>
      <c r="G566" s="185">
        <v>1631.3</v>
      </c>
      <c r="H566" s="14">
        <v>542.8</v>
      </c>
      <c r="I566" s="14" t="e">
        <f>SUM(H566/#REF!*100)</f>
        <v>#REF!</v>
      </c>
      <c r="J566" s="16">
        <f>SUM('ведомствен.2015'!G445)</f>
        <v>1631.3</v>
      </c>
      <c r="K566" s="359">
        <f t="shared" si="13"/>
        <v>0</v>
      </c>
    </row>
    <row r="567" spans="1:9" s="16" customFormat="1" ht="28.5">
      <c r="A567" s="337" t="s">
        <v>262</v>
      </c>
      <c r="B567" s="316"/>
      <c r="C567" s="279" t="s">
        <v>5</v>
      </c>
      <c r="D567" s="280" t="s">
        <v>98</v>
      </c>
      <c r="E567" s="280" t="s">
        <v>522</v>
      </c>
      <c r="F567" s="281"/>
      <c r="G567" s="185">
        <f>G568+G572+G575+G579</f>
        <v>8439.6</v>
      </c>
      <c r="H567" s="18"/>
      <c r="I567" s="14"/>
    </row>
    <row r="568" spans="1:10" s="16" customFormat="1" ht="57">
      <c r="A568" s="337" t="s">
        <v>429</v>
      </c>
      <c r="B568" s="316"/>
      <c r="C568" s="279" t="s">
        <v>5</v>
      </c>
      <c r="D568" s="280" t="s">
        <v>98</v>
      </c>
      <c r="E568" s="280" t="s">
        <v>525</v>
      </c>
      <c r="F568" s="281"/>
      <c r="G568" s="185">
        <f>SUM(G569:G571)</f>
        <v>6718.400000000001</v>
      </c>
      <c r="H568" s="14"/>
      <c r="I568" s="14"/>
      <c r="J568" s="38"/>
    </row>
    <row r="569" spans="1:11" s="16" customFormat="1" ht="28.5">
      <c r="A569" s="187" t="s">
        <v>697</v>
      </c>
      <c r="B569" s="316"/>
      <c r="C569" s="279" t="s">
        <v>5</v>
      </c>
      <c r="D569" s="280" t="s">
        <v>98</v>
      </c>
      <c r="E569" s="280" t="s">
        <v>525</v>
      </c>
      <c r="F569" s="281" t="s">
        <v>112</v>
      </c>
      <c r="G569" s="185">
        <v>183.3</v>
      </c>
      <c r="H569" s="14"/>
      <c r="I569" s="14"/>
      <c r="J569" s="38">
        <f>SUM('ведомствен.2015'!G448)</f>
        <v>183.3</v>
      </c>
      <c r="K569" s="359">
        <f>SUM(G569-J569)</f>
        <v>0</v>
      </c>
    </row>
    <row r="570" spans="1:11" s="16" customFormat="1" ht="14.25" customHeight="1">
      <c r="A570" s="337" t="s">
        <v>454</v>
      </c>
      <c r="B570" s="316"/>
      <c r="C570" s="279" t="s">
        <v>5</v>
      </c>
      <c r="D570" s="280" t="s">
        <v>98</v>
      </c>
      <c r="E570" s="280" t="s">
        <v>525</v>
      </c>
      <c r="F570" s="281" t="s">
        <v>455</v>
      </c>
      <c r="G570" s="185">
        <v>6404.6</v>
      </c>
      <c r="H570" s="14">
        <v>4180.7</v>
      </c>
      <c r="I570" s="14" t="e">
        <f>SUM(H570/G579*100)</f>
        <v>#DIV/0!</v>
      </c>
      <c r="J570" s="16">
        <f>SUM('ведомствен.2015'!G449)+'ведомствен.2015'!G719</f>
        <v>6404.6</v>
      </c>
      <c r="K570" s="359">
        <f>SUM(G570-J570)</f>
        <v>0</v>
      </c>
    </row>
    <row r="571" spans="1:10" s="16" customFormat="1" ht="19.5" customHeight="1">
      <c r="A571" s="149" t="s">
        <v>470</v>
      </c>
      <c r="B571" s="406"/>
      <c r="C571" s="223" t="s">
        <v>5</v>
      </c>
      <c r="D571" s="224" t="s">
        <v>98</v>
      </c>
      <c r="E571" s="224" t="s">
        <v>525</v>
      </c>
      <c r="F571" s="248" t="s">
        <v>461</v>
      </c>
      <c r="G571" s="175">
        <v>130.5</v>
      </c>
      <c r="H571" s="14"/>
      <c r="I571" s="14"/>
      <c r="J571" s="16">
        <f>SUM('ведомствен.2015'!G720)</f>
        <v>130.5</v>
      </c>
    </row>
    <row r="572" spans="1:9" s="16" customFormat="1" ht="28.5" hidden="1">
      <c r="A572" s="337" t="s">
        <v>430</v>
      </c>
      <c r="B572" s="316"/>
      <c r="C572" s="279" t="s">
        <v>5</v>
      </c>
      <c r="D572" s="280" t="s">
        <v>98</v>
      </c>
      <c r="E572" s="280" t="s">
        <v>526</v>
      </c>
      <c r="F572" s="281"/>
      <c r="G572" s="185">
        <f>SUM(G573:G574)</f>
        <v>0</v>
      </c>
      <c r="H572" s="14">
        <f>SUM(H574)</f>
        <v>0</v>
      </c>
      <c r="I572" s="14" t="e">
        <f>SUM(H572/G581*100)</f>
        <v>#DIV/0!</v>
      </c>
    </row>
    <row r="573" spans="1:10" s="16" customFormat="1" ht="15" hidden="1">
      <c r="A573" s="332" t="s">
        <v>449</v>
      </c>
      <c r="B573" s="316"/>
      <c r="C573" s="279" t="s">
        <v>5</v>
      </c>
      <c r="D573" s="280" t="s">
        <v>98</v>
      </c>
      <c r="E573" s="280" t="s">
        <v>526</v>
      </c>
      <c r="F573" s="281" t="s">
        <v>112</v>
      </c>
      <c r="G573" s="185"/>
      <c r="H573" s="14"/>
      <c r="I573" s="14"/>
      <c r="J573" s="16">
        <f>SUM('ведомствен.2015'!G451)</f>
        <v>0</v>
      </c>
    </row>
    <row r="574" spans="1:10" s="16" customFormat="1" ht="15" hidden="1">
      <c r="A574" s="337" t="s">
        <v>454</v>
      </c>
      <c r="B574" s="316"/>
      <c r="C574" s="279" t="s">
        <v>5</v>
      </c>
      <c r="D574" s="280" t="s">
        <v>98</v>
      </c>
      <c r="E574" s="280" t="s">
        <v>526</v>
      </c>
      <c r="F574" s="281" t="s">
        <v>455</v>
      </c>
      <c r="G574" s="185"/>
      <c r="H574" s="14"/>
      <c r="I574" s="14">
        <f>SUM(H574/G582*100)</f>
        <v>0</v>
      </c>
      <c r="J574" s="16">
        <f>SUM('ведомствен.2015'!G452)</f>
        <v>0</v>
      </c>
    </row>
    <row r="575" spans="1:9" s="25" customFormat="1" ht="42.75">
      <c r="A575" s="342" t="s">
        <v>431</v>
      </c>
      <c r="B575" s="316"/>
      <c r="C575" s="279" t="s">
        <v>5</v>
      </c>
      <c r="D575" s="280" t="s">
        <v>98</v>
      </c>
      <c r="E575" s="280" t="s">
        <v>527</v>
      </c>
      <c r="F575" s="281"/>
      <c r="G575" s="185">
        <f>SUM(G576:G578)</f>
        <v>1721.2</v>
      </c>
      <c r="H575" s="14">
        <f>SUM(H577)</f>
        <v>0</v>
      </c>
      <c r="I575" s="14">
        <f>SUM(H575/G583*100)</f>
        <v>0</v>
      </c>
    </row>
    <row r="576" spans="1:10" s="25" customFormat="1" ht="28.5">
      <c r="A576" s="187" t="s">
        <v>697</v>
      </c>
      <c r="B576" s="316"/>
      <c r="C576" s="279" t="s">
        <v>5</v>
      </c>
      <c r="D576" s="280" t="s">
        <v>98</v>
      </c>
      <c r="E576" s="280" t="s">
        <v>527</v>
      </c>
      <c r="F576" s="281" t="s">
        <v>112</v>
      </c>
      <c r="G576" s="185">
        <v>28.8</v>
      </c>
      <c r="H576" s="14"/>
      <c r="I576" s="14"/>
      <c r="J576" s="25">
        <f>SUM('ведомствен.2015'!G454)</f>
        <v>28.8</v>
      </c>
    </row>
    <row r="577" spans="1:10" s="25" customFormat="1" ht="15">
      <c r="A577" s="337" t="s">
        <v>454</v>
      </c>
      <c r="B577" s="316"/>
      <c r="C577" s="279" t="s">
        <v>5</v>
      </c>
      <c r="D577" s="280" t="s">
        <v>98</v>
      </c>
      <c r="E577" s="280" t="s">
        <v>527</v>
      </c>
      <c r="F577" s="281" t="s">
        <v>455</v>
      </c>
      <c r="G577" s="185">
        <v>1692.4</v>
      </c>
      <c r="H577" s="14"/>
      <c r="I577" s="14">
        <f>SUM(H577/G585*100)</f>
        <v>0</v>
      </c>
      <c r="J577" s="16">
        <f>SUM('ведомствен.2015'!G455)</f>
        <v>1692.4</v>
      </c>
    </row>
    <row r="578" spans="1:10" s="16" customFormat="1" ht="42" customHeight="1" hidden="1">
      <c r="A578" s="337" t="s">
        <v>528</v>
      </c>
      <c r="B578" s="316"/>
      <c r="C578" s="279" t="s">
        <v>5</v>
      </c>
      <c r="D578" s="280" t="s">
        <v>98</v>
      </c>
      <c r="E578" s="280" t="s">
        <v>527</v>
      </c>
      <c r="F578" s="281" t="s">
        <v>461</v>
      </c>
      <c r="G578" s="185"/>
      <c r="H578" s="14">
        <f>SUM(H579)</f>
        <v>16724.6</v>
      </c>
      <c r="I578" s="14">
        <f>SUM(H578/G626*100)</f>
        <v>1393.7166666666667</v>
      </c>
      <c r="J578" s="16">
        <f>SUM('ведомствен.2015'!G456)</f>
        <v>0</v>
      </c>
    </row>
    <row r="579" spans="1:10" s="16" customFormat="1" ht="42.75" hidden="1">
      <c r="A579" s="337" t="s">
        <v>432</v>
      </c>
      <c r="B579" s="316"/>
      <c r="C579" s="279" t="s">
        <v>5</v>
      </c>
      <c r="D579" s="280" t="s">
        <v>98</v>
      </c>
      <c r="E579" s="280" t="s">
        <v>529</v>
      </c>
      <c r="F579" s="281"/>
      <c r="G579" s="185">
        <f>SUM(G580:G581)</f>
        <v>0</v>
      </c>
      <c r="H579" s="14">
        <v>16724.6</v>
      </c>
      <c r="I579" s="14">
        <f>SUM(H579/G629*100)</f>
        <v>16724.6</v>
      </c>
      <c r="J579" s="38"/>
    </row>
    <row r="580" spans="1:10" s="16" customFormat="1" ht="15" hidden="1">
      <c r="A580" s="332" t="s">
        <v>449</v>
      </c>
      <c r="B580" s="316"/>
      <c r="C580" s="279" t="s">
        <v>5</v>
      </c>
      <c r="D580" s="280" t="s">
        <v>98</v>
      </c>
      <c r="E580" s="280" t="s">
        <v>529</v>
      </c>
      <c r="F580" s="281" t="s">
        <v>112</v>
      </c>
      <c r="G580" s="185"/>
      <c r="H580" s="14"/>
      <c r="I580" s="14"/>
      <c r="J580" s="38">
        <f>SUM('ведомствен.2015'!G458)</f>
        <v>0</v>
      </c>
    </row>
    <row r="581" spans="1:10" s="16" customFormat="1" ht="15" hidden="1">
      <c r="A581" s="337" t="s">
        <v>454</v>
      </c>
      <c r="B581" s="316"/>
      <c r="C581" s="279" t="s">
        <v>5</v>
      </c>
      <c r="D581" s="280" t="s">
        <v>98</v>
      </c>
      <c r="E581" s="280" t="s">
        <v>529</v>
      </c>
      <c r="F581" s="281" t="s">
        <v>455</v>
      </c>
      <c r="G581" s="185"/>
      <c r="H581" s="14">
        <f>SUM(H582)</f>
        <v>4118.3</v>
      </c>
      <c r="I581" s="14">
        <f>SUM(H581/G630*100)</f>
        <v>4118.3</v>
      </c>
      <c r="J581" s="16">
        <f>SUM('ведомствен.2015'!G459)</f>
        <v>0</v>
      </c>
    </row>
    <row r="582" spans="1:10" s="16" customFormat="1" ht="28.5">
      <c r="A582" s="337" t="s">
        <v>163</v>
      </c>
      <c r="B582" s="316"/>
      <c r="C582" s="279" t="s">
        <v>5</v>
      </c>
      <c r="D582" s="280" t="s">
        <v>98</v>
      </c>
      <c r="E582" s="280" t="s">
        <v>164</v>
      </c>
      <c r="F582" s="281"/>
      <c r="G582" s="185">
        <f>SUM(G583)</f>
        <v>538</v>
      </c>
      <c r="H582" s="14">
        <v>4118.3</v>
      </c>
      <c r="I582" s="14">
        <f>SUM(H582/G634*100)</f>
        <v>3.9474617503675917</v>
      </c>
      <c r="J582" s="38"/>
    </row>
    <row r="583" spans="1:9" s="16" customFormat="1" ht="15">
      <c r="A583" s="337" t="s">
        <v>165</v>
      </c>
      <c r="B583" s="316"/>
      <c r="C583" s="279" t="s">
        <v>5</v>
      </c>
      <c r="D583" s="280" t="s">
        <v>98</v>
      </c>
      <c r="E583" s="280" t="s">
        <v>166</v>
      </c>
      <c r="F583" s="281"/>
      <c r="G583" s="185">
        <f>SUM(G584:G585)</f>
        <v>538</v>
      </c>
      <c r="H583" s="14">
        <f>SUM(H585)</f>
        <v>5628.5</v>
      </c>
      <c r="I583" s="14" t="e">
        <f>SUM(H583/#REF!*100)</f>
        <v>#REF!</v>
      </c>
    </row>
    <row r="584" spans="1:10" s="16" customFormat="1" ht="28.5">
      <c r="A584" s="187" t="s">
        <v>697</v>
      </c>
      <c r="B584" s="316"/>
      <c r="C584" s="279" t="s">
        <v>5</v>
      </c>
      <c r="D584" s="280" t="s">
        <v>98</v>
      </c>
      <c r="E584" s="280" t="s">
        <v>166</v>
      </c>
      <c r="F584" s="281" t="s">
        <v>112</v>
      </c>
      <c r="G584" s="185">
        <v>475</v>
      </c>
      <c r="H584" s="14"/>
      <c r="I584" s="14"/>
      <c r="J584" s="16">
        <f>SUM('ведомствен.2015'!G462)</f>
        <v>475</v>
      </c>
    </row>
    <row r="585" spans="1:10" s="16" customFormat="1" ht="15">
      <c r="A585" s="337" t="s">
        <v>454</v>
      </c>
      <c r="B585" s="316"/>
      <c r="C585" s="279" t="s">
        <v>5</v>
      </c>
      <c r="D585" s="280" t="s">
        <v>98</v>
      </c>
      <c r="E585" s="280" t="s">
        <v>166</v>
      </c>
      <c r="F585" s="281" t="s">
        <v>455</v>
      </c>
      <c r="G585" s="185">
        <v>63</v>
      </c>
      <c r="H585" s="14">
        <f>SUM(H626)</f>
        <v>5628.5</v>
      </c>
      <c r="I585" s="14" t="e">
        <f>SUM(H585/#REF!*100)</f>
        <v>#REF!</v>
      </c>
      <c r="J585" s="16">
        <f>SUM('ведомствен.2015'!G463)</f>
        <v>63</v>
      </c>
    </row>
    <row r="586" spans="1:9" s="16" customFormat="1" ht="42.75">
      <c r="A586" s="345" t="s">
        <v>603</v>
      </c>
      <c r="B586" s="326"/>
      <c r="C586" s="296" t="s">
        <v>5</v>
      </c>
      <c r="D586" s="297" t="s">
        <v>98</v>
      </c>
      <c r="E586" s="297" t="s">
        <v>604</v>
      </c>
      <c r="F586" s="298"/>
      <c r="G586" s="308">
        <f>G587</f>
        <v>317423.9</v>
      </c>
      <c r="H586" s="14"/>
      <c r="I586" s="14"/>
    </row>
    <row r="587" spans="1:9" s="16" customFormat="1" ht="114">
      <c r="A587" s="345" t="s">
        <v>605</v>
      </c>
      <c r="B587" s="326"/>
      <c r="C587" s="296" t="s">
        <v>5</v>
      </c>
      <c r="D587" s="297" t="s">
        <v>98</v>
      </c>
      <c r="E587" s="297" t="s">
        <v>606</v>
      </c>
      <c r="F587" s="298"/>
      <c r="G587" s="308">
        <f>G588+G591+G594+G597+G600+G603+G606</f>
        <v>317423.9</v>
      </c>
      <c r="H587" s="14"/>
      <c r="I587" s="14"/>
    </row>
    <row r="588" spans="1:9" s="16" customFormat="1" ht="71.25">
      <c r="A588" s="346" t="s">
        <v>424</v>
      </c>
      <c r="B588" s="326"/>
      <c r="C588" s="296" t="s">
        <v>5</v>
      </c>
      <c r="D588" s="297" t="s">
        <v>98</v>
      </c>
      <c r="E588" s="297" t="s">
        <v>607</v>
      </c>
      <c r="F588" s="298"/>
      <c r="G588" s="308">
        <f>G589+G590</f>
        <v>92581.2</v>
      </c>
      <c r="H588" s="14"/>
      <c r="I588" s="14"/>
    </row>
    <row r="589" spans="1:10" s="16" customFormat="1" ht="28.5">
      <c r="A589" s="187" t="s">
        <v>697</v>
      </c>
      <c r="B589" s="326"/>
      <c r="C589" s="296" t="s">
        <v>5</v>
      </c>
      <c r="D589" s="297" t="s">
        <v>98</v>
      </c>
      <c r="E589" s="297" t="s">
        <v>607</v>
      </c>
      <c r="F589" s="298" t="s">
        <v>112</v>
      </c>
      <c r="G589" s="308">
        <v>1424.9</v>
      </c>
      <c r="H589" s="14"/>
      <c r="I589" s="14"/>
      <c r="J589" s="16">
        <f>SUM('ведомствен.2015'!G467)</f>
        <v>1424.9</v>
      </c>
    </row>
    <row r="590" spans="1:10" s="16" customFormat="1" ht="15">
      <c r="A590" s="345" t="s">
        <v>454</v>
      </c>
      <c r="B590" s="326"/>
      <c r="C590" s="296" t="s">
        <v>5</v>
      </c>
      <c r="D590" s="297" t="s">
        <v>98</v>
      </c>
      <c r="E590" s="297" t="s">
        <v>607</v>
      </c>
      <c r="F590" s="298" t="s">
        <v>455</v>
      </c>
      <c r="G590" s="308">
        <v>91156.3</v>
      </c>
      <c r="H590" s="14"/>
      <c r="I590" s="14"/>
      <c r="J590" s="16">
        <f>SUM('ведомствен.2015'!G468)</f>
        <v>91156.3</v>
      </c>
    </row>
    <row r="591" spans="1:9" s="16" customFormat="1" ht="85.5">
      <c r="A591" s="346" t="s">
        <v>523</v>
      </c>
      <c r="B591" s="326"/>
      <c r="C591" s="296" t="s">
        <v>5</v>
      </c>
      <c r="D591" s="297" t="s">
        <v>98</v>
      </c>
      <c r="E591" s="297" t="s">
        <v>608</v>
      </c>
      <c r="F591" s="298"/>
      <c r="G591" s="308">
        <f>G592+G593</f>
        <v>97707.6</v>
      </c>
      <c r="H591" s="14"/>
      <c r="I591" s="14"/>
    </row>
    <row r="592" spans="1:10" s="16" customFormat="1" ht="28.5">
      <c r="A592" s="187" t="s">
        <v>697</v>
      </c>
      <c r="B592" s="326"/>
      <c r="C592" s="296" t="s">
        <v>5</v>
      </c>
      <c r="D592" s="297" t="s">
        <v>98</v>
      </c>
      <c r="E592" s="297" t="s">
        <v>608</v>
      </c>
      <c r="F592" s="298" t="s">
        <v>112</v>
      </c>
      <c r="G592" s="308">
        <v>3968.1</v>
      </c>
      <c r="H592" s="14"/>
      <c r="I592" s="14"/>
      <c r="J592" s="16">
        <f>SUM('ведомствен.2015'!G470)</f>
        <v>3968.1</v>
      </c>
    </row>
    <row r="593" spans="1:10" s="16" customFormat="1" ht="15">
      <c r="A593" s="345" t="s">
        <v>454</v>
      </c>
      <c r="B593" s="326"/>
      <c r="C593" s="296" t="s">
        <v>5</v>
      </c>
      <c r="D593" s="297" t="s">
        <v>98</v>
      </c>
      <c r="E593" s="297" t="s">
        <v>608</v>
      </c>
      <c r="F593" s="298" t="s">
        <v>455</v>
      </c>
      <c r="G593" s="308">
        <v>93739.5</v>
      </c>
      <c r="H593" s="14"/>
      <c r="I593" s="14"/>
      <c r="J593" s="16">
        <f>SUM('ведомствен.2015'!G471)</f>
        <v>93739.5</v>
      </c>
    </row>
    <row r="594" spans="1:9" s="16" customFormat="1" ht="85.5">
      <c r="A594" s="342" t="s">
        <v>425</v>
      </c>
      <c r="B594" s="326"/>
      <c r="C594" s="296" t="s">
        <v>5</v>
      </c>
      <c r="D594" s="297" t="s">
        <v>98</v>
      </c>
      <c r="E594" s="297" t="s">
        <v>609</v>
      </c>
      <c r="F594" s="298"/>
      <c r="G594" s="308">
        <f>SUM(G595)+G596</f>
        <v>3669.3999999999996</v>
      </c>
      <c r="H594" s="14"/>
      <c r="I594" s="14"/>
    </row>
    <row r="595" spans="1:10" s="16" customFormat="1" ht="28.5">
      <c r="A595" s="187" t="s">
        <v>697</v>
      </c>
      <c r="B595" s="326"/>
      <c r="C595" s="296" t="s">
        <v>5</v>
      </c>
      <c r="D595" s="297" t="s">
        <v>98</v>
      </c>
      <c r="E595" s="297" t="s">
        <v>609</v>
      </c>
      <c r="F595" s="298" t="s">
        <v>112</v>
      </c>
      <c r="G595" s="308">
        <v>58.2</v>
      </c>
      <c r="H595" s="14"/>
      <c r="I595" s="14"/>
      <c r="J595" s="16">
        <f>SUM('ведомствен.2015'!G473)</f>
        <v>58.2</v>
      </c>
    </row>
    <row r="596" spans="1:10" s="16" customFormat="1" ht="15">
      <c r="A596" s="345" t="s">
        <v>454</v>
      </c>
      <c r="B596" s="326"/>
      <c r="C596" s="296" t="s">
        <v>5</v>
      </c>
      <c r="D596" s="297" t="s">
        <v>98</v>
      </c>
      <c r="E596" s="297" t="s">
        <v>609</v>
      </c>
      <c r="F596" s="298" t="s">
        <v>455</v>
      </c>
      <c r="G596" s="308">
        <v>3611.2</v>
      </c>
      <c r="H596" s="14"/>
      <c r="I596" s="14"/>
      <c r="J596" s="16">
        <f>SUM('ведомствен.2015'!G474)</f>
        <v>3611.2</v>
      </c>
    </row>
    <row r="597" spans="1:9" s="16" customFormat="1" ht="99.75">
      <c r="A597" s="342" t="s">
        <v>426</v>
      </c>
      <c r="B597" s="326"/>
      <c r="C597" s="296" t="s">
        <v>5</v>
      </c>
      <c r="D597" s="297" t="s">
        <v>98</v>
      </c>
      <c r="E597" s="297" t="s">
        <v>610</v>
      </c>
      <c r="F597" s="298"/>
      <c r="G597" s="308">
        <f>G598+G599</f>
        <v>5327.200000000001</v>
      </c>
      <c r="H597" s="14"/>
      <c r="I597" s="14"/>
    </row>
    <row r="598" spans="1:10" s="16" customFormat="1" ht="28.5">
      <c r="A598" s="187" t="s">
        <v>697</v>
      </c>
      <c r="B598" s="326"/>
      <c r="C598" s="296" t="s">
        <v>5</v>
      </c>
      <c r="D598" s="297" t="s">
        <v>98</v>
      </c>
      <c r="E598" s="297" t="s">
        <v>610</v>
      </c>
      <c r="F598" s="298" t="s">
        <v>112</v>
      </c>
      <c r="G598" s="308">
        <v>193.1</v>
      </c>
      <c r="H598" s="14"/>
      <c r="I598" s="14"/>
      <c r="J598" s="16">
        <f>SUM('ведомствен.2015'!G476)</f>
        <v>193.1</v>
      </c>
    </row>
    <row r="599" spans="1:10" s="16" customFormat="1" ht="15">
      <c r="A599" s="345" t="s">
        <v>454</v>
      </c>
      <c r="B599" s="326"/>
      <c r="C599" s="296" t="s">
        <v>5</v>
      </c>
      <c r="D599" s="297" t="s">
        <v>98</v>
      </c>
      <c r="E599" s="297" t="s">
        <v>610</v>
      </c>
      <c r="F599" s="298" t="s">
        <v>455</v>
      </c>
      <c r="G599" s="308">
        <v>5134.1</v>
      </c>
      <c r="H599" s="14"/>
      <c r="I599" s="14"/>
      <c r="J599" s="16">
        <f>SUM('ведомствен.2015'!G477)</f>
        <v>5134.1</v>
      </c>
    </row>
    <row r="600" spans="1:9" s="16" customFormat="1" ht="57">
      <c r="A600" s="345" t="s">
        <v>427</v>
      </c>
      <c r="B600" s="326"/>
      <c r="C600" s="296" t="s">
        <v>5</v>
      </c>
      <c r="D600" s="297" t="s">
        <v>98</v>
      </c>
      <c r="E600" s="297" t="s">
        <v>611</v>
      </c>
      <c r="F600" s="298"/>
      <c r="G600" s="308">
        <f>SUM(G602)+G601</f>
        <v>117203.1</v>
      </c>
      <c r="H600" s="14"/>
      <c r="I600" s="14"/>
    </row>
    <row r="601" spans="1:10" s="16" customFormat="1" ht="28.5">
      <c r="A601" s="187" t="s">
        <v>697</v>
      </c>
      <c r="B601" s="326"/>
      <c r="C601" s="296" t="s">
        <v>5</v>
      </c>
      <c r="D601" s="297" t="s">
        <v>98</v>
      </c>
      <c r="E601" s="297" t="s">
        <v>611</v>
      </c>
      <c r="F601" s="298" t="s">
        <v>112</v>
      </c>
      <c r="G601" s="308">
        <v>1732.1</v>
      </c>
      <c r="H601" s="14"/>
      <c r="I601" s="14"/>
      <c r="J601" s="16">
        <f>SUM('ведомствен.2015'!G479)</f>
        <v>1732.1</v>
      </c>
    </row>
    <row r="602" spans="1:10" s="16" customFormat="1" ht="15">
      <c r="A602" s="345" t="s">
        <v>454</v>
      </c>
      <c r="B602" s="326"/>
      <c r="C602" s="296" t="s">
        <v>5</v>
      </c>
      <c r="D602" s="297" t="s">
        <v>98</v>
      </c>
      <c r="E602" s="297" t="s">
        <v>611</v>
      </c>
      <c r="F602" s="298" t="s">
        <v>455</v>
      </c>
      <c r="G602" s="308">
        <v>115471</v>
      </c>
      <c r="H602" s="14"/>
      <c r="I602" s="14"/>
      <c r="J602" s="16">
        <f>SUM('ведомствен.2015'!G480)</f>
        <v>115471</v>
      </c>
    </row>
    <row r="603" spans="1:9" s="16" customFormat="1" ht="85.5">
      <c r="A603" s="345" t="s">
        <v>428</v>
      </c>
      <c r="B603" s="326"/>
      <c r="C603" s="296" t="s">
        <v>5</v>
      </c>
      <c r="D603" s="297" t="s">
        <v>98</v>
      </c>
      <c r="E603" s="297" t="s">
        <v>612</v>
      </c>
      <c r="F603" s="298"/>
      <c r="G603" s="308">
        <f>G605+G604</f>
        <v>774.2</v>
      </c>
      <c r="H603" s="14"/>
      <c r="I603" s="14"/>
    </row>
    <row r="604" spans="1:10" s="16" customFormat="1" ht="28.5">
      <c r="A604" s="187" t="s">
        <v>697</v>
      </c>
      <c r="B604" s="326"/>
      <c r="C604" s="296" t="s">
        <v>5</v>
      </c>
      <c r="D604" s="297" t="s">
        <v>98</v>
      </c>
      <c r="E604" s="297" t="s">
        <v>612</v>
      </c>
      <c r="F604" s="298" t="s">
        <v>112</v>
      </c>
      <c r="G604" s="308">
        <v>29.1</v>
      </c>
      <c r="H604" s="14"/>
      <c r="I604" s="14"/>
      <c r="J604" s="16">
        <f>SUM('ведомствен.2015'!G482)</f>
        <v>29.1</v>
      </c>
    </row>
    <row r="605" spans="1:10" s="16" customFormat="1" ht="15">
      <c r="A605" s="345" t="s">
        <v>454</v>
      </c>
      <c r="B605" s="326"/>
      <c r="C605" s="296" t="s">
        <v>5</v>
      </c>
      <c r="D605" s="297" t="s">
        <v>98</v>
      </c>
      <c r="E605" s="297" t="s">
        <v>612</v>
      </c>
      <c r="F605" s="298" t="s">
        <v>455</v>
      </c>
      <c r="G605" s="308">
        <v>745.1</v>
      </c>
      <c r="H605" s="14"/>
      <c r="I605" s="14"/>
      <c r="J605" s="16">
        <f>SUM('ведомствен.2015'!G483)</f>
        <v>745.1</v>
      </c>
    </row>
    <row r="606" spans="1:9" s="16" customFormat="1" ht="71.25">
      <c r="A606" s="345" t="s">
        <v>524</v>
      </c>
      <c r="B606" s="326"/>
      <c r="C606" s="296" t="s">
        <v>5</v>
      </c>
      <c r="D606" s="297" t="s">
        <v>98</v>
      </c>
      <c r="E606" s="297" t="s">
        <v>613</v>
      </c>
      <c r="F606" s="298"/>
      <c r="G606" s="308">
        <f>SUM(G608)+G607</f>
        <v>161.20000000000002</v>
      </c>
      <c r="H606" s="14"/>
      <c r="I606" s="14"/>
    </row>
    <row r="607" spans="1:10" s="16" customFormat="1" ht="28.5">
      <c r="A607" s="187" t="s">
        <v>697</v>
      </c>
      <c r="B607" s="326"/>
      <c r="C607" s="296" t="s">
        <v>5</v>
      </c>
      <c r="D607" s="297" t="s">
        <v>98</v>
      </c>
      <c r="E607" s="297" t="s">
        <v>613</v>
      </c>
      <c r="F607" s="298" t="s">
        <v>112</v>
      </c>
      <c r="G607" s="308">
        <v>2.4</v>
      </c>
      <c r="H607" s="14"/>
      <c r="I607" s="14"/>
      <c r="J607" s="16">
        <f>SUM('ведомствен.2015'!G485)</f>
        <v>2.4</v>
      </c>
    </row>
    <row r="608" spans="1:10" s="16" customFormat="1" ht="15">
      <c r="A608" s="345" t="s">
        <v>454</v>
      </c>
      <c r="B608" s="326"/>
      <c r="C608" s="296" t="s">
        <v>5</v>
      </c>
      <c r="D608" s="297" t="s">
        <v>98</v>
      </c>
      <c r="E608" s="297" t="s">
        <v>613</v>
      </c>
      <c r="F608" s="298" t="s">
        <v>455</v>
      </c>
      <c r="G608" s="308">
        <v>158.8</v>
      </c>
      <c r="H608" s="14"/>
      <c r="I608" s="14"/>
      <c r="J608" s="16">
        <f>SUM('ведомствен.2015'!G486)</f>
        <v>158.8</v>
      </c>
    </row>
    <row r="609" spans="1:9" s="16" customFormat="1" ht="28.5">
      <c r="A609" s="345" t="s">
        <v>614</v>
      </c>
      <c r="B609" s="326"/>
      <c r="C609" s="296" t="s">
        <v>5</v>
      </c>
      <c r="D609" s="297" t="s">
        <v>98</v>
      </c>
      <c r="E609" s="297" t="s">
        <v>595</v>
      </c>
      <c r="F609" s="298"/>
      <c r="G609" s="308">
        <f>G610+G623</f>
        <v>133990.7</v>
      </c>
      <c r="H609" s="14"/>
      <c r="I609" s="14"/>
    </row>
    <row r="610" spans="1:9" s="16" customFormat="1" ht="99.75">
      <c r="A610" s="345" t="s">
        <v>615</v>
      </c>
      <c r="B610" s="326"/>
      <c r="C610" s="296" t="s">
        <v>5</v>
      </c>
      <c r="D610" s="297" t="s">
        <v>98</v>
      </c>
      <c r="E610" s="297" t="s">
        <v>616</v>
      </c>
      <c r="F610" s="298"/>
      <c r="G610" s="308">
        <f>G611+G614+G617+G620</f>
        <v>51800.399999999994</v>
      </c>
      <c r="H610" s="14"/>
      <c r="I610" s="14"/>
    </row>
    <row r="611" spans="1:9" s="16" customFormat="1" ht="57" hidden="1">
      <c r="A611" s="345" t="s">
        <v>422</v>
      </c>
      <c r="B611" s="326"/>
      <c r="C611" s="296" t="s">
        <v>5</v>
      </c>
      <c r="D611" s="297" t="s">
        <v>98</v>
      </c>
      <c r="E611" s="297" t="s">
        <v>617</v>
      </c>
      <c r="F611" s="298"/>
      <c r="G611" s="308">
        <f>G612+G613</f>
        <v>0</v>
      </c>
      <c r="H611" s="14"/>
      <c r="I611" s="14"/>
    </row>
    <row r="612" spans="1:10" s="16" customFormat="1" ht="15" hidden="1">
      <c r="A612" s="345" t="s">
        <v>449</v>
      </c>
      <c r="B612" s="326"/>
      <c r="C612" s="296" t="s">
        <v>5</v>
      </c>
      <c r="D612" s="297" t="s">
        <v>98</v>
      </c>
      <c r="E612" s="297" t="s">
        <v>617</v>
      </c>
      <c r="F612" s="298" t="s">
        <v>112</v>
      </c>
      <c r="G612" s="308"/>
      <c r="H612" s="14"/>
      <c r="I612" s="14"/>
      <c r="J612" s="16">
        <f>SUM('ведомствен.2015'!G490)</f>
        <v>0</v>
      </c>
    </row>
    <row r="613" spans="1:10" s="16" customFormat="1" ht="15" hidden="1">
      <c r="A613" s="345" t="s">
        <v>454</v>
      </c>
      <c r="B613" s="326"/>
      <c r="C613" s="296" t="s">
        <v>5</v>
      </c>
      <c r="D613" s="297" t="s">
        <v>98</v>
      </c>
      <c r="E613" s="297" t="s">
        <v>617</v>
      </c>
      <c r="F613" s="298" t="s">
        <v>455</v>
      </c>
      <c r="G613" s="308"/>
      <c r="H613" s="14"/>
      <c r="I613" s="14"/>
      <c r="J613" s="16">
        <f>SUM('ведомствен.2015'!G491)</f>
        <v>0</v>
      </c>
    </row>
    <row r="614" spans="1:9" s="16" customFormat="1" ht="28.5">
      <c r="A614" s="342" t="s">
        <v>423</v>
      </c>
      <c r="B614" s="326"/>
      <c r="C614" s="296" t="s">
        <v>5</v>
      </c>
      <c r="D614" s="297" t="s">
        <v>98</v>
      </c>
      <c r="E614" s="297" t="s">
        <v>618</v>
      </c>
      <c r="F614" s="298"/>
      <c r="G614" s="308">
        <f>SUM(G615)+G616</f>
        <v>41789.1</v>
      </c>
      <c r="H614" s="14"/>
      <c r="I614" s="14"/>
    </row>
    <row r="615" spans="1:10" s="16" customFormat="1" ht="28.5">
      <c r="A615" s="187" t="s">
        <v>697</v>
      </c>
      <c r="B615" s="326"/>
      <c r="C615" s="296" t="s">
        <v>5</v>
      </c>
      <c r="D615" s="297" t="s">
        <v>98</v>
      </c>
      <c r="E615" s="297" t="s">
        <v>618</v>
      </c>
      <c r="F615" s="298" t="s">
        <v>112</v>
      </c>
      <c r="G615" s="308">
        <v>617.6</v>
      </c>
      <c r="H615" s="14"/>
      <c r="I615" s="14"/>
      <c r="J615" s="16">
        <f>SUM('ведомствен.2015'!G493)</f>
        <v>617.6</v>
      </c>
    </row>
    <row r="616" spans="1:10" s="16" customFormat="1" ht="15">
      <c r="A616" s="345" t="s">
        <v>454</v>
      </c>
      <c r="B616" s="326"/>
      <c r="C616" s="296" t="s">
        <v>5</v>
      </c>
      <c r="D616" s="297" t="s">
        <v>98</v>
      </c>
      <c r="E616" s="297" t="s">
        <v>618</v>
      </c>
      <c r="F616" s="298" t="s">
        <v>455</v>
      </c>
      <c r="G616" s="308">
        <v>41171.5</v>
      </c>
      <c r="H616" s="14"/>
      <c r="I616" s="14"/>
      <c r="J616" s="16">
        <f>SUM('ведомствен.2015'!G494)</f>
        <v>41171.5</v>
      </c>
    </row>
    <row r="617" spans="1:9" s="16" customFormat="1" ht="28.5">
      <c r="A617" s="345" t="s">
        <v>430</v>
      </c>
      <c r="B617" s="326"/>
      <c r="C617" s="296" t="s">
        <v>5</v>
      </c>
      <c r="D617" s="297" t="s">
        <v>98</v>
      </c>
      <c r="E617" s="297" t="s">
        <v>619</v>
      </c>
      <c r="F617" s="298"/>
      <c r="G617" s="308">
        <f>SUM(G619)+G618</f>
        <v>5357.2</v>
      </c>
      <c r="H617" s="14"/>
      <c r="I617" s="14"/>
    </row>
    <row r="618" spans="1:10" s="16" customFormat="1" ht="28.5">
      <c r="A618" s="187" t="s">
        <v>697</v>
      </c>
      <c r="B618" s="326"/>
      <c r="C618" s="296" t="s">
        <v>5</v>
      </c>
      <c r="D618" s="297" t="s">
        <v>98</v>
      </c>
      <c r="E618" s="297" t="s">
        <v>619</v>
      </c>
      <c r="F618" s="298" t="s">
        <v>112</v>
      </c>
      <c r="G618" s="308">
        <v>79.2</v>
      </c>
      <c r="H618" s="14"/>
      <c r="I618" s="14"/>
      <c r="J618" s="16">
        <f>SUM('ведомствен.2015'!G496)</f>
        <v>79.2</v>
      </c>
    </row>
    <row r="619" spans="1:10" s="16" customFormat="1" ht="15">
      <c r="A619" s="345" t="s">
        <v>454</v>
      </c>
      <c r="B619" s="326"/>
      <c r="C619" s="296" t="s">
        <v>5</v>
      </c>
      <c r="D619" s="297" t="s">
        <v>98</v>
      </c>
      <c r="E619" s="297" t="s">
        <v>619</v>
      </c>
      <c r="F619" s="298" t="s">
        <v>455</v>
      </c>
      <c r="G619" s="308">
        <v>5278</v>
      </c>
      <c r="H619" s="14"/>
      <c r="I619" s="14"/>
      <c r="J619" s="16">
        <f>SUM('ведомствен.2015'!G497)</f>
        <v>5278</v>
      </c>
    </row>
    <row r="620" spans="1:9" s="16" customFormat="1" ht="42.75">
      <c r="A620" s="345" t="s">
        <v>432</v>
      </c>
      <c r="B620" s="326"/>
      <c r="C620" s="296" t="s">
        <v>5</v>
      </c>
      <c r="D620" s="297" t="s">
        <v>98</v>
      </c>
      <c r="E620" s="297" t="s">
        <v>620</v>
      </c>
      <c r="F620" s="298"/>
      <c r="G620" s="308">
        <f>SUM(G622)+G621</f>
        <v>4654.1</v>
      </c>
      <c r="H620" s="14"/>
      <c r="I620" s="14"/>
    </row>
    <row r="621" spans="1:10" s="16" customFormat="1" ht="28.5">
      <c r="A621" s="187" t="s">
        <v>697</v>
      </c>
      <c r="B621" s="326"/>
      <c r="C621" s="296" t="s">
        <v>5</v>
      </c>
      <c r="D621" s="297" t="s">
        <v>98</v>
      </c>
      <c r="E621" s="297" t="s">
        <v>620</v>
      </c>
      <c r="F621" s="298" t="s">
        <v>112</v>
      </c>
      <c r="G621" s="308">
        <v>68.8</v>
      </c>
      <c r="H621" s="14"/>
      <c r="I621" s="14"/>
      <c r="J621" s="16">
        <f>SUM('ведомствен.2015'!G499)</f>
        <v>68.8</v>
      </c>
    </row>
    <row r="622" spans="1:10" s="16" customFormat="1" ht="15">
      <c r="A622" s="345" t="s">
        <v>454</v>
      </c>
      <c r="B622" s="326"/>
      <c r="C622" s="296" t="s">
        <v>5</v>
      </c>
      <c r="D622" s="297" t="s">
        <v>98</v>
      </c>
      <c r="E622" s="297" t="s">
        <v>620</v>
      </c>
      <c r="F622" s="298" t="s">
        <v>455</v>
      </c>
      <c r="G622" s="308">
        <v>4585.3</v>
      </c>
      <c r="H622" s="14"/>
      <c r="I622" s="14"/>
      <c r="J622" s="16">
        <f>SUM('ведомствен.2015'!G500)</f>
        <v>4585.3</v>
      </c>
    </row>
    <row r="623" spans="1:9" s="16" customFormat="1" ht="114">
      <c r="A623" s="337" t="s">
        <v>621</v>
      </c>
      <c r="B623" s="326"/>
      <c r="C623" s="296" t="s">
        <v>5</v>
      </c>
      <c r="D623" s="297" t="s">
        <v>98</v>
      </c>
      <c r="E623" s="297" t="s">
        <v>622</v>
      </c>
      <c r="F623" s="298"/>
      <c r="G623" s="308">
        <f>SUM(G624:G625)</f>
        <v>82190.3</v>
      </c>
      <c r="H623" s="14"/>
      <c r="I623" s="14"/>
    </row>
    <row r="624" spans="1:10" s="16" customFormat="1" ht="28.5">
      <c r="A624" s="187" t="s">
        <v>697</v>
      </c>
      <c r="B624" s="407"/>
      <c r="C624" s="254" t="s">
        <v>5</v>
      </c>
      <c r="D624" s="228" t="s">
        <v>98</v>
      </c>
      <c r="E624" s="228" t="s">
        <v>622</v>
      </c>
      <c r="F624" s="255" t="s">
        <v>112</v>
      </c>
      <c r="G624" s="234">
        <v>5.2</v>
      </c>
      <c r="H624" s="14"/>
      <c r="I624" s="14"/>
      <c r="J624" s="16">
        <f>SUM('ведомствен.2015'!G502)</f>
        <v>5.2</v>
      </c>
    </row>
    <row r="625" spans="1:10" s="16" customFormat="1" ht="15">
      <c r="A625" s="345" t="s">
        <v>454</v>
      </c>
      <c r="B625" s="326"/>
      <c r="C625" s="296" t="s">
        <v>5</v>
      </c>
      <c r="D625" s="297" t="s">
        <v>98</v>
      </c>
      <c r="E625" s="297" t="s">
        <v>622</v>
      </c>
      <c r="F625" s="298" t="s">
        <v>455</v>
      </c>
      <c r="G625" s="308">
        <v>82185.1</v>
      </c>
      <c r="H625" s="14"/>
      <c r="I625" s="14"/>
      <c r="J625" s="16">
        <f>SUM('ведомствен.2015'!G503)</f>
        <v>82185.1</v>
      </c>
    </row>
    <row r="626" spans="1:9" s="16" customFormat="1" ht="15">
      <c r="A626" s="337" t="s">
        <v>530</v>
      </c>
      <c r="B626" s="316"/>
      <c r="C626" s="279" t="s">
        <v>5</v>
      </c>
      <c r="D626" s="280" t="s">
        <v>98</v>
      </c>
      <c r="E626" s="280" t="s">
        <v>121</v>
      </c>
      <c r="F626" s="281"/>
      <c r="G626" s="185">
        <f>G629+G627+G631</f>
        <v>1200</v>
      </c>
      <c r="H626" s="18">
        <v>5628.5</v>
      </c>
      <c r="I626" s="14" t="e">
        <f>SUM(H626/#REF!*100)</f>
        <v>#REF!</v>
      </c>
    </row>
    <row r="627" spans="1:9" s="16" customFormat="1" ht="42.75">
      <c r="A627" s="158" t="s">
        <v>575</v>
      </c>
      <c r="B627" s="312"/>
      <c r="C627" s="63" t="s">
        <v>5</v>
      </c>
      <c r="D627" s="75" t="s">
        <v>98</v>
      </c>
      <c r="E627" s="124" t="s">
        <v>576</v>
      </c>
      <c r="F627" s="133"/>
      <c r="G627" s="180">
        <f>SUM(G628)</f>
        <v>100</v>
      </c>
      <c r="H627" s="18"/>
      <c r="I627" s="14"/>
    </row>
    <row r="628" spans="1:10" s="16" customFormat="1" ht="15">
      <c r="A628" s="332" t="s">
        <v>454</v>
      </c>
      <c r="B628" s="312"/>
      <c r="C628" s="63" t="s">
        <v>5</v>
      </c>
      <c r="D628" s="75" t="s">
        <v>98</v>
      </c>
      <c r="E628" s="124" t="s">
        <v>576</v>
      </c>
      <c r="F628" s="133" t="s">
        <v>455</v>
      </c>
      <c r="G628" s="180">
        <v>100</v>
      </c>
      <c r="H628" s="18"/>
      <c r="I628" s="14"/>
      <c r="J628" s="16">
        <f>SUM('ведомствен.2015'!G294)</f>
        <v>100</v>
      </c>
    </row>
    <row r="629" spans="1:9" s="16" customFormat="1" ht="42.75">
      <c r="A629" s="337" t="s">
        <v>531</v>
      </c>
      <c r="B629" s="316"/>
      <c r="C629" s="279" t="s">
        <v>5</v>
      </c>
      <c r="D629" s="280" t="s">
        <v>98</v>
      </c>
      <c r="E629" s="280" t="s">
        <v>532</v>
      </c>
      <c r="F629" s="281"/>
      <c r="G629" s="185">
        <f>G630</f>
        <v>100</v>
      </c>
      <c r="H629" s="14">
        <f>SUM(H630)</f>
        <v>12.8</v>
      </c>
      <c r="I629" s="14" t="e">
        <f>SUM(H629/#REF!*100)</f>
        <v>#REF!</v>
      </c>
    </row>
    <row r="630" spans="1:10" s="16" customFormat="1" ht="28.5">
      <c r="A630" s="341" t="s">
        <v>463</v>
      </c>
      <c r="B630" s="316"/>
      <c r="C630" s="279" t="s">
        <v>5</v>
      </c>
      <c r="D630" s="280" t="s">
        <v>98</v>
      </c>
      <c r="E630" s="280" t="s">
        <v>532</v>
      </c>
      <c r="F630" s="281" t="s">
        <v>461</v>
      </c>
      <c r="G630" s="185">
        <v>100</v>
      </c>
      <c r="H630" s="14">
        <v>12.8</v>
      </c>
      <c r="I630" s="14" t="e">
        <f>SUM(H630/#REF!*100)</f>
        <v>#REF!</v>
      </c>
      <c r="J630" s="16">
        <f>SUM('ведомствен.2015'!G506)</f>
        <v>100</v>
      </c>
    </row>
    <row r="631" spans="1:9" s="16" customFormat="1" ht="42.75">
      <c r="A631" s="347" t="s">
        <v>580</v>
      </c>
      <c r="B631" s="327"/>
      <c r="C631" s="186" t="s">
        <v>5</v>
      </c>
      <c r="D631" s="153" t="s">
        <v>98</v>
      </c>
      <c r="E631" s="153" t="s">
        <v>577</v>
      </c>
      <c r="F631" s="154"/>
      <c r="G631" s="180">
        <f>SUM(G632)</f>
        <v>1000</v>
      </c>
      <c r="H631" s="14"/>
      <c r="I631" s="14"/>
    </row>
    <row r="632" spans="1:9" s="16" customFormat="1" ht="28.5">
      <c r="A632" s="348" t="s">
        <v>578</v>
      </c>
      <c r="B632" s="328"/>
      <c r="C632" s="186" t="s">
        <v>5</v>
      </c>
      <c r="D632" s="153" t="s">
        <v>98</v>
      </c>
      <c r="E632" s="153" t="s">
        <v>579</v>
      </c>
      <c r="F632" s="154"/>
      <c r="G632" s="180">
        <f>SUM(G633)</f>
        <v>1000</v>
      </c>
      <c r="H632" s="14"/>
      <c r="I632" s="14"/>
    </row>
    <row r="633" spans="1:10" s="16" customFormat="1" ht="15">
      <c r="A633" s="333" t="s">
        <v>454</v>
      </c>
      <c r="B633" s="329"/>
      <c r="C633" s="186" t="s">
        <v>5</v>
      </c>
      <c r="D633" s="153" t="s">
        <v>98</v>
      </c>
      <c r="E633" s="153" t="s">
        <v>579</v>
      </c>
      <c r="F633" s="155" t="s">
        <v>455</v>
      </c>
      <c r="G633" s="180">
        <v>1000</v>
      </c>
      <c r="H633" s="14"/>
      <c r="I633" s="14"/>
      <c r="J633" s="16">
        <f>SUM('ведомствен.2015'!G297)</f>
        <v>1000</v>
      </c>
    </row>
    <row r="634" spans="1:11" s="16" customFormat="1" ht="15">
      <c r="A634" s="342" t="s">
        <v>149</v>
      </c>
      <c r="B634" s="316"/>
      <c r="C634" s="279" t="s">
        <v>5</v>
      </c>
      <c r="D634" s="280" t="s">
        <v>114</v>
      </c>
      <c r="E634" s="280"/>
      <c r="F634" s="281"/>
      <c r="G634" s="185">
        <f>SUM(G635+G638+G641)</f>
        <v>104327.79999999999</v>
      </c>
      <c r="H634" s="14" t="e">
        <f>SUM(#REF!)</f>
        <v>#REF!</v>
      </c>
      <c r="I634" s="14" t="e">
        <f>SUM(H634/#REF!*100)</f>
        <v>#REF!</v>
      </c>
      <c r="K634" s="16">
        <f>SUM(J635:J658)</f>
        <v>104327.8</v>
      </c>
    </row>
    <row r="635" spans="1:9" s="16" customFormat="1" ht="28.5">
      <c r="A635" s="293" t="s">
        <v>640</v>
      </c>
      <c r="B635" s="179"/>
      <c r="C635" s="74" t="s">
        <v>5</v>
      </c>
      <c r="D635" s="124" t="s">
        <v>114</v>
      </c>
      <c r="E635" s="282" t="s">
        <v>641</v>
      </c>
      <c r="F635" s="134"/>
      <c r="G635" s="180">
        <f>SUM(G636)</f>
        <v>9782.2</v>
      </c>
      <c r="H635" s="14"/>
      <c r="I635" s="14"/>
    </row>
    <row r="636" spans="1:9" s="16" customFormat="1" ht="114">
      <c r="A636" s="283" t="s">
        <v>642</v>
      </c>
      <c r="B636" s="179"/>
      <c r="C636" s="74" t="s">
        <v>5</v>
      </c>
      <c r="D636" s="124" t="s">
        <v>114</v>
      </c>
      <c r="E636" s="166" t="s">
        <v>643</v>
      </c>
      <c r="F636" s="299"/>
      <c r="G636" s="180">
        <f>G637</f>
        <v>9782.2</v>
      </c>
      <c r="H636" s="14"/>
      <c r="I636" s="14"/>
    </row>
    <row r="637" spans="1:10" s="16" customFormat="1" ht="42.75">
      <c r="A637" s="293" t="s">
        <v>658</v>
      </c>
      <c r="B637" s="179"/>
      <c r="C637" s="74" t="s">
        <v>5</v>
      </c>
      <c r="D637" s="124" t="s">
        <v>114</v>
      </c>
      <c r="E637" s="282" t="s">
        <v>659</v>
      </c>
      <c r="F637" s="134" t="s">
        <v>455</v>
      </c>
      <c r="G637" s="180">
        <v>9782.2</v>
      </c>
      <c r="H637" s="14"/>
      <c r="I637" s="14"/>
      <c r="J637" s="16">
        <f>SUM('ведомствен.2015'!G724)</f>
        <v>9782.2</v>
      </c>
    </row>
    <row r="638" spans="1:9" s="16" customFormat="1" ht="42.75">
      <c r="A638" s="283" t="s">
        <v>630</v>
      </c>
      <c r="B638" s="179"/>
      <c r="C638" s="74" t="s">
        <v>5</v>
      </c>
      <c r="D638" s="124" t="s">
        <v>114</v>
      </c>
      <c r="E638" s="160" t="s">
        <v>631</v>
      </c>
      <c r="F638" s="163"/>
      <c r="G638" s="180">
        <f>SUM(G639)</f>
        <v>27063.5</v>
      </c>
      <c r="H638" s="14"/>
      <c r="I638" s="14"/>
    </row>
    <row r="639" spans="1:9" s="16" customFormat="1" ht="114">
      <c r="A639" s="293" t="s">
        <v>660</v>
      </c>
      <c r="B639" s="179"/>
      <c r="C639" s="74" t="s">
        <v>5</v>
      </c>
      <c r="D639" s="124" t="s">
        <v>114</v>
      </c>
      <c r="E639" s="160" t="s">
        <v>661</v>
      </c>
      <c r="F639" s="163"/>
      <c r="G639" s="180">
        <f>SUM(G640)</f>
        <v>27063.5</v>
      </c>
      <c r="H639" s="14"/>
      <c r="I639" s="14"/>
    </row>
    <row r="640" spans="1:10" s="16" customFormat="1" ht="71.25">
      <c r="A640" s="283" t="s">
        <v>662</v>
      </c>
      <c r="B640" s="179"/>
      <c r="C640" s="74" t="s">
        <v>5</v>
      </c>
      <c r="D640" s="124" t="s">
        <v>114</v>
      </c>
      <c r="E640" s="166" t="s">
        <v>663</v>
      </c>
      <c r="F640" s="134" t="s">
        <v>455</v>
      </c>
      <c r="G640" s="180">
        <v>27063.5</v>
      </c>
      <c r="H640" s="14"/>
      <c r="I640" s="14"/>
      <c r="J640" s="16">
        <f>SUM('ведомствен.2015'!G727)</f>
        <v>27063.5</v>
      </c>
    </row>
    <row r="641" spans="1:9" s="16" customFormat="1" ht="28.5">
      <c r="A641" s="332" t="s">
        <v>594</v>
      </c>
      <c r="B641" s="312"/>
      <c r="C641" s="287" t="s">
        <v>5</v>
      </c>
      <c r="D641" s="288" t="s">
        <v>114</v>
      </c>
      <c r="E641" s="75" t="s">
        <v>595</v>
      </c>
      <c r="F641" s="133"/>
      <c r="G641" s="304">
        <f>SUM(G657)+G642</f>
        <v>67482.09999999999</v>
      </c>
      <c r="H641" s="14"/>
      <c r="I641" s="14"/>
    </row>
    <row r="642" spans="1:9" s="16" customFormat="1" ht="99.75">
      <c r="A642" s="345" t="s">
        <v>615</v>
      </c>
      <c r="B642" s="326"/>
      <c r="C642" s="300" t="s">
        <v>5</v>
      </c>
      <c r="D642" s="301" t="s">
        <v>114</v>
      </c>
      <c r="E642" s="301" t="s">
        <v>616</v>
      </c>
      <c r="F642" s="302"/>
      <c r="G642" s="309">
        <f>G648+G651+G654+G643+G645</f>
        <v>56936.899999999994</v>
      </c>
      <c r="H642" s="14"/>
      <c r="I642" s="14"/>
    </row>
    <row r="643" spans="1:9" s="16" customFormat="1" ht="57">
      <c r="A643" s="149" t="s">
        <v>686</v>
      </c>
      <c r="B643" s="398"/>
      <c r="C643" s="221" t="s">
        <v>5</v>
      </c>
      <c r="D643" s="220" t="s">
        <v>114</v>
      </c>
      <c r="E643" s="189" t="s">
        <v>687</v>
      </c>
      <c r="F643" s="247"/>
      <c r="G643" s="171">
        <f>SUM(G644)</f>
        <v>21090.3</v>
      </c>
      <c r="H643" s="14"/>
      <c r="I643" s="14"/>
    </row>
    <row r="644" spans="1:10" s="16" customFormat="1" ht="28.5">
      <c r="A644" s="149" t="s">
        <v>698</v>
      </c>
      <c r="B644" s="398"/>
      <c r="C644" s="221" t="s">
        <v>5</v>
      </c>
      <c r="D644" s="220" t="s">
        <v>114</v>
      </c>
      <c r="E644" s="189" t="s">
        <v>687</v>
      </c>
      <c r="F644" s="247" t="s">
        <v>507</v>
      </c>
      <c r="G644" s="171">
        <v>21090.3</v>
      </c>
      <c r="H644" s="14"/>
      <c r="I644" s="14"/>
      <c r="J644" s="16">
        <f>SUM('ведомствен.2015'!G302)</f>
        <v>21090.3</v>
      </c>
    </row>
    <row r="645" spans="1:9" s="16" customFormat="1" ht="57">
      <c r="A645" s="263" t="s">
        <v>422</v>
      </c>
      <c r="B645" s="407"/>
      <c r="C645" s="410" t="s">
        <v>5</v>
      </c>
      <c r="D645" s="229" t="s">
        <v>114</v>
      </c>
      <c r="E645" s="228" t="s">
        <v>617</v>
      </c>
      <c r="F645" s="255"/>
      <c r="G645" s="234">
        <f>G646+G647</f>
        <v>5000.2</v>
      </c>
      <c r="H645" s="14"/>
      <c r="I645" s="14"/>
    </row>
    <row r="646" spans="1:10" s="16" customFormat="1" ht="28.5">
      <c r="A646" s="187" t="s">
        <v>697</v>
      </c>
      <c r="B646" s="407"/>
      <c r="C646" s="410" t="s">
        <v>5</v>
      </c>
      <c r="D646" s="229" t="s">
        <v>114</v>
      </c>
      <c r="E646" s="228" t="s">
        <v>617</v>
      </c>
      <c r="F646" s="255" t="s">
        <v>112</v>
      </c>
      <c r="G646" s="234">
        <v>90.9</v>
      </c>
      <c r="H646" s="14"/>
      <c r="I646" s="14"/>
      <c r="J646" s="16">
        <f>SUM('ведомствен.2015'!G511)</f>
        <v>90.9</v>
      </c>
    </row>
    <row r="647" spans="1:10" s="16" customFormat="1" ht="15">
      <c r="A647" s="263" t="s">
        <v>454</v>
      </c>
      <c r="B647" s="407"/>
      <c r="C647" s="410" t="s">
        <v>5</v>
      </c>
      <c r="D647" s="229" t="s">
        <v>114</v>
      </c>
      <c r="E647" s="228" t="s">
        <v>617</v>
      </c>
      <c r="F647" s="255" t="s">
        <v>455</v>
      </c>
      <c r="G647" s="234">
        <v>4909.3</v>
      </c>
      <c r="H647" s="14"/>
      <c r="I647" s="14"/>
      <c r="J647" s="16">
        <f>SUM('ведомствен.2015'!G512)</f>
        <v>4909.3</v>
      </c>
    </row>
    <row r="648" spans="1:9" s="16" customFormat="1" ht="15">
      <c r="A648" s="345" t="s">
        <v>150</v>
      </c>
      <c r="B648" s="326"/>
      <c r="C648" s="300" t="s">
        <v>5</v>
      </c>
      <c r="D648" s="301" t="s">
        <v>114</v>
      </c>
      <c r="E648" s="301" t="s">
        <v>624</v>
      </c>
      <c r="F648" s="302"/>
      <c r="G648" s="308">
        <f>G649+G650</f>
        <v>5765.400000000001</v>
      </c>
      <c r="H648" s="14"/>
      <c r="I648" s="14"/>
    </row>
    <row r="649" spans="1:10" s="16" customFormat="1" ht="28.5">
      <c r="A649" s="187" t="s">
        <v>697</v>
      </c>
      <c r="B649" s="326"/>
      <c r="C649" s="300" t="s">
        <v>5</v>
      </c>
      <c r="D649" s="301" t="s">
        <v>114</v>
      </c>
      <c r="E649" s="301" t="s">
        <v>624</v>
      </c>
      <c r="F649" s="302" t="s">
        <v>112</v>
      </c>
      <c r="G649" s="308">
        <v>85.6</v>
      </c>
      <c r="H649" s="14"/>
      <c r="I649" s="14"/>
      <c r="J649" s="16">
        <f>SUM('ведомствен.2015'!G514)</f>
        <v>85.6</v>
      </c>
    </row>
    <row r="650" spans="1:10" s="16" customFormat="1" ht="15">
      <c r="A650" s="345" t="s">
        <v>454</v>
      </c>
      <c r="B650" s="326"/>
      <c r="C650" s="300" t="s">
        <v>5</v>
      </c>
      <c r="D650" s="301" t="s">
        <v>114</v>
      </c>
      <c r="E650" s="301" t="s">
        <v>624</v>
      </c>
      <c r="F650" s="302" t="s">
        <v>455</v>
      </c>
      <c r="G650" s="308">
        <v>5679.8</v>
      </c>
      <c r="H650" s="14"/>
      <c r="I650" s="14"/>
      <c r="J650" s="16">
        <f>SUM('ведомствен.2015'!G515)</f>
        <v>5679.8</v>
      </c>
    </row>
    <row r="651" spans="1:9" s="16" customFormat="1" ht="15">
      <c r="A651" s="345" t="s">
        <v>433</v>
      </c>
      <c r="B651" s="326"/>
      <c r="C651" s="300" t="s">
        <v>5</v>
      </c>
      <c r="D651" s="301" t="s">
        <v>114</v>
      </c>
      <c r="E651" s="301" t="s">
        <v>625</v>
      </c>
      <c r="F651" s="302"/>
      <c r="G651" s="308">
        <f>G652+G653</f>
        <v>4772.8</v>
      </c>
      <c r="H651" s="14"/>
      <c r="I651" s="14"/>
    </row>
    <row r="652" spans="1:10" s="16" customFormat="1" ht="28.5">
      <c r="A652" s="187" t="s">
        <v>697</v>
      </c>
      <c r="B652" s="326"/>
      <c r="C652" s="300" t="s">
        <v>5</v>
      </c>
      <c r="D652" s="301" t="s">
        <v>114</v>
      </c>
      <c r="E652" s="301" t="s">
        <v>625</v>
      </c>
      <c r="F652" s="302" t="s">
        <v>112</v>
      </c>
      <c r="G652" s="308">
        <v>49.8</v>
      </c>
      <c r="H652" s="14"/>
      <c r="I652" s="14"/>
      <c r="J652" s="16">
        <f>SUM('ведомствен.2015'!G517)</f>
        <v>49.8</v>
      </c>
    </row>
    <row r="653" spans="1:10" s="16" customFormat="1" ht="15">
      <c r="A653" s="345" t="s">
        <v>454</v>
      </c>
      <c r="B653" s="326"/>
      <c r="C653" s="300" t="s">
        <v>5</v>
      </c>
      <c r="D653" s="301" t="s">
        <v>114</v>
      </c>
      <c r="E653" s="301" t="s">
        <v>625</v>
      </c>
      <c r="F653" s="302" t="s">
        <v>455</v>
      </c>
      <c r="G653" s="309">
        <v>4723</v>
      </c>
      <c r="H653" s="14"/>
      <c r="I653" s="14"/>
      <c r="J653" s="16">
        <f>SUM('ведомствен.2015'!G518)</f>
        <v>4723</v>
      </c>
    </row>
    <row r="654" spans="1:9" s="16" customFormat="1" ht="15">
      <c r="A654" s="345" t="s">
        <v>434</v>
      </c>
      <c r="B654" s="326"/>
      <c r="C654" s="300" t="s">
        <v>5</v>
      </c>
      <c r="D654" s="301" t="s">
        <v>114</v>
      </c>
      <c r="E654" s="301" t="s">
        <v>626</v>
      </c>
      <c r="F654" s="302"/>
      <c r="G654" s="308">
        <f>SUM(G656)+G655</f>
        <v>20308.199999999997</v>
      </c>
      <c r="H654" s="14"/>
      <c r="I654" s="14"/>
    </row>
    <row r="655" spans="1:10" s="16" customFormat="1" ht="28.5">
      <c r="A655" s="187" t="s">
        <v>697</v>
      </c>
      <c r="B655" s="326"/>
      <c r="C655" s="300" t="s">
        <v>5</v>
      </c>
      <c r="D655" s="301" t="s">
        <v>114</v>
      </c>
      <c r="E655" s="301" t="s">
        <v>626</v>
      </c>
      <c r="F655" s="302" t="s">
        <v>112</v>
      </c>
      <c r="G655" s="308">
        <v>315.1</v>
      </c>
      <c r="H655" s="14"/>
      <c r="I655" s="14"/>
      <c r="J655" s="16">
        <f>SUM('ведомствен.2015'!G520)</f>
        <v>315.1</v>
      </c>
    </row>
    <row r="656" spans="1:10" s="16" customFormat="1" ht="15">
      <c r="A656" s="345" t="s">
        <v>454</v>
      </c>
      <c r="B656" s="326"/>
      <c r="C656" s="300" t="s">
        <v>5</v>
      </c>
      <c r="D656" s="301" t="s">
        <v>114</v>
      </c>
      <c r="E656" s="301" t="s">
        <v>626</v>
      </c>
      <c r="F656" s="302" t="s">
        <v>455</v>
      </c>
      <c r="G656" s="308">
        <v>19993.1</v>
      </c>
      <c r="H656" s="14"/>
      <c r="I656" s="14"/>
      <c r="J656" s="16">
        <f>SUM('ведомствен.2015'!G521)</f>
        <v>19993.1</v>
      </c>
    </row>
    <row r="657" spans="1:9" s="16" customFormat="1" ht="42.75">
      <c r="A657" s="158" t="s">
        <v>564</v>
      </c>
      <c r="B657" s="314"/>
      <c r="C657" s="287" t="s">
        <v>5</v>
      </c>
      <c r="D657" s="288" t="s">
        <v>114</v>
      </c>
      <c r="E657" s="75" t="s">
        <v>598</v>
      </c>
      <c r="F657" s="290"/>
      <c r="G657" s="304">
        <f>SUM(G658)</f>
        <v>10545.2</v>
      </c>
      <c r="H657" s="14"/>
      <c r="I657" s="14"/>
    </row>
    <row r="658" spans="1:10" s="16" customFormat="1" ht="28.5">
      <c r="A658" s="149" t="s">
        <v>698</v>
      </c>
      <c r="B658" s="314"/>
      <c r="C658" s="287" t="s">
        <v>5</v>
      </c>
      <c r="D658" s="288" t="s">
        <v>114</v>
      </c>
      <c r="E658" s="75" t="s">
        <v>598</v>
      </c>
      <c r="F658" s="290" t="s">
        <v>507</v>
      </c>
      <c r="G658" s="304">
        <v>10545.2</v>
      </c>
      <c r="H658" s="14"/>
      <c r="I658" s="14"/>
      <c r="J658" s="16">
        <f>SUM('ведомствен.2015'!G306)</f>
        <v>10545.2</v>
      </c>
    </row>
    <row r="659" spans="1:11" s="16" customFormat="1" ht="15">
      <c r="A659" s="337" t="s">
        <v>151</v>
      </c>
      <c r="B659" s="316"/>
      <c r="C659" s="279" t="s">
        <v>5</v>
      </c>
      <c r="D659" s="280" t="s">
        <v>349</v>
      </c>
      <c r="E659" s="280"/>
      <c r="F659" s="281"/>
      <c r="G659" s="185">
        <f>SUM(G660+G673+G683+G690+G692)+G688</f>
        <v>47494.7</v>
      </c>
      <c r="H659" s="14"/>
      <c r="I659" s="14">
        <f>SUM(H659/G665*100)</f>
        <v>0</v>
      </c>
      <c r="K659" s="38">
        <f>SUM(J661:J694)</f>
        <v>47494.7</v>
      </c>
    </row>
    <row r="660" spans="1:9" s="16" customFormat="1" ht="42.75">
      <c r="A660" s="337" t="s">
        <v>91</v>
      </c>
      <c r="B660" s="316"/>
      <c r="C660" s="279" t="s">
        <v>5</v>
      </c>
      <c r="D660" s="280" t="s">
        <v>349</v>
      </c>
      <c r="E660" s="280" t="s">
        <v>92</v>
      </c>
      <c r="F660" s="281"/>
      <c r="G660" s="185">
        <f>G661+G664+G668+G670</f>
        <v>21937.9</v>
      </c>
      <c r="H660" s="14">
        <f>SUM(H661)</f>
        <v>29554</v>
      </c>
      <c r="I660" s="14">
        <f>SUM(H660/G666*100)</f>
        <v>4874.484578591457</v>
      </c>
    </row>
    <row r="661" spans="1:10" s="16" customFormat="1" ht="15">
      <c r="A661" s="337" t="s">
        <v>99</v>
      </c>
      <c r="B661" s="316"/>
      <c r="C661" s="279" t="s">
        <v>5</v>
      </c>
      <c r="D661" s="280" t="s">
        <v>349</v>
      </c>
      <c r="E661" s="280" t="s">
        <v>101</v>
      </c>
      <c r="F661" s="281"/>
      <c r="G661" s="185">
        <f>G662+G663</f>
        <v>3131.8</v>
      </c>
      <c r="H661" s="14">
        <v>29554</v>
      </c>
      <c r="I661" s="14">
        <f aca="true" t="shared" si="14" ref="I661:I666">SUM(H661/G668*100)</f>
        <v>202.80108969388385</v>
      </c>
      <c r="J661" s="38"/>
    </row>
    <row r="662" spans="1:10" s="16" customFormat="1" ht="42.75">
      <c r="A662" s="337" t="s">
        <v>533</v>
      </c>
      <c r="B662" s="316"/>
      <c r="C662" s="279" t="s">
        <v>5</v>
      </c>
      <c r="D662" s="280" t="s">
        <v>349</v>
      </c>
      <c r="E662" s="280" t="s">
        <v>101</v>
      </c>
      <c r="F662" s="281" t="s">
        <v>445</v>
      </c>
      <c r="G662" s="185">
        <v>3119.8</v>
      </c>
      <c r="H662" s="14">
        <f>SUM(H663)</f>
        <v>37911</v>
      </c>
      <c r="I662" s="14">
        <f t="shared" si="14"/>
        <v>260.1472596394678</v>
      </c>
      <c r="J662" s="16">
        <f>SUM('ведомствен.2015'!G525)</f>
        <v>3119.8</v>
      </c>
    </row>
    <row r="663" spans="1:10" s="16" customFormat="1" ht="28.5">
      <c r="A663" s="187" t="s">
        <v>697</v>
      </c>
      <c r="B663" s="316"/>
      <c r="C663" s="279" t="s">
        <v>5</v>
      </c>
      <c r="D663" s="280" t="s">
        <v>349</v>
      </c>
      <c r="E663" s="280" t="s">
        <v>101</v>
      </c>
      <c r="F663" s="281" t="s">
        <v>112</v>
      </c>
      <c r="G663" s="185">
        <v>12</v>
      </c>
      <c r="H663" s="14">
        <v>37911</v>
      </c>
      <c r="I663" s="14" t="e">
        <f t="shared" si="14"/>
        <v>#DIV/0!</v>
      </c>
      <c r="J663" s="16">
        <f>SUM('ведомствен.2015'!G526)</f>
        <v>12</v>
      </c>
    </row>
    <row r="664" spans="1:9" s="16" customFormat="1" ht="42.75">
      <c r="A664" s="337" t="s">
        <v>534</v>
      </c>
      <c r="B664" s="316"/>
      <c r="C664" s="279" t="s">
        <v>5</v>
      </c>
      <c r="D664" s="280" t="s">
        <v>349</v>
      </c>
      <c r="E664" s="280" t="s">
        <v>154</v>
      </c>
      <c r="F664" s="281"/>
      <c r="G664" s="185">
        <f>SUM(G665:G667)</f>
        <v>4233.2</v>
      </c>
      <c r="H664" s="14">
        <f>SUM(H665)</f>
        <v>0</v>
      </c>
      <c r="I664" s="14" t="e">
        <f t="shared" si="14"/>
        <v>#DIV/0!</v>
      </c>
    </row>
    <row r="665" spans="1:10" s="16" customFormat="1" ht="42.75">
      <c r="A665" s="337" t="s">
        <v>533</v>
      </c>
      <c r="B665" s="316"/>
      <c r="C665" s="279" t="s">
        <v>5</v>
      </c>
      <c r="D665" s="280" t="s">
        <v>349</v>
      </c>
      <c r="E665" s="280" t="s">
        <v>154</v>
      </c>
      <c r="F665" s="281" t="s">
        <v>445</v>
      </c>
      <c r="G665" s="185">
        <v>3602.4</v>
      </c>
      <c r="H665" s="14"/>
      <c r="I665" s="14" t="e">
        <f t="shared" si="14"/>
        <v>#DIV/0!</v>
      </c>
      <c r="J665" s="16">
        <f>SUM('ведомствен.2015'!G528)</f>
        <v>3602.4</v>
      </c>
    </row>
    <row r="666" spans="1:10" s="16" customFormat="1" ht="28.5">
      <c r="A666" s="187" t="s">
        <v>697</v>
      </c>
      <c r="B666" s="330"/>
      <c r="C666" s="279" t="s">
        <v>5</v>
      </c>
      <c r="D666" s="280" t="s">
        <v>349</v>
      </c>
      <c r="E666" s="280" t="s">
        <v>154</v>
      </c>
      <c r="F666" s="281" t="s">
        <v>112</v>
      </c>
      <c r="G666" s="185">
        <v>606.3</v>
      </c>
      <c r="H666" s="14">
        <f>SUM(H668)</f>
        <v>0</v>
      </c>
      <c r="I666" s="14">
        <f t="shared" si="14"/>
        <v>0</v>
      </c>
      <c r="J666" s="16">
        <f>SUM('ведомствен.2015'!G529)</f>
        <v>606.3</v>
      </c>
    </row>
    <row r="667" spans="1:10" s="16" customFormat="1" ht="15">
      <c r="A667" s="187" t="s">
        <v>450</v>
      </c>
      <c r="B667" s="408"/>
      <c r="C667" s="223" t="s">
        <v>5</v>
      </c>
      <c r="D667" s="224" t="s">
        <v>349</v>
      </c>
      <c r="E667" s="224" t="s">
        <v>154</v>
      </c>
      <c r="F667" s="248" t="s">
        <v>160</v>
      </c>
      <c r="G667" s="175">
        <v>24.5</v>
      </c>
      <c r="H667" s="14"/>
      <c r="I667" s="14"/>
      <c r="J667" s="16">
        <f>SUM('ведомствен.2015'!G530)</f>
        <v>24.5</v>
      </c>
    </row>
    <row r="668" spans="1:9" s="16" customFormat="1" ht="28.5">
      <c r="A668" s="337" t="s">
        <v>152</v>
      </c>
      <c r="B668" s="316"/>
      <c r="C668" s="279" t="s">
        <v>5</v>
      </c>
      <c r="D668" s="280" t="s">
        <v>349</v>
      </c>
      <c r="E668" s="280" t="s">
        <v>153</v>
      </c>
      <c r="F668" s="281"/>
      <c r="G668" s="185">
        <f>SUM(G669)</f>
        <v>14572.9</v>
      </c>
      <c r="H668" s="14"/>
      <c r="I668" s="14">
        <f>SUM(H668/G674*100)</f>
        <v>0</v>
      </c>
    </row>
    <row r="669" spans="1:10" s="16" customFormat="1" ht="41.25" customHeight="1">
      <c r="A669" s="337" t="s">
        <v>533</v>
      </c>
      <c r="B669" s="316"/>
      <c r="C669" s="279" t="s">
        <v>5</v>
      </c>
      <c r="D669" s="280" t="s">
        <v>349</v>
      </c>
      <c r="E669" s="280" t="s">
        <v>153</v>
      </c>
      <c r="F669" s="281" t="s">
        <v>445</v>
      </c>
      <c r="G669" s="185">
        <v>14572.9</v>
      </c>
      <c r="H669" s="14">
        <f>SUM(H670)</f>
        <v>0</v>
      </c>
      <c r="I669" s="14">
        <f>SUM(H669/G675*100)</f>
        <v>0</v>
      </c>
      <c r="J669" s="16">
        <f>SUM('ведомствен.2015'!G532)</f>
        <v>14572.9</v>
      </c>
    </row>
    <row r="670" spans="1:9" s="16" customFormat="1" ht="42.75" hidden="1">
      <c r="A670" s="337" t="s">
        <v>155</v>
      </c>
      <c r="B670" s="330"/>
      <c r="C670" s="279" t="s">
        <v>5</v>
      </c>
      <c r="D670" s="280" t="s">
        <v>349</v>
      </c>
      <c r="E670" s="280" t="s">
        <v>156</v>
      </c>
      <c r="F670" s="281"/>
      <c r="G670" s="185">
        <f>G671+G672</f>
        <v>0</v>
      </c>
      <c r="H670" s="14"/>
      <c r="I670" s="14">
        <f>SUM(H670/G677*100)</f>
        <v>0</v>
      </c>
    </row>
    <row r="671" spans="1:10" ht="42.75" hidden="1">
      <c r="A671" s="337" t="s">
        <v>533</v>
      </c>
      <c r="B671" s="316"/>
      <c r="C671" s="279" t="s">
        <v>5</v>
      </c>
      <c r="D671" s="280" t="s">
        <v>349</v>
      </c>
      <c r="E671" s="280" t="s">
        <v>156</v>
      </c>
      <c r="F671" s="281" t="s">
        <v>445</v>
      </c>
      <c r="G671" s="185"/>
      <c r="H671" s="14">
        <f>SUM(H672)</f>
        <v>70381.4</v>
      </c>
      <c r="I671" s="14">
        <f>SUM(H671/G678*100)</f>
        <v>5189.220673892206</v>
      </c>
      <c r="J671" s="16">
        <f>SUM('ведомствен.2015'!G534)</f>
        <v>0</v>
      </c>
    </row>
    <row r="672" spans="1:10" ht="15" hidden="1">
      <c r="A672" s="337" t="s">
        <v>449</v>
      </c>
      <c r="B672" s="316"/>
      <c r="C672" s="279" t="s">
        <v>5</v>
      </c>
      <c r="D672" s="280" t="s">
        <v>349</v>
      </c>
      <c r="E672" s="280" t="s">
        <v>156</v>
      </c>
      <c r="F672" s="281" t="s">
        <v>112</v>
      </c>
      <c r="G672" s="185"/>
      <c r="H672" s="14">
        <v>70381.4</v>
      </c>
      <c r="I672" s="14">
        <f>SUM(H672/G680*100)</f>
        <v>6923.895720609936</v>
      </c>
      <c r="J672" s="16">
        <f>SUM('ведомствен.2015'!G535)</f>
        <v>0</v>
      </c>
    </row>
    <row r="673" spans="1:10" ht="28.5">
      <c r="A673" s="337" t="s">
        <v>446</v>
      </c>
      <c r="B673" s="316"/>
      <c r="C673" s="279" t="s">
        <v>5</v>
      </c>
      <c r="D673" s="280" t="s">
        <v>349</v>
      </c>
      <c r="E673" s="280" t="s">
        <v>447</v>
      </c>
      <c r="F673" s="281"/>
      <c r="G673" s="185">
        <f>G674+G677+G680</f>
        <v>2625.1</v>
      </c>
      <c r="H673" s="14"/>
      <c r="I673" s="14"/>
      <c r="J673" s="38"/>
    </row>
    <row r="674" spans="1:10" ht="15">
      <c r="A674" s="337" t="s">
        <v>437</v>
      </c>
      <c r="B674" s="330"/>
      <c r="C674" s="279" t="s">
        <v>5</v>
      </c>
      <c r="D674" s="280" t="s">
        <v>349</v>
      </c>
      <c r="E674" s="280" t="s">
        <v>448</v>
      </c>
      <c r="F674" s="281"/>
      <c r="G674" s="185">
        <f>SUM(G675)+G676</f>
        <v>230.7</v>
      </c>
      <c r="H674" s="14"/>
      <c r="I674" s="14"/>
      <c r="J674" s="38"/>
    </row>
    <row r="675" spans="1:10" ht="28.5">
      <c r="A675" s="187" t="s">
        <v>697</v>
      </c>
      <c r="B675" s="316"/>
      <c r="C675" s="279" t="s">
        <v>5</v>
      </c>
      <c r="D675" s="280" t="s">
        <v>349</v>
      </c>
      <c r="E675" s="280" t="s">
        <v>448</v>
      </c>
      <c r="F675" s="281" t="s">
        <v>112</v>
      </c>
      <c r="G675" s="185">
        <v>230</v>
      </c>
      <c r="H675" s="14"/>
      <c r="I675" s="14"/>
      <c r="J675" s="16">
        <f>SUM('ведомствен.2015'!G538)</f>
        <v>230</v>
      </c>
    </row>
    <row r="676" spans="1:10" ht="15">
      <c r="A676" s="187" t="s">
        <v>450</v>
      </c>
      <c r="B676" s="406"/>
      <c r="C676" s="223" t="s">
        <v>5</v>
      </c>
      <c r="D676" s="224" t="s">
        <v>349</v>
      </c>
      <c r="E676" s="224" t="s">
        <v>448</v>
      </c>
      <c r="F676" s="248" t="s">
        <v>160</v>
      </c>
      <c r="G676" s="175">
        <v>0.7</v>
      </c>
      <c r="H676" s="14"/>
      <c r="I676" s="14"/>
      <c r="J676" s="16">
        <f>SUM('ведомствен.2015'!G539)</f>
        <v>0.7</v>
      </c>
    </row>
    <row r="677" spans="1:9" s="16" customFormat="1" ht="28.5">
      <c r="A677" s="337" t="s">
        <v>438</v>
      </c>
      <c r="B677" s="330"/>
      <c r="C677" s="279" t="s">
        <v>5</v>
      </c>
      <c r="D677" s="280" t="s">
        <v>349</v>
      </c>
      <c r="E677" s="280" t="s">
        <v>451</v>
      </c>
      <c r="F677" s="281"/>
      <c r="G677" s="185">
        <f>SUM(G678)+G679</f>
        <v>1377.8999999999999</v>
      </c>
      <c r="H677" s="14">
        <f>SUM(H678)</f>
        <v>1365.8</v>
      </c>
      <c r="I677" s="14">
        <f>SUM(H677/G693*100)</f>
        <v>1821.0666666666664</v>
      </c>
    </row>
    <row r="678" spans="1:10" s="16" customFormat="1" ht="28.5">
      <c r="A678" s="187" t="s">
        <v>697</v>
      </c>
      <c r="B678" s="316"/>
      <c r="C678" s="279" t="s">
        <v>5</v>
      </c>
      <c r="D678" s="280" t="s">
        <v>349</v>
      </c>
      <c r="E678" s="280" t="s">
        <v>451</v>
      </c>
      <c r="F678" s="281" t="s">
        <v>112</v>
      </c>
      <c r="G678" s="185">
        <v>1356.3</v>
      </c>
      <c r="H678" s="14">
        <v>1365.8</v>
      </c>
      <c r="I678" s="14">
        <f>SUM(H678/G694*100)</f>
        <v>1821.0666666666664</v>
      </c>
      <c r="J678" s="16">
        <f>SUM('ведомствен.2015'!G541)</f>
        <v>1356.3</v>
      </c>
    </row>
    <row r="679" spans="1:10" s="16" customFormat="1" ht="15">
      <c r="A679" s="187" t="s">
        <v>450</v>
      </c>
      <c r="B679" s="406"/>
      <c r="C679" s="223" t="s">
        <v>5</v>
      </c>
      <c r="D679" s="224" t="s">
        <v>349</v>
      </c>
      <c r="E679" s="224" t="s">
        <v>451</v>
      </c>
      <c r="F679" s="248" t="s">
        <v>160</v>
      </c>
      <c r="G679" s="175">
        <v>21.6</v>
      </c>
      <c r="H679" s="14"/>
      <c r="I679" s="14"/>
      <c r="J679" s="16">
        <f>SUM('ведомствен.2015'!G542)</f>
        <v>21.6</v>
      </c>
    </row>
    <row r="680" spans="1:9" s="16" customFormat="1" ht="28.5">
      <c r="A680" s="337" t="s">
        <v>452</v>
      </c>
      <c r="B680" s="330"/>
      <c r="C680" s="279" t="s">
        <v>5</v>
      </c>
      <c r="D680" s="280" t="s">
        <v>349</v>
      </c>
      <c r="E680" s="280" t="s">
        <v>453</v>
      </c>
      <c r="F680" s="281"/>
      <c r="G680" s="185">
        <f>G681+G682</f>
        <v>1016.5</v>
      </c>
      <c r="H680" s="14">
        <f>SUM(H681)</f>
        <v>1324.9</v>
      </c>
      <c r="I680" s="14" t="e">
        <f>SUM(H680/#REF!*100)</f>
        <v>#REF!</v>
      </c>
    </row>
    <row r="681" spans="1:10" s="16" customFormat="1" ht="42.75" hidden="1">
      <c r="A681" s="337" t="s">
        <v>533</v>
      </c>
      <c r="B681" s="316"/>
      <c r="C681" s="279" t="s">
        <v>5</v>
      </c>
      <c r="D681" s="280" t="s">
        <v>349</v>
      </c>
      <c r="E681" s="280" t="s">
        <v>453</v>
      </c>
      <c r="F681" s="281" t="s">
        <v>445</v>
      </c>
      <c r="G681" s="185"/>
      <c r="H681" s="14">
        <v>1324.9</v>
      </c>
      <c r="I681" s="14" t="e">
        <f>SUM(H681/#REF!*100)</f>
        <v>#REF!</v>
      </c>
      <c r="J681" s="16">
        <f>SUM('ведомствен.2015'!G544)</f>
        <v>0</v>
      </c>
    </row>
    <row r="682" spans="1:10" s="16" customFormat="1" ht="31.5" customHeight="1">
      <c r="A682" s="187" t="s">
        <v>697</v>
      </c>
      <c r="B682" s="316"/>
      <c r="C682" s="279" t="s">
        <v>5</v>
      </c>
      <c r="D682" s="280" t="s">
        <v>349</v>
      </c>
      <c r="E682" s="280" t="s">
        <v>453</v>
      </c>
      <c r="F682" s="281" t="s">
        <v>112</v>
      </c>
      <c r="G682" s="185">
        <v>1016.5</v>
      </c>
      <c r="H682" s="14">
        <f>SUM(H692)</f>
        <v>0</v>
      </c>
      <c r="I682" s="14" t="e">
        <f>SUM(H682/#REF!*100)</f>
        <v>#REF!</v>
      </c>
      <c r="J682" s="16">
        <f>SUM('ведомствен.2015'!G545)</f>
        <v>1016.5</v>
      </c>
    </row>
    <row r="683" spans="1:9" s="16" customFormat="1" ht="30.75" customHeight="1">
      <c r="A683" s="345" t="s">
        <v>594</v>
      </c>
      <c r="B683" s="326"/>
      <c r="C683" s="296" t="s">
        <v>5</v>
      </c>
      <c r="D683" s="297" t="s">
        <v>349</v>
      </c>
      <c r="E683" s="297" t="s">
        <v>595</v>
      </c>
      <c r="F683" s="281"/>
      <c r="G683" s="308">
        <f>G684</f>
        <v>5521.8</v>
      </c>
      <c r="H683" s="14"/>
      <c r="I683" s="14"/>
    </row>
    <row r="684" spans="1:9" s="16" customFormat="1" ht="103.5" customHeight="1">
      <c r="A684" s="345" t="s">
        <v>615</v>
      </c>
      <c r="B684" s="326"/>
      <c r="C684" s="296" t="s">
        <v>5</v>
      </c>
      <c r="D684" s="297" t="s">
        <v>349</v>
      </c>
      <c r="E684" s="297" t="s">
        <v>616</v>
      </c>
      <c r="F684" s="281"/>
      <c r="G684" s="308">
        <f>G685</f>
        <v>5521.8</v>
      </c>
      <c r="H684" s="14"/>
      <c r="I684" s="14"/>
    </row>
    <row r="685" spans="1:9" s="16" customFormat="1" ht="42.75" customHeight="1">
      <c r="A685" s="349" t="s">
        <v>155</v>
      </c>
      <c r="B685" s="326"/>
      <c r="C685" s="296" t="s">
        <v>5</v>
      </c>
      <c r="D685" s="297" t="s">
        <v>349</v>
      </c>
      <c r="E685" s="297" t="s">
        <v>627</v>
      </c>
      <c r="F685" s="281"/>
      <c r="G685" s="308">
        <f>G686+G687</f>
        <v>5521.8</v>
      </c>
      <c r="H685" s="14"/>
      <c r="I685" s="14"/>
    </row>
    <row r="686" spans="1:10" s="16" customFormat="1" ht="53.25" customHeight="1">
      <c r="A686" s="345" t="s">
        <v>533</v>
      </c>
      <c r="B686" s="326"/>
      <c r="C686" s="296" t="s">
        <v>5</v>
      </c>
      <c r="D686" s="297" t="s">
        <v>349</v>
      </c>
      <c r="E686" s="297" t="s">
        <v>627</v>
      </c>
      <c r="F686" s="281" t="s">
        <v>445</v>
      </c>
      <c r="G686" s="308">
        <v>4948.6</v>
      </c>
      <c r="H686" s="14"/>
      <c r="I686" s="14"/>
      <c r="J686" s="16">
        <f>SUM('ведомствен.2015'!G549)</f>
        <v>4948.6</v>
      </c>
    </row>
    <row r="687" spans="1:10" s="16" customFormat="1" ht="36" customHeight="1">
      <c r="A687" s="187" t="s">
        <v>697</v>
      </c>
      <c r="B687" s="326"/>
      <c r="C687" s="296" t="s">
        <v>5</v>
      </c>
      <c r="D687" s="297" t="s">
        <v>349</v>
      </c>
      <c r="E687" s="297" t="s">
        <v>627</v>
      </c>
      <c r="F687" s="281" t="s">
        <v>112</v>
      </c>
      <c r="G687" s="308">
        <v>573.2</v>
      </c>
      <c r="H687" s="14"/>
      <c r="I687" s="14"/>
      <c r="J687" s="16">
        <f>SUM('ведомствен.2015'!G550)</f>
        <v>573.2</v>
      </c>
    </row>
    <row r="688" spans="1:9" s="16" customFormat="1" ht="22.5" customHeight="1" hidden="1">
      <c r="A688" s="152" t="s">
        <v>582</v>
      </c>
      <c r="B688" s="200"/>
      <c r="C688" s="296" t="s">
        <v>5</v>
      </c>
      <c r="D688" s="297" t="s">
        <v>349</v>
      </c>
      <c r="E688" s="189" t="s">
        <v>460</v>
      </c>
      <c r="F688" s="241"/>
      <c r="G688" s="161">
        <f>SUM(G689)</f>
        <v>0</v>
      </c>
      <c r="H688" s="14"/>
      <c r="I688" s="14"/>
    </row>
    <row r="689" spans="1:10" s="16" customFormat="1" ht="22.5" customHeight="1" hidden="1">
      <c r="A689" s="187" t="s">
        <v>450</v>
      </c>
      <c r="B689" s="200"/>
      <c r="C689" s="296" t="s">
        <v>5</v>
      </c>
      <c r="D689" s="297" t="s">
        <v>349</v>
      </c>
      <c r="E689" s="189" t="s">
        <v>460</v>
      </c>
      <c r="F689" s="241" t="s">
        <v>160</v>
      </c>
      <c r="G689" s="161"/>
      <c r="H689" s="14"/>
      <c r="I689" s="14"/>
      <c r="J689" s="16">
        <f>SUM('ведомствен.2015'!G352)</f>
        <v>0</v>
      </c>
    </row>
    <row r="690" spans="1:9" s="16" customFormat="1" ht="28.5">
      <c r="A690" s="333" t="s">
        <v>551</v>
      </c>
      <c r="B690" s="312"/>
      <c r="C690" s="63" t="s">
        <v>5</v>
      </c>
      <c r="D690" s="75" t="s">
        <v>349</v>
      </c>
      <c r="E690" s="75" t="s">
        <v>550</v>
      </c>
      <c r="F690" s="133"/>
      <c r="G690" s="180">
        <f>SUM(G691)</f>
        <v>17334.9</v>
      </c>
      <c r="H690" s="14"/>
      <c r="I690" s="14"/>
    </row>
    <row r="691" spans="1:10" s="16" customFormat="1" ht="15">
      <c r="A691" s="332" t="s">
        <v>450</v>
      </c>
      <c r="B691" s="312"/>
      <c r="C691" s="63" t="s">
        <v>5</v>
      </c>
      <c r="D691" s="75" t="s">
        <v>349</v>
      </c>
      <c r="E691" s="75" t="s">
        <v>550</v>
      </c>
      <c r="F691" s="133" t="s">
        <v>160</v>
      </c>
      <c r="G691" s="180">
        <v>17334.9</v>
      </c>
      <c r="H691" s="14"/>
      <c r="I691" s="14"/>
      <c r="J691" s="16">
        <f>SUM('ведомствен.2015'!G354)</f>
        <v>17334.9</v>
      </c>
    </row>
    <row r="692" spans="1:9" s="16" customFormat="1" ht="15">
      <c r="A692" s="337" t="s">
        <v>530</v>
      </c>
      <c r="B692" s="316"/>
      <c r="C692" s="279" t="s">
        <v>5</v>
      </c>
      <c r="D692" s="280" t="s">
        <v>349</v>
      </c>
      <c r="E692" s="280" t="s">
        <v>121</v>
      </c>
      <c r="F692" s="281"/>
      <c r="G692" s="185">
        <f>G693</f>
        <v>75</v>
      </c>
      <c r="H692" s="14"/>
      <c r="I692" s="14" t="e">
        <f>SUM(H692/#REF!*100)</f>
        <v>#REF!</v>
      </c>
    </row>
    <row r="693" spans="1:10" ht="57">
      <c r="A693" s="337" t="s">
        <v>535</v>
      </c>
      <c r="B693" s="316"/>
      <c r="C693" s="279" t="s">
        <v>5</v>
      </c>
      <c r="D693" s="280" t="s">
        <v>349</v>
      </c>
      <c r="E693" s="280" t="s">
        <v>324</v>
      </c>
      <c r="F693" s="281"/>
      <c r="G693" s="185">
        <f>G694</f>
        <v>75</v>
      </c>
      <c r="H693" s="14">
        <f>SUM(H694)</f>
        <v>5141.4</v>
      </c>
      <c r="I693" s="14" t="e">
        <f>SUM(H693/#REF!*100)</f>
        <v>#REF!</v>
      </c>
      <c r="J693"/>
    </row>
    <row r="694" spans="1:10" ht="28.5">
      <c r="A694" s="337" t="s">
        <v>528</v>
      </c>
      <c r="B694" s="316"/>
      <c r="C694" s="279" t="s">
        <v>5</v>
      </c>
      <c r="D694" s="280" t="s">
        <v>349</v>
      </c>
      <c r="E694" s="280" t="s">
        <v>324</v>
      </c>
      <c r="F694" s="281" t="s">
        <v>461</v>
      </c>
      <c r="G694" s="185">
        <v>75</v>
      </c>
      <c r="H694" s="14">
        <v>5141.4</v>
      </c>
      <c r="I694" s="14" t="e">
        <f>SUM(H694/#REF!*100)</f>
        <v>#REF!</v>
      </c>
      <c r="J694" s="16">
        <f>SUM('ведомствен.2015'!G553)</f>
        <v>75</v>
      </c>
    </row>
    <row r="695" spans="1:11" s="28" customFormat="1" ht="15">
      <c r="A695" s="335" t="s">
        <v>219</v>
      </c>
      <c r="B695" s="315"/>
      <c r="C695" s="139" t="s">
        <v>375</v>
      </c>
      <c r="D695" s="126"/>
      <c r="E695" s="126"/>
      <c r="F695" s="137"/>
      <c r="G695" s="305">
        <f>SUM(G696)+G714</f>
        <v>7066</v>
      </c>
      <c r="H695" s="27"/>
      <c r="I695" s="14"/>
      <c r="J695" s="36"/>
      <c r="K695" s="40">
        <f>SUM(J696:J725)</f>
        <v>7066</v>
      </c>
    </row>
    <row r="696" spans="1:10" s="28" customFormat="1" ht="15">
      <c r="A696" s="332" t="s">
        <v>214</v>
      </c>
      <c r="B696" s="312"/>
      <c r="C696" s="63" t="s">
        <v>375</v>
      </c>
      <c r="D696" s="75" t="s">
        <v>414</v>
      </c>
      <c r="E696" s="75"/>
      <c r="F696" s="133"/>
      <c r="G696" s="180">
        <f>SUM(G697+G703)</f>
        <v>7066</v>
      </c>
      <c r="H696" s="27"/>
      <c r="I696" s="14"/>
      <c r="J696" s="36"/>
    </row>
    <row r="697" spans="1:10" s="28" customFormat="1" ht="28.5">
      <c r="A697" s="332" t="s">
        <v>440</v>
      </c>
      <c r="B697" s="312"/>
      <c r="C697" s="63" t="s">
        <v>375</v>
      </c>
      <c r="D697" s="75" t="s">
        <v>414</v>
      </c>
      <c r="E697" s="75" t="s">
        <v>441</v>
      </c>
      <c r="F697" s="134"/>
      <c r="G697" s="180">
        <f>SUM(G698)</f>
        <v>3854.3</v>
      </c>
      <c r="H697" s="27"/>
      <c r="I697" s="14"/>
      <c r="J697" s="36"/>
    </row>
    <row r="698" spans="1:10" s="28" customFormat="1" ht="28.5">
      <c r="A698" s="332" t="s">
        <v>51</v>
      </c>
      <c r="B698" s="312"/>
      <c r="C698" s="63" t="s">
        <v>375</v>
      </c>
      <c r="D698" s="75" t="s">
        <v>414</v>
      </c>
      <c r="E698" s="75" t="s">
        <v>442</v>
      </c>
      <c r="F698" s="134"/>
      <c r="G698" s="180">
        <f>SUM(G699)</f>
        <v>3854.3</v>
      </c>
      <c r="H698" s="27"/>
      <c r="I698" s="14"/>
      <c r="J698" s="36"/>
    </row>
    <row r="699" spans="1:10" ht="42.75">
      <c r="A699" s="187" t="s">
        <v>692</v>
      </c>
      <c r="B699" s="312"/>
      <c r="C699" s="63" t="s">
        <v>375</v>
      </c>
      <c r="D699" s="75" t="s">
        <v>414</v>
      </c>
      <c r="E699" s="75" t="s">
        <v>516</v>
      </c>
      <c r="F699" s="134"/>
      <c r="G699" s="180">
        <f>SUM(G700:G702)</f>
        <v>3854.3</v>
      </c>
      <c r="H699" s="14"/>
      <c r="I699" s="14"/>
      <c r="J699"/>
    </row>
    <row r="700" spans="1:10" ht="28.5">
      <c r="A700" s="332" t="s">
        <v>444</v>
      </c>
      <c r="B700" s="312"/>
      <c r="C700" s="63" t="s">
        <v>375</v>
      </c>
      <c r="D700" s="75" t="s">
        <v>414</v>
      </c>
      <c r="E700" s="75" t="s">
        <v>516</v>
      </c>
      <c r="F700" s="133" t="s">
        <v>445</v>
      </c>
      <c r="G700" s="180">
        <v>3228.9</v>
      </c>
      <c r="H700" s="27"/>
      <c r="I700" s="14"/>
      <c r="J700">
        <f>SUM('ведомствен.2015'!G568)</f>
        <v>3228.9</v>
      </c>
    </row>
    <row r="701" spans="1:10" ht="28.5">
      <c r="A701" s="187" t="s">
        <v>697</v>
      </c>
      <c r="B701" s="312"/>
      <c r="C701" s="63" t="s">
        <v>375</v>
      </c>
      <c r="D701" s="75" t="s">
        <v>414</v>
      </c>
      <c r="E701" s="75" t="s">
        <v>516</v>
      </c>
      <c r="F701" s="133" t="s">
        <v>112</v>
      </c>
      <c r="G701" s="181">
        <v>619.4</v>
      </c>
      <c r="H701" s="27"/>
      <c r="I701" s="14"/>
      <c r="J701">
        <f>SUM('ведомствен.2015'!G569)</f>
        <v>619.4</v>
      </c>
    </row>
    <row r="702" spans="1:10" ht="15">
      <c r="A702" s="332" t="s">
        <v>450</v>
      </c>
      <c r="B702" s="312"/>
      <c r="C702" s="63" t="s">
        <v>375</v>
      </c>
      <c r="D702" s="75" t="s">
        <v>414</v>
      </c>
      <c r="E702" s="75" t="s">
        <v>516</v>
      </c>
      <c r="F702" s="134" t="s">
        <v>160</v>
      </c>
      <c r="G702" s="180">
        <v>6</v>
      </c>
      <c r="H702" s="27"/>
      <c r="I702" s="14"/>
      <c r="J702">
        <f>SUM('ведомствен.2015'!G570)</f>
        <v>6</v>
      </c>
    </row>
    <row r="703" spans="1:10" ht="15">
      <c r="A703" s="337" t="s">
        <v>530</v>
      </c>
      <c r="B703" s="312"/>
      <c r="C703" s="63" t="s">
        <v>375</v>
      </c>
      <c r="D703" s="75" t="s">
        <v>414</v>
      </c>
      <c r="E703" s="127" t="s">
        <v>121</v>
      </c>
      <c r="F703" s="133"/>
      <c r="G703" s="180">
        <f>SUM(G704)</f>
        <v>3211.7</v>
      </c>
      <c r="H703" s="14"/>
      <c r="I703" s="14"/>
      <c r="J703"/>
    </row>
    <row r="704" spans="1:10" ht="28.5">
      <c r="A704" s="332" t="s">
        <v>753</v>
      </c>
      <c r="B704" s="312"/>
      <c r="C704" s="63" t="s">
        <v>375</v>
      </c>
      <c r="D704" s="75" t="s">
        <v>414</v>
      </c>
      <c r="E704" s="127" t="s">
        <v>90</v>
      </c>
      <c r="F704" s="133"/>
      <c r="G704" s="180">
        <f>SUM(G705:G707)</f>
        <v>3211.7</v>
      </c>
      <c r="H704" s="34"/>
      <c r="I704" s="14"/>
      <c r="J704"/>
    </row>
    <row r="705" spans="1:10" ht="28.5">
      <c r="A705" s="332" t="s">
        <v>444</v>
      </c>
      <c r="B705" s="312"/>
      <c r="C705" s="63" t="s">
        <v>375</v>
      </c>
      <c r="D705" s="75" t="s">
        <v>414</v>
      </c>
      <c r="E705" s="127" t="s">
        <v>90</v>
      </c>
      <c r="F705" s="133" t="s">
        <v>445</v>
      </c>
      <c r="G705" s="180">
        <v>700</v>
      </c>
      <c r="H705" s="34"/>
      <c r="I705" s="14"/>
      <c r="J705">
        <f>SUM('ведомствен.2015'!G573)</f>
        <v>700</v>
      </c>
    </row>
    <row r="706" spans="1:10" ht="28.5">
      <c r="A706" s="187" t="s">
        <v>697</v>
      </c>
      <c r="B706" s="312"/>
      <c r="C706" s="63" t="s">
        <v>375</v>
      </c>
      <c r="D706" s="75" t="s">
        <v>414</v>
      </c>
      <c r="E706" s="127" t="s">
        <v>90</v>
      </c>
      <c r="F706" s="133" t="s">
        <v>112</v>
      </c>
      <c r="G706" s="180">
        <v>1555.7</v>
      </c>
      <c r="H706" s="34"/>
      <c r="I706" s="14"/>
      <c r="J706">
        <f>SUM('ведомствен.2015'!G574)</f>
        <v>1555.7</v>
      </c>
    </row>
    <row r="707" spans="1:10" ht="27.75" customHeight="1">
      <c r="A707" s="337" t="s">
        <v>463</v>
      </c>
      <c r="B707" s="312"/>
      <c r="C707" s="63" t="s">
        <v>375</v>
      </c>
      <c r="D707" s="75" t="s">
        <v>414</v>
      </c>
      <c r="E707" s="127" t="s">
        <v>90</v>
      </c>
      <c r="F707" s="133" t="s">
        <v>461</v>
      </c>
      <c r="G707" s="180">
        <v>956</v>
      </c>
      <c r="H707" s="34"/>
      <c r="I707" s="14"/>
      <c r="J707">
        <f>SUM('ведомствен.2015'!G575)</f>
        <v>956</v>
      </c>
    </row>
    <row r="708" spans="1:9" s="28" customFormat="1" ht="42.75" hidden="1">
      <c r="A708" s="332" t="s">
        <v>142</v>
      </c>
      <c r="B708" s="312"/>
      <c r="C708" s="63" t="s">
        <v>375</v>
      </c>
      <c r="D708" s="75" t="s">
        <v>414</v>
      </c>
      <c r="E708" s="127" t="s">
        <v>368</v>
      </c>
      <c r="F708" s="133"/>
      <c r="G708" s="180">
        <f>SUM(G709)</f>
        <v>0</v>
      </c>
      <c r="H708" s="27"/>
      <c r="I708" s="14"/>
    </row>
    <row r="709" spans="1:9" s="28" customFormat="1" ht="15" hidden="1">
      <c r="A709" s="337" t="s">
        <v>134</v>
      </c>
      <c r="B709" s="312"/>
      <c r="C709" s="63" t="s">
        <v>375</v>
      </c>
      <c r="D709" s="75" t="s">
        <v>414</v>
      </c>
      <c r="E709" s="127" t="s">
        <v>368</v>
      </c>
      <c r="F709" s="133" t="s">
        <v>78</v>
      </c>
      <c r="G709" s="180"/>
      <c r="H709" s="27"/>
      <c r="I709" s="14"/>
    </row>
    <row r="710" spans="1:9" s="28" customFormat="1" ht="15" hidden="1">
      <c r="A710" s="332" t="s">
        <v>145</v>
      </c>
      <c r="B710" s="312"/>
      <c r="C710" s="63" t="s">
        <v>375</v>
      </c>
      <c r="D710" s="75" t="s">
        <v>416</v>
      </c>
      <c r="E710" s="124"/>
      <c r="F710" s="134"/>
      <c r="G710" s="180">
        <f>SUM(G711)</f>
        <v>0</v>
      </c>
      <c r="H710" s="27"/>
      <c r="I710" s="14"/>
    </row>
    <row r="711" spans="1:10" s="28" customFormat="1" ht="15" hidden="1">
      <c r="A711" s="332" t="s">
        <v>3</v>
      </c>
      <c r="B711" s="312"/>
      <c r="C711" s="63" t="s">
        <v>375</v>
      </c>
      <c r="D711" s="75" t="s">
        <v>416</v>
      </c>
      <c r="E711" s="75" t="s">
        <v>4</v>
      </c>
      <c r="F711" s="134"/>
      <c r="G711" s="180">
        <f>SUM(G712)</f>
        <v>0</v>
      </c>
      <c r="H711" s="27"/>
      <c r="I711" s="14"/>
      <c r="J711"/>
    </row>
    <row r="712" spans="1:9" s="28" customFormat="1" ht="28.5" hidden="1">
      <c r="A712" s="332" t="s">
        <v>146</v>
      </c>
      <c r="B712" s="312"/>
      <c r="C712" s="63" t="s">
        <v>375</v>
      </c>
      <c r="D712" s="75" t="s">
        <v>416</v>
      </c>
      <c r="E712" s="75" t="s">
        <v>266</v>
      </c>
      <c r="F712" s="134"/>
      <c r="G712" s="180">
        <f>SUM(G713)</f>
        <v>0</v>
      </c>
      <c r="H712" s="27"/>
      <c r="I712" s="14"/>
    </row>
    <row r="713" spans="1:9" s="28" customFormat="1" ht="15" hidden="1">
      <c r="A713" s="337" t="s">
        <v>134</v>
      </c>
      <c r="B713" s="312"/>
      <c r="C713" s="63" t="s">
        <v>375</v>
      </c>
      <c r="D713" s="75" t="s">
        <v>416</v>
      </c>
      <c r="E713" s="75" t="s">
        <v>266</v>
      </c>
      <c r="F713" s="133" t="s">
        <v>78</v>
      </c>
      <c r="G713" s="180"/>
      <c r="H713" s="27"/>
      <c r="I713" s="14"/>
    </row>
    <row r="714" spans="1:10" ht="15" hidden="1">
      <c r="A714" s="332" t="s">
        <v>215</v>
      </c>
      <c r="B714" s="312"/>
      <c r="C714" s="63" t="s">
        <v>375</v>
      </c>
      <c r="D714" s="75" t="s">
        <v>123</v>
      </c>
      <c r="E714" s="124"/>
      <c r="F714" s="134"/>
      <c r="G714" s="180">
        <f>SUM(G715+G721+G723)+G718</f>
        <v>0</v>
      </c>
      <c r="H714" s="14" t="e">
        <f>SUM(H719)+H723+H725</f>
        <v>#REF!</v>
      </c>
      <c r="I714" s="14" t="e">
        <f>SUM(H714/G720*100)</f>
        <v>#REF!</v>
      </c>
      <c r="J714"/>
    </row>
    <row r="715" spans="1:10" ht="42.75" hidden="1">
      <c r="A715" s="332" t="s">
        <v>91</v>
      </c>
      <c r="B715" s="312"/>
      <c r="C715" s="63" t="s">
        <v>375</v>
      </c>
      <c r="D715" s="75" t="s">
        <v>123</v>
      </c>
      <c r="E715" s="75" t="s">
        <v>92</v>
      </c>
      <c r="F715" s="134"/>
      <c r="G715" s="180">
        <f>SUM(G716)</f>
        <v>0</v>
      </c>
      <c r="H715" s="14"/>
      <c r="I715" s="14"/>
      <c r="J715"/>
    </row>
    <row r="716" spans="1:10" ht="15" hidden="1">
      <c r="A716" s="332" t="s">
        <v>99</v>
      </c>
      <c r="B716" s="312"/>
      <c r="C716" s="63" t="s">
        <v>375</v>
      </c>
      <c r="D716" s="75" t="s">
        <v>123</v>
      </c>
      <c r="E716" s="75" t="s">
        <v>101</v>
      </c>
      <c r="F716" s="134"/>
      <c r="G716" s="180">
        <f>SUM(G717)</f>
        <v>0</v>
      </c>
      <c r="H716" s="14"/>
      <c r="I716" s="14"/>
      <c r="J716"/>
    </row>
    <row r="717" spans="1:10" ht="15" hidden="1">
      <c r="A717" s="332" t="s">
        <v>95</v>
      </c>
      <c r="B717" s="312"/>
      <c r="C717" s="63" t="s">
        <v>375</v>
      </c>
      <c r="D717" s="75" t="s">
        <v>123</v>
      </c>
      <c r="E717" s="75" t="s">
        <v>101</v>
      </c>
      <c r="F717" s="133" t="s">
        <v>96</v>
      </c>
      <c r="G717" s="180"/>
      <c r="H717" s="18">
        <f>SUM(H718)</f>
        <v>1042.3</v>
      </c>
      <c r="I717" s="14" t="e">
        <f>SUM(H717/G723*100)</f>
        <v>#DIV/0!</v>
      </c>
      <c r="J717"/>
    </row>
    <row r="718" spans="1:10" ht="15" hidden="1">
      <c r="A718" s="119" t="s">
        <v>120</v>
      </c>
      <c r="B718" s="198"/>
      <c r="C718" s="188" t="s">
        <v>375</v>
      </c>
      <c r="D718" s="189" t="s">
        <v>123</v>
      </c>
      <c r="E718" s="192" t="s">
        <v>121</v>
      </c>
      <c r="F718" s="242"/>
      <c r="G718" s="161">
        <f>SUM(G719)</f>
        <v>0</v>
      </c>
      <c r="H718" s="18">
        <v>1042.3</v>
      </c>
      <c r="I718" s="14" t="e">
        <f>SUM(H718/G724*100)</f>
        <v>#DIV/0!</v>
      </c>
      <c r="J718"/>
    </row>
    <row r="719" spans="1:9" s="28" customFormat="1" ht="28.5" hidden="1">
      <c r="A719" s="200" t="s">
        <v>677</v>
      </c>
      <c r="B719" s="200"/>
      <c r="C719" s="188" t="s">
        <v>375</v>
      </c>
      <c r="D719" s="189" t="s">
        <v>123</v>
      </c>
      <c r="E719" s="192" t="s">
        <v>49</v>
      </c>
      <c r="F719" s="242"/>
      <c r="G719" s="161">
        <f>SUM(G720)</f>
        <v>0</v>
      </c>
      <c r="H719" s="27"/>
      <c r="I719" s="14"/>
    </row>
    <row r="720" spans="1:10" s="28" customFormat="1" ht="28.5" hidden="1">
      <c r="A720" s="158" t="s">
        <v>512</v>
      </c>
      <c r="B720" s="200"/>
      <c r="C720" s="188" t="s">
        <v>375</v>
      </c>
      <c r="D720" s="189" t="s">
        <v>123</v>
      </c>
      <c r="E720" s="192" t="s">
        <v>49</v>
      </c>
      <c r="F720" s="242" t="s">
        <v>507</v>
      </c>
      <c r="G720" s="161"/>
      <c r="H720" s="27"/>
      <c r="I720" s="14"/>
      <c r="J720" s="28">
        <f>SUM('ведомствен.2015'!G313)</f>
        <v>0</v>
      </c>
    </row>
    <row r="721" spans="1:11" s="60" customFormat="1" ht="15.75" hidden="1">
      <c r="A721" s="337" t="s">
        <v>345</v>
      </c>
      <c r="B721" s="312"/>
      <c r="C721" s="63" t="s">
        <v>375</v>
      </c>
      <c r="D721" s="75" t="s">
        <v>123</v>
      </c>
      <c r="E721" s="124" t="s">
        <v>346</v>
      </c>
      <c r="F721" s="134"/>
      <c r="G721" s="180">
        <f>SUM(G722)</f>
        <v>0</v>
      </c>
      <c r="H721" s="59"/>
      <c r="I721" s="17"/>
      <c r="K721" s="67"/>
    </row>
    <row r="722" spans="1:9" s="28" customFormat="1" ht="15" hidden="1">
      <c r="A722" s="332" t="s">
        <v>95</v>
      </c>
      <c r="B722" s="312"/>
      <c r="C722" s="63" t="s">
        <v>375</v>
      </c>
      <c r="D722" s="75" t="s">
        <v>123</v>
      </c>
      <c r="E722" s="124" t="s">
        <v>346</v>
      </c>
      <c r="F722" s="134" t="s">
        <v>96</v>
      </c>
      <c r="G722" s="180"/>
      <c r="H722" s="27"/>
      <c r="I722" s="14"/>
    </row>
    <row r="723" spans="1:9" s="28" customFormat="1" ht="28.5" hidden="1">
      <c r="A723" s="333" t="s">
        <v>105</v>
      </c>
      <c r="B723" s="312"/>
      <c r="C723" s="63" t="s">
        <v>375</v>
      </c>
      <c r="D723" s="75" t="s">
        <v>123</v>
      </c>
      <c r="E723" s="75" t="s">
        <v>106</v>
      </c>
      <c r="F723" s="135"/>
      <c r="G723" s="180">
        <f>SUM(G725)</f>
        <v>0</v>
      </c>
      <c r="H723" s="18" t="e">
        <f>SUM(H724)</f>
        <v>#REF!</v>
      </c>
      <c r="I723" s="14" t="e">
        <f>SUM(H723/G728*100)</f>
        <v>#REF!</v>
      </c>
    </row>
    <row r="724" spans="1:9" s="28" customFormat="1" ht="15" hidden="1">
      <c r="A724" s="333" t="s">
        <v>107</v>
      </c>
      <c r="B724" s="312"/>
      <c r="C724" s="63" t="s">
        <v>375</v>
      </c>
      <c r="D724" s="75" t="s">
        <v>123</v>
      </c>
      <c r="E724" s="75" t="s">
        <v>222</v>
      </c>
      <c r="F724" s="135"/>
      <c r="G724" s="180">
        <f>SUM(G725)</f>
        <v>0</v>
      </c>
      <c r="H724" s="18" t="e">
        <f>SUM(H725)</f>
        <v>#REF!</v>
      </c>
      <c r="I724" s="14" t="e">
        <f>SUM(H724/G729*100)</f>
        <v>#REF!</v>
      </c>
    </row>
    <row r="725" spans="1:10" s="28" customFormat="1" ht="15" hidden="1">
      <c r="A725" s="332" t="s">
        <v>95</v>
      </c>
      <c r="B725" s="312"/>
      <c r="C725" s="63" t="s">
        <v>375</v>
      </c>
      <c r="D725" s="75" t="s">
        <v>123</v>
      </c>
      <c r="E725" s="75" t="s">
        <v>222</v>
      </c>
      <c r="F725" s="135" t="s">
        <v>96</v>
      </c>
      <c r="G725" s="180"/>
      <c r="H725" s="18" t="e">
        <f>SUM(#REF!)</f>
        <v>#REF!</v>
      </c>
      <c r="I725" s="14" t="e">
        <f>SUM(H725/G730*100)</f>
        <v>#REF!</v>
      </c>
      <c r="J725" s="40"/>
    </row>
    <row r="726" spans="1:9" ht="16.5" thickBot="1">
      <c r="A726" s="335" t="s">
        <v>358</v>
      </c>
      <c r="B726" s="315"/>
      <c r="C726" s="136" t="s">
        <v>212</v>
      </c>
      <c r="D726" s="125" t="s">
        <v>168</v>
      </c>
      <c r="E726" s="125"/>
      <c r="F726" s="138"/>
      <c r="G726" s="305">
        <f>SUM(G727)</f>
        <v>47502.6</v>
      </c>
      <c r="H726" s="29">
        <f>-76000-174.5-350</f>
        <v>-76524.5</v>
      </c>
      <c r="I726" s="29">
        <f>-76000-174.5-350</f>
        <v>-76524.5</v>
      </c>
    </row>
    <row r="727" spans="1:9" ht="28.5">
      <c r="A727" s="332" t="s">
        <v>213</v>
      </c>
      <c r="B727" s="312"/>
      <c r="C727" s="63" t="s">
        <v>212</v>
      </c>
      <c r="D727" s="75" t="s">
        <v>414</v>
      </c>
      <c r="E727" s="75"/>
      <c r="F727" s="133"/>
      <c r="G727" s="180">
        <f>SUM(G728)</f>
        <v>47502.6</v>
      </c>
      <c r="H727" s="30"/>
      <c r="I727" s="30"/>
    </row>
    <row r="728" spans="1:9" ht="15.75" thickBot="1">
      <c r="A728" s="332" t="s">
        <v>359</v>
      </c>
      <c r="B728" s="312"/>
      <c r="C728" s="63" t="s">
        <v>212</v>
      </c>
      <c r="D728" s="75" t="s">
        <v>414</v>
      </c>
      <c r="E728" s="75" t="s">
        <v>360</v>
      </c>
      <c r="F728" s="135"/>
      <c r="G728" s="180">
        <f>SUM(G730)</f>
        <v>47502.6</v>
      </c>
      <c r="H728" s="31"/>
      <c r="I728" s="31"/>
    </row>
    <row r="729" spans="1:9" ht="15">
      <c r="A729" s="332" t="s">
        <v>361</v>
      </c>
      <c r="B729" s="312"/>
      <c r="C729" s="63" t="s">
        <v>212</v>
      </c>
      <c r="D729" s="75" t="s">
        <v>414</v>
      </c>
      <c r="E729" s="75" t="s">
        <v>362</v>
      </c>
      <c r="F729" s="135"/>
      <c r="G729" s="180">
        <f>SUM(G730)</f>
        <v>47502.6</v>
      </c>
      <c r="H729" s="32">
        <v>0</v>
      </c>
      <c r="I729" s="32">
        <v>0</v>
      </c>
    </row>
    <row r="730" spans="1:10" ht="15.75" thickBot="1">
      <c r="A730" s="332" t="s">
        <v>457</v>
      </c>
      <c r="B730" s="312"/>
      <c r="C730" s="63" t="s">
        <v>212</v>
      </c>
      <c r="D730" s="75" t="s">
        <v>414</v>
      </c>
      <c r="E730" s="75" t="s">
        <v>362</v>
      </c>
      <c r="F730" s="135" t="s">
        <v>159</v>
      </c>
      <c r="G730" s="180">
        <v>47502.6</v>
      </c>
      <c r="H730" s="32">
        <v>62000</v>
      </c>
      <c r="I730" s="32">
        <v>62000</v>
      </c>
      <c r="J730" s="36">
        <f>SUM('ведомствен.2015'!G359)</f>
        <v>47502.6</v>
      </c>
    </row>
    <row r="731" spans="1:10" ht="16.5" customHeight="1" thickBot="1">
      <c r="A731" s="350" t="s">
        <v>157</v>
      </c>
      <c r="B731" s="331"/>
      <c r="C731" s="286"/>
      <c r="D731" s="128"/>
      <c r="E731" s="128"/>
      <c r="F731" s="141"/>
      <c r="G731" s="310">
        <f>SUM(G13+G90+G121+G167+G261+G272+G402+G475+G525+G695+G726)</f>
        <v>3454603.8000000003</v>
      </c>
      <c r="H731" s="33">
        <v>62000</v>
      </c>
      <c r="I731" s="33">
        <v>62000</v>
      </c>
      <c r="J731" s="39">
        <f>SUM(J13:J730)</f>
        <v>3454603.8</v>
      </c>
    </row>
    <row r="732" ht="0.75" customHeight="1" hidden="1">
      <c r="G732" s="65"/>
    </row>
    <row r="733" spans="7:10" ht="12.75" hidden="1">
      <c r="G733" s="79">
        <f>SUM(J731-G731)</f>
        <v>-4.656612873077393E-10</v>
      </c>
      <c r="J733" s="36">
        <f>SUM('ведомствен.2015'!G884-'функцион.2015'!J731)</f>
        <v>0</v>
      </c>
    </row>
  </sheetData>
  <sheetProtection/>
  <mergeCells count="2">
    <mergeCell ref="F5:G5"/>
    <mergeCell ref="A11:A12"/>
  </mergeCells>
  <printOptions/>
  <pageMargins left="1.1023622047244095" right="0.15748031496062992" top="0.15748031496062992" bottom="0.03937007874015748" header="0.5118110236220472" footer="0.2362204724409449"/>
  <pageSetup fitToHeight="19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889"/>
  <sheetViews>
    <sheetView zoomScale="75" zoomScaleNormal="75" zoomScalePageLayoutView="0" workbookViewId="0" topLeftCell="A1">
      <selection activeCell="F6" sqref="F6"/>
    </sheetView>
  </sheetViews>
  <sheetFormatPr defaultColWidth="9.00390625" defaultRowHeight="12.75"/>
  <cols>
    <col min="1" max="1" width="78.25390625" style="93" customWidth="1"/>
    <col min="2" max="2" width="6.875" style="94" customWidth="1"/>
    <col min="3" max="3" width="7.75390625" style="95" customWidth="1"/>
    <col min="4" max="4" width="8.00390625" style="95" customWidth="1"/>
    <col min="5" max="5" width="12.75390625" style="95" customWidth="1"/>
    <col min="6" max="6" width="10.875" style="95" customWidth="1"/>
    <col min="7" max="7" width="17.125" style="97" customWidth="1"/>
    <col min="8" max="8" width="11.00390625" style="97" hidden="1" customWidth="1"/>
    <col min="9" max="9" width="4.375" style="97" hidden="1" customWidth="1"/>
    <col min="10" max="10" width="5.875" style="95" customWidth="1"/>
    <col min="11" max="11" width="17.00390625" style="95" customWidth="1"/>
    <col min="12" max="16384" width="9.125" style="95" customWidth="1"/>
  </cols>
  <sheetData>
    <row r="1" spans="6:9" ht="15">
      <c r="F1" s="81" t="s">
        <v>748</v>
      </c>
      <c r="G1" s="82"/>
      <c r="I1" s="98"/>
    </row>
    <row r="2" spans="1:9" ht="15.75" customHeight="1">
      <c r="A2" s="360"/>
      <c r="B2" s="417"/>
      <c r="C2" s="418"/>
      <c r="D2" s="418"/>
      <c r="F2" s="80" t="s">
        <v>754</v>
      </c>
      <c r="G2" s="82"/>
      <c r="I2" s="98"/>
    </row>
    <row r="3" spans="1:9" ht="12.75" customHeight="1">
      <c r="A3" s="360"/>
      <c r="F3" s="80" t="s">
        <v>243</v>
      </c>
      <c r="G3" s="82"/>
      <c r="I3" s="98"/>
    </row>
    <row r="4" spans="6:9" ht="15">
      <c r="F4" s="80" t="s">
        <v>244</v>
      </c>
      <c r="G4" s="82"/>
      <c r="I4" s="98"/>
    </row>
    <row r="5" spans="2:7" ht="15.75" customHeight="1">
      <c r="B5" s="99" t="s">
        <v>225</v>
      </c>
      <c r="F5" s="412" t="s">
        <v>755</v>
      </c>
      <c r="G5" s="412"/>
    </row>
    <row r="6" ht="15.75">
      <c r="B6" s="99" t="s">
        <v>226</v>
      </c>
    </row>
    <row r="7" ht="15.75">
      <c r="B7" s="99" t="s">
        <v>568</v>
      </c>
    </row>
    <row r="8" ht="16.5" thickBot="1">
      <c r="B8" s="83"/>
    </row>
    <row r="9" spans="1:9" ht="15">
      <c r="A9" s="415" t="s">
        <v>227</v>
      </c>
      <c r="B9" s="237" t="s">
        <v>249</v>
      </c>
      <c r="C9" s="236"/>
      <c r="D9" s="236"/>
      <c r="E9" s="236"/>
      <c r="F9" s="238"/>
      <c r="G9" s="129" t="s">
        <v>250</v>
      </c>
      <c r="H9" s="100" t="s">
        <v>251</v>
      </c>
      <c r="I9" s="100" t="s">
        <v>252</v>
      </c>
    </row>
    <row r="10" spans="1:9" ht="55.5" customHeight="1" thickBot="1">
      <c r="A10" s="416"/>
      <c r="B10" s="392" t="s">
        <v>253</v>
      </c>
      <c r="C10" s="393" t="s">
        <v>254</v>
      </c>
      <c r="D10" s="393" t="s">
        <v>255</v>
      </c>
      <c r="E10" s="393" t="s">
        <v>256</v>
      </c>
      <c r="F10" s="239" t="s">
        <v>458</v>
      </c>
      <c r="G10" s="130" t="s">
        <v>569</v>
      </c>
      <c r="H10" s="101" t="s">
        <v>411</v>
      </c>
      <c r="I10" s="101" t="s">
        <v>412</v>
      </c>
    </row>
    <row r="11" spans="1:9" ht="15.75">
      <c r="A11" s="210" t="s">
        <v>175</v>
      </c>
      <c r="B11" s="211" t="s">
        <v>176</v>
      </c>
      <c r="C11" s="212"/>
      <c r="D11" s="212"/>
      <c r="E11" s="212"/>
      <c r="F11" s="240"/>
      <c r="G11" s="176">
        <f>SUM(G12)</f>
        <v>20640.1</v>
      </c>
      <c r="H11" s="84" t="e">
        <f>SUM(H12)+#REF!+#REF!</f>
        <v>#REF!</v>
      </c>
      <c r="I11" s="84" t="e">
        <f aca="true" t="shared" si="0" ref="I11:I42">SUM(H11/G11*100)</f>
        <v>#REF!</v>
      </c>
    </row>
    <row r="12" spans="1:9" ht="15">
      <c r="A12" s="187" t="s">
        <v>413</v>
      </c>
      <c r="B12" s="188"/>
      <c r="C12" s="189" t="s">
        <v>414</v>
      </c>
      <c r="D12" s="189"/>
      <c r="E12" s="189"/>
      <c r="F12" s="241"/>
      <c r="G12" s="161">
        <f>SUM(G13+G17+G24)</f>
        <v>20640.1</v>
      </c>
      <c r="H12" s="22">
        <f>SUM(H13+H17+H24)</f>
        <v>9401.9</v>
      </c>
      <c r="I12" s="22">
        <f t="shared" si="0"/>
        <v>45.551620389436096</v>
      </c>
    </row>
    <row r="13" spans="1:9" ht="28.5">
      <c r="A13" s="187" t="s">
        <v>415</v>
      </c>
      <c r="B13" s="188"/>
      <c r="C13" s="189" t="s">
        <v>414</v>
      </c>
      <c r="D13" s="189" t="s">
        <v>416</v>
      </c>
      <c r="E13" s="189"/>
      <c r="F13" s="241"/>
      <c r="G13" s="161">
        <f>SUM(G14)</f>
        <v>1725</v>
      </c>
      <c r="H13" s="22">
        <f>SUM(H14)</f>
        <v>983.5</v>
      </c>
      <c r="I13" s="22">
        <f t="shared" si="0"/>
        <v>57.014492753623195</v>
      </c>
    </row>
    <row r="14" spans="1:9" ht="28.5">
      <c r="A14" s="187" t="s">
        <v>91</v>
      </c>
      <c r="B14" s="188"/>
      <c r="C14" s="189" t="s">
        <v>414</v>
      </c>
      <c r="D14" s="189" t="s">
        <v>416</v>
      </c>
      <c r="E14" s="189" t="s">
        <v>92</v>
      </c>
      <c r="F14" s="241"/>
      <c r="G14" s="161">
        <f>SUM(G16)</f>
        <v>1725</v>
      </c>
      <c r="H14" s="22">
        <f>SUM(H16:H16)</f>
        <v>983.5</v>
      </c>
      <c r="I14" s="22">
        <f t="shared" si="0"/>
        <v>57.014492753623195</v>
      </c>
    </row>
    <row r="15" spans="1:9" ht="15">
      <c r="A15" s="187" t="s">
        <v>93</v>
      </c>
      <c r="B15" s="188"/>
      <c r="C15" s="189" t="s">
        <v>414</v>
      </c>
      <c r="D15" s="189" t="s">
        <v>416</v>
      </c>
      <c r="E15" s="189" t="s">
        <v>94</v>
      </c>
      <c r="F15" s="241"/>
      <c r="G15" s="161">
        <f>SUM(G16)</f>
        <v>1725</v>
      </c>
      <c r="H15" s="22">
        <f>SUM(H16)</f>
        <v>983.5</v>
      </c>
      <c r="I15" s="22">
        <f t="shared" si="0"/>
        <v>57.014492753623195</v>
      </c>
    </row>
    <row r="16" spans="1:9" ht="28.5">
      <c r="A16" s="187" t="s">
        <v>444</v>
      </c>
      <c r="B16" s="188"/>
      <c r="C16" s="189" t="s">
        <v>414</v>
      </c>
      <c r="D16" s="189" t="s">
        <v>416</v>
      </c>
      <c r="E16" s="189" t="s">
        <v>94</v>
      </c>
      <c r="F16" s="241" t="s">
        <v>445</v>
      </c>
      <c r="G16" s="161">
        <v>1725</v>
      </c>
      <c r="H16" s="22">
        <v>983.5</v>
      </c>
      <c r="I16" s="22">
        <f t="shared" si="0"/>
        <v>57.014492753623195</v>
      </c>
    </row>
    <row r="17" spans="1:9" ht="42.75">
      <c r="A17" s="187" t="s">
        <v>97</v>
      </c>
      <c r="B17" s="188"/>
      <c r="C17" s="189" t="s">
        <v>414</v>
      </c>
      <c r="D17" s="189" t="s">
        <v>98</v>
      </c>
      <c r="E17" s="189"/>
      <c r="F17" s="241"/>
      <c r="G17" s="161">
        <f>SUM(G18)</f>
        <v>11601.1</v>
      </c>
      <c r="H17" s="22">
        <f>SUM(H18)</f>
        <v>8231.8</v>
      </c>
      <c r="I17" s="22">
        <f t="shared" si="0"/>
        <v>70.95706441630534</v>
      </c>
    </row>
    <row r="18" spans="1:9" ht="28.5">
      <c r="A18" s="187" t="s">
        <v>91</v>
      </c>
      <c r="B18" s="188"/>
      <c r="C18" s="189" t="s">
        <v>414</v>
      </c>
      <c r="D18" s="189" t="s">
        <v>98</v>
      </c>
      <c r="E18" s="189" t="s">
        <v>92</v>
      </c>
      <c r="F18" s="242"/>
      <c r="G18" s="161">
        <f>SUM(G19+G22)</f>
        <v>11601.1</v>
      </c>
      <c r="H18" s="22">
        <f>SUM(H19+H22)</f>
        <v>8231.8</v>
      </c>
      <c r="I18" s="22">
        <f t="shared" si="0"/>
        <v>70.95706441630534</v>
      </c>
    </row>
    <row r="19" spans="1:9" ht="15">
      <c r="A19" s="187" t="s">
        <v>99</v>
      </c>
      <c r="B19" s="188"/>
      <c r="C19" s="189" t="s">
        <v>100</v>
      </c>
      <c r="D19" s="189" t="s">
        <v>98</v>
      </c>
      <c r="E19" s="189" t="s">
        <v>101</v>
      </c>
      <c r="F19" s="242"/>
      <c r="G19" s="161">
        <f>SUM(G20+G21)</f>
        <v>11601.1</v>
      </c>
      <c r="H19" s="22">
        <f>SUM(H20)</f>
        <v>8068.7</v>
      </c>
      <c r="I19" s="22">
        <f t="shared" si="0"/>
        <v>69.55116325176061</v>
      </c>
    </row>
    <row r="20" spans="1:9" ht="28.5">
      <c r="A20" s="187" t="s">
        <v>444</v>
      </c>
      <c r="B20" s="188"/>
      <c r="C20" s="189" t="s">
        <v>414</v>
      </c>
      <c r="D20" s="189" t="s">
        <v>98</v>
      </c>
      <c r="E20" s="189" t="s">
        <v>101</v>
      </c>
      <c r="F20" s="241" t="s">
        <v>445</v>
      </c>
      <c r="G20" s="161">
        <v>11591.5</v>
      </c>
      <c r="H20" s="22">
        <v>8068.7</v>
      </c>
      <c r="I20" s="22">
        <f t="shared" si="0"/>
        <v>69.60876504335073</v>
      </c>
    </row>
    <row r="21" spans="1:9" ht="28.5">
      <c r="A21" s="187" t="s">
        <v>697</v>
      </c>
      <c r="B21" s="188"/>
      <c r="C21" s="189" t="s">
        <v>414</v>
      </c>
      <c r="D21" s="189" t="s">
        <v>98</v>
      </c>
      <c r="E21" s="189" t="s">
        <v>101</v>
      </c>
      <c r="F21" s="241" t="s">
        <v>112</v>
      </c>
      <c r="G21" s="169">
        <v>9.6</v>
      </c>
      <c r="H21" s="22"/>
      <c r="I21" s="22"/>
    </row>
    <row r="22" spans="1:9" ht="15" hidden="1">
      <c r="A22" s="187" t="s">
        <v>102</v>
      </c>
      <c r="B22" s="188"/>
      <c r="C22" s="189" t="s">
        <v>100</v>
      </c>
      <c r="D22" s="189" t="s">
        <v>98</v>
      </c>
      <c r="E22" s="189" t="s">
        <v>103</v>
      </c>
      <c r="F22" s="241"/>
      <c r="G22" s="161">
        <f>SUM(G23)</f>
        <v>0</v>
      </c>
      <c r="H22" s="22">
        <f>SUM(H23)</f>
        <v>163.1</v>
      </c>
      <c r="I22" s="22" t="e">
        <f t="shared" si="0"/>
        <v>#DIV/0!</v>
      </c>
    </row>
    <row r="23" spans="1:9" ht="15" hidden="1">
      <c r="A23" s="187" t="s">
        <v>95</v>
      </c>
      <c r="B23" s="188"/>
      <c r="C23" s="189" t="s">
        <v>100</v>
      </c>
      <c r="D23" s="189" t="s">
        <v>98</v>
      </c>
      <c r="E23" s="189" t="s">
        <v>103</v>
      </c>
      <c r="F23" s="241" t="s">
        <v>96</v>
      </c>
      <c r="G23" s="161"/>
      <c r="H23" s="22">
        <v>163.1</v>
      </c>
      <c r="I23" s="22" t="e">
        <f t="shared" si="0"/>
        <v>#DIV/0!</v>
      </c>
    </row>
    <row r="24" spans="1:9" ht="15">
      <c r="A24" s="187" t="s">
        <v>104</v>
      </c>
      <c r="B24" s="188"/>
      <c r="C24" s="189" t="s">
        <v>414</v>
      </c>
      <c r="D24" s="189" t="s">
        <v>212</v>
      </c>
      <c r="E24" s="189"/>
      <c r="F24" s="242"/>
      <c r="G24" s="161">
        <f>SUM(G25)</f>
        <v>7314</v>
      </c>
      <c r="H24" s="22">
        <f>SUM(H31)</f>
        <v>186.6</v>
      </c>
      <c r="I24" s="22">
        <f t="shared" si="0"/>
        <v>2.5512715340442984</v>
      </c>
    </row>
    <row r="25" spans="1:9" ht="28.5">
      <c r="A25" s="187" t="s">
        <v>446</v>
      </c>
      <c r="B25" s="188"/>
      <c r="C25" s="189" t="s">
        <v>414</v>
      </c>
      <c r="D25" s="189" t="s">
        <v>212</v>
      </c>
      <c r="E25" s="189" t="s">
        <v>447</v>
      </c>
      <c r="F25" s="242"/>
      <c r="G25" s="161">
        <f>SUM(G26+G29+G31)</f>
        <v>7314</v>
      </c>
      <c r="H25" s="22"/>
      <c r="I25" s="22"/>
    </row>
    <row r="26" spans="1:9" ht="15">
      <c r="A26" s="187" t="s">
        <v>437</v>
      </c>
      <c r="B26" s="188"/>
      <c r="C26" s="189" t="s">
        <v>414</v>
      </c>
      <c r="D26" s="189" t="s">
        <v>212</v>
      </c>
      <c r="E26" s="189" t="s">
        <v>448</v>
      </c>
      <c r="F26" s="241"/>
      <c r="G26" s="169">
        <f>SUM(G27:G28)</f>
        <v>740.6</v>
      </c>
      <c r="H26" s="22"/>
      <c r="I26" s="22"/>
    </row>
    <row r="27" spans="1:9" ht="28.5">
      <c r="A27" s="187" t="s">
        <v>697</v>
      </c>
      <c r="B27" s="188"/>
      <c r="C27" s="189" t="s">
        <v>414</v>
      </c>
      <c r="D27" s="189" t="s">
        <v>212</v>
      </c>
      <c r="E27" s="189" t="s">
        <v>448</v>
      </c>
      <c r="F27" s="241" t="s">
        <v>112</v>
      </c>
      <c r="G27" s="169">
        <v>696.2</v>
      </c>
      <c r="H27" s="22"/>
      <c r="I27" s="22"/>
    </row>
    <row r="28" spans="1:9" ht="15">
      <c r="A28" s="187" t="s">
        <v>450</v>
      </c>
      <c r="B28" s="188"/>
      <c r="C28" s="189" t="s">
        <v>414</v>
      </c>
      <c r="D28" s="189" t="s">
        <v>212</v>
      </c>
      <c r="E28" s="189" t="s">
        <v>448</v>
      </c>
      <c r="F28" s="241" t="s">
        <v>160</v>
      </c>
      <c r="G28" s="169">
        <v>44.4</v>
      </c>
      <c r="H28" s="22"/>
      <c r="I28" s="22"/>
    </row>
    <row r="29" spans="1:9" ht="28.5">
      <c r="A29" s="187" t="s">
        <v>438</v>
      </c>
      <c r="B29" s="188"/>
      <c r="C29" s="189" t="s">
        <v>414</v>
      </c>
      <c r="D29" s="189" t="s">
        <v>212</v>
      </c>
      <c r="E29" s="189" t="s">
        <v>451</v>
      </c>
      <c r="F29" s="241"/>
      <c r="G29" s="169">
        <f>SUM(G30)</f>
        <v>403.2</v>
      </c>
      <c r="H29" s="22"/>
      <c r="I29" s="22"/>
    </row>
    <row r="30" spans="1:9" ht="28.5">
      <c r="A30" s="187" t="s">
        <v>697</v>
      </c>
      <c r="B30" s="188"/>
      <c r="C30" s="189" t="s">
        <v>414</v>
      </c>
      <c r="D30" s="189" t="s">
        <v>212</v>
      </c>
      <c r="E30" s="189" t="s">
        <v>451</v>
      </c>
      <c r="F30" s="241" t="s">
        <v>112</v>
      </c>
      <c r="G30" s="169">
        <v>403.2</v>
      </c>
      <c r="H30" s="22"/>
      <c r="I30" s="22"/>
    </row>
    <row r="31" spans="1:9" ht="28.5">
      <c r="A31" s="152" t="s">
        <v>452</v>
      </c>
      <c r="B31" s="188"/>
      <c r="C31" s="189" t="s">
        <v>414</v>
      </c>
      <c r="D31" s="189" t="s">
        <v>212</v>
      </c>
      <c r="E31" s="189" t="s">
        <v>453</v>
      </c>
      <c r="F31" s="243"/>
      <c r="G31" s="161">
        <f>SUM(G32:G34)</f>
        <v>6170.2</v>
      </c>
      <c r="H31" s="22">
        <f>SUM(H34)</f>
        <v>186.6</v>
      </c>
      <c r="I31" s="22">
        <f t="shared" si="0"/>
        <v>3.0242131535444554</v>
      </c>
    </row>
    <row r="32" spans="1:9" ht="28.5">
      <c r="A32" s="187" t="s">
        <v>697</v>
      </c>
      <c r="B32" s="188"/>
      <c r="C32" s="189" t="s">
        <v>414</v>
      </c>
      <c r="D32" s="189" t="s">
        <v>212</v>
      </c>
      <c r="E32" s="189" t="s">
        <v>453</v>
      </c>
      <c r="F32" s="243" t="s">
        <v>112</v>
      </c>
      <c r="G32" s="161">
        <v>5499.3</v>
      </c>
      <c r="H32" s="22">
        <f>SUM(H34)</f>
        <v>186.6</v>
      </c>
      <c r="I32" s="22">
        <f t="shared" si="0"/>
        <v>3.3931591293437346</v>
      </c>
    </row>
    <row r="33" spans="1:9" ht="15">
      <c r="A33" s="187" t="s">
        <v>454</v>
      </c>
      <c r="B33" s="188"/>
      <c r="C33" s="189" t="s">
        <v>414</v>
      </c>
      <c r="D33" s="189" t="s">
        <v>212</v>
      </c>
      <c r="E33" s="189" t="s">
        <v>453</v>
      </c>
      <c r="F33" s="243" t="s">
        <v>455</v>
      </c>
      <c r="G33" s="161">
        <v>667</v>
      </c>
      <c r="H33" s="22"/>
      <c r="I33" s="22"/>
    </row>
    <row r="34" spans="1:9" ht="15">
      <c r="A34" s="187" t="s">
        <v>450</v>
      </c>
      <c r="B34" s="188"/>
      <c r="C34" s="189" t="s">
        <v>414</v>
      </c>
      <c r="D34" s="189" t="s">
        <v>212</v>
      </c>
      <c r="E34" s="189" t="s">
        <v>453</v>
      </c>
      <c r="F34" s="243" t="s">
        <v>160</v>
      </c>
      <c r="G34" s="161">
        <f>2.8+1.1</f>
        <v>3.9</v>
      </c>
      <c r="H34" s="22">
        <v>186.6</v>
      </c>
      <c r="I34" s="22">
        <f t="shared" si="0"/>
        <v>4784.615384615385</v>
      </c>
    </row>
    <row r="35" spans="1:9" ht="15.75">
      <c r="A35" s="190" t="s">
        <v>177</v>
      </c>
      <c r="B35" s="191" t="s">
        <v>178</v>
      </c>
      <c r="C35" s="192"/>
      <c r="D35" s="192"/>
      <c r="E35" s="192"/>
      <c r="F35" s="242"/>
      <c r="G35" s="170">
        <f aca="true" t="shared" si="1" ref="G35:H37">SUM(G36)</f>
        <v>6617.7</v>
      </c>
      <c r="H35" s="85" t="e">
        <f t="shared" si="1"/>
        <v>#REF!</v>
      </c>
      <c r="I35" s="85" t="e">
        <f t="shared" si="0"/>
        <v>#REF!</v>
      </c>
    </row>
    <row r="36" spans="1:9" ht="15">
      <c r="A36" s="187" t="s">
        <v>413</v>
      </c>
      <c r="B36" s="188"/>
      <c r="C36" s="189" t="s">
        <v>414</v>
      </c>
      <c r="D36" s="189"/>
      <c r="E36" s="189"/>
      <c r="F36" s="241"/>
      <c r="G36" s="161">
        <f>SUM(G37)+G44</f>
        <v>6617.7</v>
      </c>
      <c r="H36" s="22" t="e">
        <f t="shared" si="1"/>
        <v>#REF!</v>
      </c>
      <c r="I36" s="22" t="e">
        <f t="shared" si="0"/>
        <v>#REF!</v>
      </c>
    </row>
    <row r="37" spans="1:9" ht="28.5">
      <c r="A37" s="152" t="s">
        <v>348</v>
      </c>
      <c r="B37" s="188"/>
      <c r="C37" s="189" t="s">
        <v>414</v>
      </c>
      <c r="D37" s="189" t="s">
        <v>349</v>
      </c>
      <c r="E37" s="189"/>
      <c r="F37" s="241"/>
      <c r="G37" s="161">
        <f t="shared" si="1"/>
        <v>5584.9</v>
      </c>
      <c r="H37" s="22" t="e">
        <f t="shared" si="1"/>
        <v>#REF!</v>
      </c>
      <c r="I37" s="22" t="e">
        <f t="shared" si="0"/>
        <v>#REF!</v>
      </c>
    </row>
    <row r="38" spans="1:9" ht="28.5">
      <c r="A38" s="187" t="s">
        <v>91</v>
      </c>
      <c r="B38" s="188"/>
      <c r="C38" s="189" t="s">
        <v>414</v>
      </c>
      <c r="D38" s="189" t="s">
        <v>349</v>
      </c>
      <c r="E38" s="189" t="s">
        <v>92</v>
      </c>
      <c r="F38" s="242"/>
      <c r="G38" s="161">
        <f>SUM(G39+G42)</f>
        <v>5584.9</v>
      </c>
      <c r="H38" s="22" t="e">
        <f>SUM(H39+H42)</f>
        <v>#REF!</v>
      </c>
      <c r="I38" s="22" t="e">
        <f t="shared" si="0"/>
        <v>#REF!</v>
      </c>
    </row>
    <row r="39" spans="1:9" ht="15">
      <c r="A39" s="187" t="s">
        <v>99</v>
      </c>
      <c r="B39" s="188"/>
      <c r="C39" s="189" t="s">
        <v>414</v>
      </c>
      <c r="D39" s="189" t="s">
        <v>349</v>
      </c>
      <c r="E39" s="189" t="s">
        <v>101</v>
      </c>
      <c r="F39" s="242"/>
      <c r="G39" s="161">
        <f>SUM(G40)+G41</f>
        <v>3892.9</v>
      </c>
      <c r="H39" s="22">
        <f>SUM(H40)</f>
        <v>2155.5</v>
      </c>
      <c r="I39" s="22">
        <f t="shared" si="0"/>
        <v>55.37003262349405</v>
      </c>
    </row>
    <row r="40" spans="1:9" ht="28.5">
      <c r="A40" s="187" t="s">
        <v>444</v>
      </c>
      <c r="B40" s="188"/>
      <c r="C40" s="189" t="s">
        <v>414</v>
      </c>
      <c r="D40" s="189" t="s">
        <v>349</v>
      </c>
      <c r="E40" s="189" t="s">
        <v>101</v>
      </c>
      <c r="F40" s="241" t="s">
        <v>445</v>
      </c>
      <c r="G40" s="161">
        <v>3886.9</v>
      </c>
      <c r="H40" s="22">
        <v>2155.5</v>
      </c>
      <c r="I40" s="22">
        <f t="shared" si="0"/>
        <v>55.45550438652911</v>
      </c>
    </row>
    <row r="41" spans="1:9" ht="28.5">
      <c r="A41" s="187" t="s">
        <v>697</v>
      </c>
      <c r="B41" s="188"/>
      <c r="C41" s="189" t="s">
        <v>414</v>
      </c>
      <c r="D41" s="189" t="s">
        <v>349</v>
      </c>
      <c r="E41" s="189" t="s">
        <v>101</v>
      </c>
      <c r="F41" s="241" t="s">
        <v>112</v>
      </c>
      <c r="G41" s="169">
        <v>6</v>
      </c>
      <c r="H41" s="22"/>
      <c r="I41" s="22"/>
    </row>
    <row r="42" spans="1:9" s="102" customFormat="1" ht="28.5">
      <c r="A42" s="187" t="s">
        <v>352</v>
      </c>
      <c r="B42" s="188"/>
      <c r="C42" s="189" t="s">
        <v>100</v>
      </c>
      <c r="D42" s="189" t="s">
        <v>349</v>
      </c>
      <c r="E42" s="189" t="s">
        <v>353</v>
      </c>
      <c r="F42" s="243"/>
      <c r="G42" s="161">
        <f>SUM(G43)</f>
        <v>1692</v>
      </c>
      <c r="H42" s="22" t="e">
        <f>SUM(#REF!)</f>
        <v>#REF!</v>
      </c>
      <c r="I42" s="22" t="e">
        <f t="shared" si="0"/>
        <v>#REF!</v>
      </c>
    </row>
    <row r="43" spans="1:9" s="102" customFormat="1" ht="28.5">
      <c r="A43" s="187" t="s">
        <v>444</v>
      </c>
      <c r="B43" s="188"/>
      <c r="C43" s="189" t="s">
        <v>100</v>
      </c>
      <c r="D43" s="189" t="s">
        <v>349</v>
      </c>
      <c r="E43" s="189" t="s">
        <v>353</v>
      </c>
      <c r="F43" s="241" t="s">
        <v>445</v>
      </c>
      <c r="G43" s="161">
        <v>1692</v>
      </c>
      <c r="H43" s="22"/>
      <c r="I43" s="22"/>
    </row>
    <row r="44" spans="1:9" s="102" customFormat="1" ht="15">
      <c r="A44" s="187" t="s">
        <v>104</v>
      </c>
      <c r="B44" s="188"/>
      <c r="C44" s="189" t="s">
        <v>414</v>
      </c>
      <c r="D44" s="189" t="s">
        <v>212</v>
      </c>
      <c r="E44" s="189"/>
      <c r="F44" s="242"/>
      <c r="G44" s="161">
        <f>SUM(G45)</f>
        <v>1032.8</v>
      </c>
      <c r="H44" s="22"/>
      <c r="I44" s="22"/>
    </row>
    <row r="45" spans="1:9" s="102" customFormat="1" ht="28.5">
      <c r="A45" s="187" t="s">
        <v>446</v>
      </c>
      <c r="B45" s="188"/>
      <c r="C45" s="189" t="s">
        <v>414</v>
      </c>
      <c r="D45" s="189" t="s">
        <v>212</v>
      </c>
      <c r="E45" s="189" t="s">
        <v>447</v>
      </c>
      <c r="F45" s="242"/>
      <c r="G45" s="161">
        <f>SUM(G46+G49+G51)</f>
        <v>1032.8</v>
      </c>
      <c r="H45" s="22"/>
      <c r="I45" s="22"/>
    </row>
    <row r="46" spans="1:9" s="102" customFormat="1" ht="15">
      <c r="A46" s="187" t="s">
        <v>437</v>
      </c>
      <c r="B46" s="188"/>
      <c r="C46" s="189" t="s">
        <v>414</v>
      </c>
      <c r="D46" s="189" t="s">
        <v>212</v>
      </c>
      <c r="E46" s="189" t="s">
        <v>448</v>
      </c>
      <c r="F46" s="241"/>
      <c r="G46" s="169">
        <f>SUM(G47:G48)</f>
        <v>212.8</v>
      </c>
      <c r="H46" s="22"/>
      <c r="I46" s="22"/>
    </row>
    <row r="47" spans="1:9" s="102" customFormat="1" ht="28.5">
      <c r="A47" s="187" t="s">
        <v>697</v>
      </c>
      <c r="B47" s="188"/>
      <c r="C47" s="189" t="s">
        <v>414</v>
      </c>
      <c r="D47" s="189" t="s">
        <v>212</v>
      </c>
      <c r="E47" s="189" t="s">
        <v>448</v>
      </c>
      <c r="F47" s="241" t="s">
        <v>112</v>
      </c>
      <c r="G47" s="169">
        <v>210</v>
      </c>
      <c r="H47" s="22"/>
      <c r="I47" s="22"/>
    </row>
    <row r="48" spans="1:9" s="102" customFormat="1" ht="15">
      <c r="A48" s="187" t="s">
        <v>450</v>
      </c>
      <c r="B48" s="188"/>
      <c r="C48" s="189" t="s">
        <v>414</v>
      </c>
      <c r="D48" s="189" t="s">
        <v>212</v>
      </c>
      <c r="E48" s="189" t="s">
        <v>448</v>
      </c>
      <c r="F48" s="241" t="s">
        <v>160</v>
      </c>
      <c r="G48" s="169">
        <v>2.8</v>
      </c>
      <c r="H48" s="22"/>
      <c r="I48" s="22"/>
    </row>
    <row r="49" spans="1:9" s="102" customFormat="1" ht="28.5">
      <c r="A49" s="187" t="s">
        <v>438</v>
      </c>
      <c r="B49" s="188"/>
      <c r="C49" s="189" t="s">
        <v>414</v>
      </c>
      <c r="D49" s="189" t="s">
        <v>212</v>
      </c>
      <c r="E49" s="189" t="s">
        <v>451</v>
      </c>
      <c r="F49" s="241"/>
      <c r="G49" s="169">
        <f>SUM(G50)</f>
        <v>228.5</v>
      </c>
      <c r="H49" s="22"/>
      <c r="I49" s="22"/>
    </row>
    <row r="50" spans="1:9" s="102" customFormat="1" ht="28.5">
      <c r="A50" s="187" t="s">
        <v>697</v>
      </c>
      <c r="B50" s="188"/>
      <c r="C50" s="189" t="s">
        <v>414</v>
      </c>
      <c r="D50" s="189" t="s">
        <v>212</v>
      </c>
      <c r="E50" s="189" t="s">
        <v>451</v>
      </c>
      <c r="F50" s="241" t="s">
        <v>112</v>
      </c>
      <c r="G50" s="169">
        <v>228.5</v>
      </c>
      <c r="H50" s="22"/>
      <c r="I50" s="22"/>
    </row>
    <row r="51" spans="1:9" s="102" customFormat="1" ht="28.5">
      <c r="A51" s="152" t="s">
        <v>452</v>
      </c>
      <c r="B51" s="188"/>
      <c r="C51" s="189" t="s">
        <v>414</v>
      </c>
      <c r="D51" s="189" t="s">
        <v>212</v>
      </c>
      <c r="E51" s="189" t="s">
        <v>453</v>
      </c>
      <c r="F51" s="243"/>
      <c r="G51" s="161">
        <f>SUM(G52:G53)</f>
        <v>591.5</v>
      </c>
      <c r="H51" s="22"/>
      <c r="I51" s="22"/>
    </row>
    <row r="52" spans="1:9" s="102" customFormat="1" ht="28.5">
      <c r="A52" s="187" t="s">
        <v>697</v>
      </c>
      <c r="B52" s="188"/>
      <c r="C52" s="189" t="s">
        <v>414</v>
      </c>
      <c r="D52" s="189" t="s">
        <v>212</v>
      </c>
      <c r="E52" s="189" t="s">
        <v>453</v>
      </c>
      <c r="F52" s="243" t="s">
        <v>112</v>
      </c>
      <c r="G52" s="161">
        <f>519+65</f>
        <v>584</v>
      </c>
      <c r="H52" s="22"/>
      <c r="I52" s="22"/>
    </row>
    <row r="53" spans="1:9" s="102" customFormat="1" ht="15">
      <c r="A53" s="187" t="s">
        <v>450</v>
      </c>
      <c r="B53" s="188"/>
      <c r="C53" s="189" t="s">
        <v>414</v>
      </c>
      <c r="D53" s="189" t="s">
        <v>212</v>
      </c>
      <c r="E53" s="189" t="s">
        <v>453</v>
      </c>
      <c r="F53" s="243" t="s">
        <v>160</v>
      </c>
      <c r="G53" s="161">
        <v>7.5</v>
      </c>
      <c r="H53" s="22"/>
      <c r="I53" s="22"/>
    </row>
    <row r="54" spans="1:9" ht="15.75">
      <c r="A54" s="193" t="s">
        <v>179</v>
      </c>
      <c r="B54" s="194" t="s">
        <v>180</v>
      </c>
      <c r="C54" s="195"/>
      <c r="D54" s="195"/>
      <c r="E54" s="195"/>
      <c r="F54" s="244"/>
      <c r="G54" s="170">
        <f>SUM(G55+G106+G138+G180+G274+G285+G290+G309)</f>
        <v>525886</v>
      </c>
      <c r="H54" s="85" t="e">
        <f>SUM(H55+H108+#REF!+#REF!+#REF!+#REF!+#REF!+#REF!+#REF!)</f>
        <v>#REF!</v>
      </c>
      <c r="I54" s="85" t="e">
        <f>SUM(H54/G54*100)</f>
        <v>#REF!</v>
      </c>
    </row>
    <row r="55" spans="1:9" ht="15">
      <c r="A55" s="187" t="s">
        <v>413</v>
      </c>
      <c r="B55" s="188"/>
      <c r="C55" s="189" t="s">
        <v>414</v>
      </c>
      <c r="D55" s="189"/>
      <c r="E55" s="189"/>
      <c r="F55" s="241"/>
      <c r="G55" s="161">
        <f>SUM(G56+G81+G75+G78)</f>
        <v>141638.4</v>
      </c>
      <c r="H55" s="22" t="e">
        <f>SUM(H56+H76+#REF!+H74+#REF!)</f>
        <v>#REF!</v>
      </c>
      <c r="I55" s="22" t="e">
        <f>SUM(H55/G55*100)</f>
        <v>#REF!</v>
      </c>
    </row>
    <row r="56" spans="1:9" ht="28.5">
      <c r="A56" s="187" t="s">
        <v>229</v>
      </c>
      <c r="B56" s="188"/>
      <c r="C56" s="189" t="s">
        <v>414</v>
      </c>
      <c r="D56" s="189" t="s">
        <v>114</v>
      </c>
      <c r="E56" s="189"/>
      <c r="F56" s="241"/>
      <c r="G56" s="161">
        <f>SUM(G57)</f>
        <v>96380.4</v>
      </c>
      <c r="H56" s="22" t="e">
        <f>SUM(H57)+#REF!+H69</f>
        <v>#REF!</v>
      </c>
      <c r="I56" s="22" t="e">
        <f>SUM(H56/G56*100)</f>
        <v>#REF!</v>
      </c>
    </row>
    <row r="57" spans="1:9" ht="28.5">
      <c r="A57" s="187" t="s">
        <v>91</v>
      </c>
      <c r="B57" s="188"/>
      <c r="C57" s="189" t="s">
        <v>414</v>
      </c>
      <c r="D57" s="189" t="s">
        <v>114</v>
      </c>
      <c r="E57" s="189" t="s">
        <v>92</v>
      </c>
      <c r="F57" s="242"/>
      <c r="G57" s="161">
        <f>SUM(G58+G73+G61+G64+G67+G70)</f>
        <v>96380.4</v>
      </c>
      <c r="H57" s="22" t="e">
        <f>SUM(H58+H68)</f>
        <v>#REF!</v>
      </c>
      <c r="I57" s="22" t="e">
        <f>SUM(H57/G57*100)</f>
        <v>#REF!</v>
      </c>
    </row>
    <row r="58" spans="1:9" ht="15">
      <c r="A58" s="187" t="s">
        <v>99</v>
      </c>
      <c r="B58" s="188"/>
      <c r="C58" s="189" t="s">
        <v>414</v>
      </c>
      <c r="D58" s="189" t="s">
        <v>114</v>
      </c>
      <c r="E58" s="189" t="s">
        <v>101</v>
      </c>
      <c r="F58" s="242"/>
      <c r="G58" s="161">
        <f>SUM(G59+G60)</f>
        <v>93250</v>
      </c>
      <c r="H58" s="22" t="e">
        <f>SUM(H59:H59+H60+H61+H63)+#REF!+H64</f>
        <v>#REF!</v>
      </c>
      <c r="I58" s="22" t="e">
        <f>SUM(H58/G58*100)</f>
        <v>#REF!</v>
      </c>
    </row>
    <row r="59" spans="1:9" ht="28.5">
      <c r="A59" s="187" t="s">
        <v>444</v>
      </c>
      <c r="B59" s="188"/>
      <c r="C59" s="189" t="s">
        <v>414</v>
      </c>
      <c r="D59" s="189" t="s">
        <v>114</v>
      </c>
      <c r="E59" s="189" t="s">
        <v>101</v>
      </c>
      <c r="F59" s="241" t="s">
        <v>445</v>
      </c>
      <c r="G59" s="161">
        <v>93220.1</v>
      </c>
      <c r="H59" s="22">
        <v>50612.1</v>
      </c>
      <c r="I59" s="22" t="e">
        <f>SUM(H59/#REF!*100)</f>
        <v>#REF!</v>
      </c>
    </row>
    <row r="60" spans="1:9" ht="28.5">
      <c r="A60" s="187" t="s">
        <v>697</v>
      </c>
      <c r="B60" s="188"/>
      <c r="C60" s="189" t="s">
        <v>414</v>
      </c>
      <c r="D60" s="189" t="s">
        <v>114</v>
      </c>
      <c r="E60" s="189" t="s">
        <v>101</v>
      </c>
      <c r="F60" s="241" t="s">
        <v>112</v>
      </c>
      <c r="G60" s="169">
        <f>96.2-66.3</f>
        <v>29.900000000000006</v>
      </c>
      <c r="H60" s="22">
        <v>507.8</v>
      </c>
      <c r="I60" s="22">
        <f>SUM(H60/G61*100)</f>
        <v>36.46940534329216</v>
      </c>
    </row>
    <row r="61" spans="1:9" ht="28.5">
      <c r="A61" s="187" t="s">
        <v>118</v>
      </c>
      <c r="B61" s="188"/>
      <c r="C61" s="189" t="s">
        <v>414</v>
      </c>
      <c r="D61" s="189" t="s">
        <v>114</v>
      </c>
      <c r="E61" s="189" t="s">
        <v>119</v>
      </c>
      <c r="F61" s="241"/>
      <c r="G61" s="161">
        <f>SUM(G62:G63)</f>
        <v>1392.3999999999999</v>
      </c>
      <c r="H61" s="22">
        <v>41.9</v>
      </c>
      <c r="I61" s="22">
        <f>SUM(H61/G64*100)</f>
        <v>44.669509594882726</v>
      </c>
    </row>
    <row r="62" spans="1:9" ht="28.5">
      <c r="A62" s="187" t="s">
        <v>444</v>
      </c>
      <c r="B62" s="188"/>
      <c r="C62" s="189" t="s">
        <v>414</v>
      </c>
      <c r="D62" s="189" t="s">
        <v>114</v>
      </c>
      <c r="E62" s="189" t="s">
        <v>119</v>
      </c>
      <c r="F62" s="241" t="s">
        <v>445</v>
      </c>
      <c r="G62" s="161">
        <v>1368.8</v>
      </c>
      <c r="H62" s="22"/>
      <c r="I62" s="22"/>
    </row>
    <row r="63" spans="1:9" ht="28.5">
      <c r="A63" s="187" t="s">
        <v>697</v>
      </c>
      <c r="B63" s="188"/>
      <c r="C63" s="189" t="s">
        <v>414</v>
      </c>
      <c r="D63" s="189" t="s">
        <v>114</v>
      </c>
      <c r="E63" s="189" t="s">
        <v>119</v>
      </c>
      <c r="F63" s="241" t="s">
        <v>112</v>
      </c>
      <c r="G63" s="169">
        <v>23.6</v>
      </c>
      <c r="H63" s="22"/>
      <c r="I63" s="22">
        <f>SUM(H63/G66*100)</f>
        <v>0</v>
      </c>
    </row>
    <row r="64" spans="1:9" s="96" customFormat="1" ht="42.75">
      <c r="A64" s="187" t="s">
        <v>341</v>
      </c>
      <c r="B64" s="188"/>
      <c r="C64" s="189" t="s">
        <v>414</v>
      </c>
      <c r="D64" s="189" t="s">
        <v>114</v>
      </c>
      <c r="E64" s="189" t="s">
        <v>342</v>
      </c>
      <c r="F64" s="241"/>
      <c r="G64" s="161">
        <f>SUM(G65:G66)</f>
        <v>93.8</v>
      </c>
      <c r="H64" s="22"/>
      <c r="I64" s="22" t="e">
        <f>SUM(H64/G69*100)</f>
        <v>#DIV/0!</v>
      </c>
    </row>
    <row r="65" spans="1:9" s="96" customFormat="1" ht="28.5">
      <c r="A65" s="187" t="s">
        <v>444</v>
      </c>
      <c r="B65" s="188"/>
      <c r="C65" s="189" t="s">
        <v>414</v>
      </c>
      <c r="D65" s="189" t="s">
        <v>114</v>
      </c>
      <c r="E65" s="189" t="s">
        <v>342</v>
      </c>
      <c r="F65" s="241" t="s">
        <v>445</v>
      </c>
      <c r="G65" s="161">
        <v>72.3</v>
      </c>
      <c r="H65" s="22"/>
      <c r="I65" s="22"/>
    </row>
    <row r="66" spans="1:9" s="96" customFormat="1" ht="32.25" customHeight="1">
      <c r="A66" s="187" t="s">
        <v>697</v>
      </c>
      <c r="B66" s="188"/>
      <c r="C66" s="189" t="s">
        <v>414</v>
      </c>
      <c r="D66" s="189" t="s">
        <v>114</v>
      </c>
      <c r="E66" s="189" t="s">
        <v>342</v>
      </c>
      <c r="F66" s="241" t="s">
        <v>112</v>
      </c>
      <c r="G66" s="169">
        <v>21.5</v>
      </c>
      <c r="H66" s="22"/>
      <c r="I66" s="22"/>
    </row>
    <row r="67" spans="1:9" s="96" customFormat="1" ht="28.5" hidden="1">
      <c r="A67" s="149" t="s">
        <v>55</v>
      </c>
      <c r="B67" s="196"/>
      <c r="C67" s="192" t="s">
        <v>414</v>
      </c>
      <c r="D67" s="192" t="s">
        <v>114</v>
      </c>
      <c r="E67" s="192" t="s">
        <v>56</v>
      </c>
      <c r="F67" s="242"/>
      <c r="G67" s="161">
        <f>SUM(G68:G69)</f>
        <v>0</v>
      </c>
      <c r="H67" s="22"/>
      <c r="I67" s="22"/>
    </row>
    <row r="68" spans="1:9" s="102" customFormat="1" ht="28.5" hidden="1">
      <c r="A68" s="187" t="s">
        <v>444</v>
      </c>
      <c r="B68" s="188"/>
      <c r="C68" s="189" t="s">
        <v>414</v>
      </c>
      <c r="D68" s="189" t="s">
        <v>114</v>
      </c>
      <c r="E68" s="192" t="s">
        <v>56</v>
      </c>
      <c r="F68" s="241" t="s">
        <v>445</v>
      </c>
      <c r="G68" s="161"/>
      <c r="H68" s="22" t="e">
        <f>SUM(#REF!)</f>
        <v>#REF!</v>
      </c>
      <c r="I68" s="22" t="e">
        <f>SUM(H68/G73*100)</f>
        <v>#REF!</v>
      </c>
    </row>
    <row r="69" spans="1:9" s="102" customFormat="1" ht="15" hidden="1">
      <c r="A69" s="187" t="s">
        <v>449</v>
      </c>
      <c r="B69" s="188"/>
      <c r="C69" s="189" t="s">
        <v>414</v>
      </c>
      <c r="D69" s="189" t="s">
        <v>114</v>
      </c>
      <c r="E69" s="192" t="s">
        <v>56</v>
      </c>
      <c r="F69" s="241" t="s">
        <v>112</v>
      </c>
      <c r="G69" s="169"/>
      <c r="H69" s="22" t="e">
        <f>SUM(#REF!)</f>
        <v>#REF!</v>
      </c>
      <c r="I69" s="22" t="e">
        <f>SUM(H69/#REF!*100)</f>
        <v>#REF!</v>
      </c>
    </row>
    <row r="70" spans="1:9" s="102" customFormat="1" ht="28.5">
      <c r="A70" s="149" t="s">
        <v>138</v>
      </c>
      <c r="B70" s="196"/>
      <c r="C70" s="192" t="s">
        <v>414</v>
      </c>
      <c r="D70" s="192" t="s">
        <v>114</v>
      </c>
      <c r="E70" s="192" t="s">
        <v>139</v>
      </c>
      <c r="F70" s="242"/>
      <c r="G70" s="161">
        <f>SUM(G71:G72)</f>
        <v>357.70000000000005</v>
      </c>
      <c r="H70" s="22"/>
      <c r="I70" s="22"/>
    </row>
    <row r="71" spans="1:9" s="102" customFormat="1" ht="28.5">
      <c r="A71" s="187" t="s">
        <v>444</v>
      </c>
      <c r="B71" s="188"/>
      <c r="C71" s="189" t="s">
        <v>414</v>
      </c>
      <c r="D71" s="189" t="s">
        <v>114</v>
      </c>
      <c r="E71" s="192" t="s">
        <v>139</v>
      </c>
      <c r="F71" s="241" t="s">
        <v>445</v>
      </c>
      <c r="G71" s="161">
        <v>288.8</v>
      </c>
      <c r="H71" s="22"/>
      <c r="I71" s="22"/>
    </row>
    <row r="72" spans="1:9" s="102" customFormat="1" ht="28.5">
      <c r="A72" s="187" t="s">
        <v>697</v>
      </c>
      <c r="B72" s="188"/>
      <c r="C72" s="189" t="s">
        <v>414</v>
      </c>
      <c r="D72" s="189" t="s">
        <v>114</v>
      </c>
      <c r="E72" s="192" t="s">
        <v>139</v>
      </c>
      <c r="F72" s="241" t="s">
        <v>112</v>
      </c>
      <c r="G72" s="169">
        <v>68.9</v>
      </c>
      <c r="H72" s="22"/>
      <c r="I72" s="22"/>
    </row>
    <row r="73" spans="1:9" s="102" customFormat="1" ht="28.5">
      <c r="A73" s="187" t="s">
        <v>343</v>
      </c>
      <c r="B73" s="188"/>
      <c r="C73" s="189" t="s">
        <v>100</v>
      </c>
      <c r="D73" s="189" t="s">
        <v>114</v>
      </c>
      <c r="E73" s="189" t="s">
        <v>344</v>
      </c>
      <c r="F73" s="242"/>
      <c r="G73" s="161">
        <f>SUM(G74)</f>
        <v>1286.5</v>
      </c>
      <c r="H73" s="22">
        <v>155.9</v>
      </c>
      <c r="I73" s="22" t="e">
        <f>SUM(H73/#REF!*100)</f>
        <v>#REF!</v>
      </c>
    </row>
    <row r="74" spans="1:9" s="102" customFormat="1" ht="27.75" customHeight="1">
      <c r="A74" s="187" t="s">
        <v>444</v>
      </c>
      <c r="B74" s="188"/>
      <c r="C74" s="189" t="s">
        <v>414</v>
      </c>
      <c r="D74" s="189" t="s">
        <v>114</v>
      </c>
      <c r="E74" s="189" t="s">
        <v>344</v>
      </c>
      <c r="F74" s="241" t="s">
        <v>445</v>
      </c>
      <c r="G74" s="161">
        <v>1286.5</v>
      </c>
      <c r="H74" s="22" t="e">
        <f>SUM(#REF!)</f>
        <v>#REF!</v>
      </c>
      <c r="I74" s="22" t="e">
        <f>SUM(H74/G75*100)</f>
        <v>#REF!</v>
      </c>
    </row>
    <row r="75" spans="1:9" ht="15" hidden="1">
      <c r="A75" s="187" t="s">
        <v>122</v>
      </c>
      <c r="B75" s="188"/>
      <c r="C75" s="189" t="s">
        <v>414</v>
      </c>
      <c r="D75" s="189" t="s">
        <v>123</v>
      </c>
      <c r="E75" s="189"/>
      <c r="F75" s="242"/>
      <c r="G75" s="161">
        <f>SUM(G76)</f>
        <v>0</v>
      </c>
      <c r="H75" s="22"/>
      <c r="I75" s="22" t="e">
        <f>SUM(H75/#REF!*100)</f>
        <v>#REF!</v>
      </c>
    </row>
    <row r="76" spans="1:9" ht="28.5" hidden="1">
      <c r="A76" s="152" t="s">
        <v>224</v>
      </c>
      <c r="B76" s="188"/>
      <c r="C76" s="189" t="s">
        <v>414</v>
      </c>
      <c r="D76" s="189" t="s">
        <v>123</v>
      </c>
      <c r="E76" s="189" t="s">
        <v>347</v>
      </c>
      <c r="F76" s="242"/>
      <c r="G76" s="161">
        <f>SUM(G77)</f>
        <v>0</v>
      </c>
      <c r="H76" s="22" t="e">
        <f>SUM(H77)</f>
        <v>#REF!</v>
      </c>
      <c r="I76" s="22" t="e">
        <f>SUM(H76/#REF!*100)</f>
        <v>#REF!</v>
      </c>
    </row>
    <row r="77" spans="1:9" ht="15" hidden="1">
      <c r="A77" s="187" t="s">
        <v>95</v>
      </c>
      <c r="B77" s="188"/>
      <c r="C77" s="189" t="s">
        <v>414</v>
      </c>
      <c r="D77" s="189" t="s">
        <v>123</v>
      </c>
      <c r="E77" s="189" t="s">
        <v>347</v>
      </c>
      <c r="F77" s="241" t="s">
        <v>96</v>
      </c>
      <c r="G77" s="161"/>
      <c r="H77" s="22" t="e">
        <f>SUM(#REF!+#REF!)</f>
        <v>#REF!</v>
      </c>
      <c r="I77" s="22" t="e">
        <f>SUM(H77/#REF!*100)</f>
        <v>#REF!</v>
      </c>
    </row>
    <row r="78" spans="1:9" ht="15">
      <c r="A78" s="149" t="s">
        <v>354</v>
      </c>
      <c r="B78" s="188"/>
      <c r="C78" s="189" t="s">
        <v>414</v>
      </c>
      <c r="D78" s="189" t="s">
        <v>109</v>
      </c>
      <c r="E78" s="189"/>
      <c r="F78" s="241"/>
      <c r="G78" s="161">
        <f>SUM(G79)</f>
        <v>7169.3</v>
      </c>
      <c r="H78" s="22"/>
      <c r="I78" s="22"/>
    </row>
    <row r="79" spans="1:9" ht="28.5">
      <c r="A79" s="187" t="s">
        <v>355</v>
      </c>
      <c r="B79" s="188"/>
      <c r="C79" s="189" t="s">
        <v>414</v>
      </c>
      <c r="D79" s="189" t="s">
        <v>109</v>
      </c>
      <c r="E79" s="189" t="s">
        <v>570</v>
      </c>
      <c r="F79" s="241"/>
      <c r="G79" s="161">
        <f>SUM(G80)</f>
        <v>7169.3</v>
      </c>
      <c r="H79" s="22"/>
      <c r="I79" s="22"/>
    </row>
    <row r="80" spans="1:9" ht="15">
      <c r="A80" s="149" t="s">
        <v>450</v>
      </c>
      <c r="B80" s="188"/>
      <c r="C80" s="189" t="s">
        <v>414</v>
      </c>
      <c r="D80" s="189" t="s">
        <v>109</v>
      </c>
      <c r="E80" s="189" t="s">
        <v>570</v>
      </c>
      <c r="F80" s="241" t="s">
        <v>160</v>
      </c>
      <c r="G80" s="161">
        <v>7169.3</v>
      </c>
      <c r="H80" s="22"/>
      <c r="I80" s="22"/>
    </row>
    <row r="81" spans="1:9" ht="15">
      <c r="A81" s="187" t="s">
        <v>104</v>
      </c>
      <c r="B81" s="188"/>
      <c r="C81" s="189" t="s">
        <v>414</v>
      </c>
      <c r="D81" s="189" t="s">
        <v>212</v>
      </c>
      <c r="E81" s="189"/>
      <c r="F81" s="242"/>
      <c r="G81" s="161">
        <f>SUM(G82+G94)+G103</f>
        <v>38088.700000000004</v>
      </c>
      <c r="H81" s="22">
        <f>SUM(H82)</f>
        <v>836.4</v>
      </c>
      <c r="I81" s="22">
        <f>SUM(H81/G85*100)</f>
        <v>1193.1526390870185</v>
      </c>
    </row>
    <row r="82" spans="1:9" ht="28.5">
      <c r="A82" s="149" t="s">
        <v>446</v>
      </c>
      <c r="B82" s="245"/>
      <c r="C82" s="220" t="s">
        <v>414</v>
      </c>
      <c r="D82" s="220" t="s">
        <v>212</v>
      </c>
      <c r="E82" s="220" t="s">
        <v>447</v>
      </c>
      <c r="F82" s="246"/>
      <c r="G82" s="171">
        <f>G83+G86+G88+G91</f>
        <v>35174.9</v>
      </c>
      <c r="H82" s="22">
        <f>SUM(H83)</f>
        <v>836.4</v>
      </c>
      <c r="I82" s="22" t="e">
        <f>SUM(H82/#REF!*100)</f>
        <v>#REF!</v>
      </c>
    </row>
    <row r="83" spans="1:9" ht="15">
      <c r="A83" s="149" t="s">
        <v>437</v>
      </c>
      <c r="B83" s="221"/>
      <c r="C83" s="220" t="s">
        <v>414</v>
      </c>
      <c r="D83" s="220" t="s">
        <v>212</v>
      </c>
      <c r="E83" s="220" t="s">
        <v>448</v>
      </c>
      <c r="F83" s="247"/>
      <c r="G83" s="171">
        <f>G84+G85</f>
        <v>3724.7999999999997</v>
      </c>
      <c r="H83" s="22">
        <v>836.4</v>
      </c>
      <c r="I83" s="22" t="e">
        <f>SUM(H83/#REF!*100)</f>
        <v>#REF!</v>
      </c>
    </row>
    <row r="84" spans="1:9" ht="28.5">
      <c r="A84" s="187" t="s">
        <v>697</v>
      </c>
      <c r="B84" s="221"/>
      <c r="C84" s="220" t="s">
        <v>414</v>
      </c>
      <c r="D84" s="220" t="s">
        <v>212</v>
      </c>
      <c r="E84" s="220" t="s">
        <v>448</v>
      </c>
      <c r="F84" s="247" t="s">
        <v>112</v>
      </c>
      <c r="G84" s="171">
        <v>3654.7</v>
      </c>
      <c r="H84" s="22" t="e">
        <f>SUM(#REF!)</f>
        <v>#REF!</v>
      </c>
      <c r="I84" s="22" t="e">
        <f>SUM(H84/G86*100)</f>
        <v>#REF!</v>
      </c>
    </row>
    <row r="85" spans="1:9" ht="15">
      <c r="A85" s="149" t="s">
        <v>450</v>
      </c>
      <c r="B85" s="221"/>
      <c r="C85" s="220" t="s">
        <v>414</v>
      </c>
      <c r="D85" s="220" t="s">
        <v>212</v>
      </c>
      <c r="E85" s="220" t="s">
        <v>448</v>
      </c>
      <c r="F85" s="247" t="s">
        <v>160</v>
      </c>
      <c r="G85" s="171">
        <v>70.1</v>
      </c>
      <c r="H85" s="22" t="e">
        <f>SUM(#REF!)</f>
        <v>#REF!</v>
      </c>
      <c r="I85" s="22" t="e">
        <f>SUM(H85/#REF!*100)</f>
        <v>#REF!</v>
      </c>
    </row>
    <row r="86" spans="1:9" ht="28.5">
      <c r="A86" s="149" t="s">
        <v>438</v>
      </c>
      <c r="B86" s="221"/>
      <c r="C86" s="220" t="s">
        <v>414</v>
      </c>
      <c r="D86" s="220" t="s">
        <v>212</v>
      </c>
      <c r="E86" s="220" t="s">
        <v>451</v>
      </c>
      <c r="F86" s="247"/>
      <c r="G86" s="171">
        <f>SUM(G87)</f>
        <v>10543.2</v>
      </c>
      <c r="H86" s="22"/>
      <c r="I86" s="22"/>
    </row>
    <row r="87" spans="1:9" ht="28.5">
      <c r="A87" s="187" t="s">
        <v>697</v>
      </c>
      <c r="B87" s="221"/>
      <c r="C87" s="220" t="s">
        <v>414</v>
      </c>
      <c r="D87" s="220" t="s">
        <v>212</v>
      </c>
      <c r="E87" s="220" t="s">
        <v>451</v>
      </c>
      <c r="F87" s="247" t="s">
        <v>112</v>
      </c>
      <c r="G87" s="171">
        <v>10543.2</v>
      </c>
      <c r="H87" s="22"/>
      <c r="I87" s="22"/>
    </row>
    <row r="88" spans="1:9" ht="28.5">
      <c r="A88" s="149" t="s">
        <v>468</v>
      </c>
      <c r="B88" s="221"/>
      <c r="C88" s="220" t="s">
        <v>414</v>
      </c>
      <c r="D88" s="220" t="s">
        <v>212</v>
      </c>
      <c r="E88" s="220" t="s">
        <v>469</v>
      </c>
      <c r="F88" s="247"/>
      <c r="G88" s="171">
        <f>SUM(G89:G90)</f>
        <v>7990.8</v>
      </c>
      <c r="H88" s="22" t="e">
        <f>SUM(H89)</f>
        <v>#REF!</v>
      </c>
      <c r="I88" s="22" t="e">
        <f>SUM(H88/G92*100)</f>
        <v>#REF!</v>
      </c>
    </row>
    <row r="89" spans="1:9" ht="28.5">
      <c r="A89" s="187" t="s">
        <v>697</v>
      </c>
      <c r="B89" s="221"/>
      <c r="C89" s="220" t="s">
        <v>414</v>
      </c>
      <c r="D89" s="220" t="s">
        <v>212</v>
      </c>
      <c r="E89" s="220" t="s">
        <v>469</v>
      </c>
      <c r="F89" s="247" t="s">
        <v>112</v>
      </c>
      <c r="G89" s="171">
        <v>7940.8</v>
      </c>
      <c r="H89" s="22" t="e">
        <f>SUM(#REF!)</f>
        <v>#REF!</v>
      </c>
      <c r="I89" s="22" t="e">
        <f>SUM(H89/#REF!*100)</f>
        <v>#REF!</v>
      </c>
    </row>
    <row r="90" spans="1:9" ht="15">
      <c r="A90" s="149" t="s">
        <v>450</v>
      </c>
      <c r="B90" s="221"/>
      <c r="C90" s="220" t="s">
        <v>414</v>
      </c>
      <c r="D90" s="220" t="s">
        <v>212</v>
      </c>
      <c r="E90" s="220" t="s">
        <v>469</v>
      </c>
      <c r="F90" s="247" t="s">
        <v>160</v>
      </c>
      <c r="G90" s="171">
        <v>50</v>
      </c>
      <c r="H90" s="22"/>
      <c r="I90" s="22"/>
    </row>
    <row r="91" spans="1:9" ht="28.5">
      <c r="A91" s="149" t="s">
        <v>452</v>
      </c>
      <c r="B91" s="221"/>
      <c r="C91" s="220" t="s">
        <v>414</v>
      </c>
      <c r="D91" s="220" t="s">
        <v>212</v>
      </c>
      <c r="E91" s="220" t="s">
        <v>453</v>
      </c>
      <c r="F91" s="247"/>
      <c r="G91" s="171">
        <f>G92+G93</f>
        <v>12916.1</v>
      </c>
      <c r="H91" s="22" t="e">
        <f>SUM(#REF!)</f>
        <v>#REF!</v>
      </c>
      <c r="I91" s="22" t="e">
        <f>SUM(H91/#REF!*100)</f>
        <v>#REF!</v>
      </c>
    </row>
    <row r="92" spans="1:9" ht="28.5">
      <c r="A92" s="187" t="s">
        <v>697</v>
      </c>
      <c r="B92" s="221"/>
      <c r="C92" s="220" t="s">
        <v>414</v>
      </c>
      <c r="D92" s="220" t="s">
        <v>212</v>
      </c>
      <c r="E92" s="220" t="s">
        <v>453</v>
      </c>
      <c r="F92" s="247" t="s">
        <v>112</v>
      </c>
      <c r="G92" s="171">
        <f>9700.7+66.3</f>
        <v>9767</v>
      </c>
      <c r="H92" s="22" t="e">
        <f>SUM(#REF!)</f>
        <v>#REF!</v>
      </c>
      <c r="I92" s="22" t="e">
        <f>SUM(H92/#REF!*100)</f>
        <v>#REF!</v>
      </c>
    </row>
    <row r="93" spans="1:9" ht="15">
      <c r="A93" s="149" t="s">
        <v>450</v>
      </c>
      <c r="B93" s="221"/>
      <c r="C93" s="220" t="s">
        <v>414</v>
      </c>
      <c r="D93" s="220" t="s">
        <v>212</v>
      </c>
      <c r="E93" s="220" t="s">
        <v>453</v>
      </c>
      <c r="F93" s="247" t="s">
        <v>160</v>
      </c>
      <c r="G93" s="171">
        <v>3149.1</v>
      </c>
      <c r="H93" s="22">
        <v>1317.4</v>
      </c>
      <c r="I93" s="22" t="e">
        <f>SUM(H93/#REF!*100)</f>
        <v>#REF!</v>
      </c>
    </row>
    <row r="94" spans="1:9" ht="28.5">
      <c r="A94" s="149" t="s">
        <v>536</v>
      </c>
      <c r="B94" s="221"/>
      <c r="C94" s="220" t="s">
        <v>414</v>
      </c>
      <c r="D94" s="220" t="s">
        <v>212</v>
      </c>
      <c r="E94" s="220" t="s">
        <v>128</v>
      </c>
      <c r="F94" s="247"/>
      <c r="G94" s="171">
        <f>G95</f>
        <v>2813.8</v>
      </c>
      <c r="H94" s="22"/>
      <c r="I94" s="22"/>
    </row>
    <row r="95" spans="1:9" ht="15">
      <c r="A95" s="149" t="s">
        <v>14</v>
      </c>
      <c r="B95" s="221"/>
      <c r="C95" s="220" t="s">
        <v>414</v>
      </c>
      <c r="D95" s="220" t="s">
        <v>212</v>
      </c>
      <c r="E95" s="220" t="s">
        <v>182</v>
      </c>
      <c r="F95" s="247"/>
      <c r="G95" s="171">
        <f>G96+G98</f>
        <v>2813.8</v>
      </c>
      <c r="H95" s="22"/>
      <c r="I95" s="22"/>
    </row>
    <row r="96" spans="1:9" ht="28.5">
      <c r="A96" s="149" t="s">
        <v>561</v>
      </c>
      <c r="B96" s="221"/>
      <c r="C96" s="220" t="s">
        <v>414</v>
      </c>
      <c r="D96" s="220" t="s">
        <v>212</v>
      </c>
      <c r="E96" s="220" t="s">
        <v>184</v>
      </c>
      <c r="F96" s="247"/>
      <c r="G96" s="171">
        <f>SUM(G97)</f>
        <v>2380.3</v>
      </c>
      <c r="H96" s="22"/>
      <c r="I96" s="22"/>
    </row>
    <row r="97" spans="1:9" ht="28.5">
      <c r="A97" s="149" t="s">
        <v>470</v>
      </c>
      <c r="B97" s="221"/>
      <c r="C97" s="220" t="s">
        <v>414</v>
      </c>
      <c r="D97" s="220" t="s">
        <v>212</v>
      </c>
      <c r="E97" s="220" t="s">
        <v>184</v>
      </c>
      <c r="F97" s="247" t="s">
        <v>461</v>
      </c>
      <c r="G97" s="171">
        <v>2380.3</v>
      </c>
      <c r="H97" s="22"/>
      <c r="I97" s="22"/>
    </row>
    <row r="98" spans="1:9" ht="15">
      <c r="A98" s="187" t="s">
        <v>148</v>
      </c>
      <c r="B98" s="221"/>
      <c r="C98" s="220" t="s">
        <v>414</v>
      </c>
      <c r="D98" s="220" t="s">
        <v>212</v>
      </c>
      <c r="E98" s="220" t="s">
        <v>371</v>
      </c>
      <c r="F98" s="247"/>
      <c r="G98" s="171">
        <f>SUM(G99+G101)</f>
        <v>433.5</v>
      </c>
      <c r="H98" s="22"/>
      <c r="I98" s="22"/>
    </row>
    <row r="99" spans="1:9" ht="28.5">
      <c r="A99" s="149" t="s">
        <v>135</v>
      </c>
      <c r="B99" s="221"/>
      <c r="C99" s="220" t="s">
        <v>414</v>
      </c>
      <c r="D99" s="220" t="s">
        <v>212</v>
      </c>
      <c r="E99" s="220" t="s">
        <v>372</v>
      </c>
      <c r="F99" s="247"/>
      <c r="G99" s="171">
        <f>SUM(G100)</f>
        <v>413.5</v>
      </c>
      <c r="H99" s="22"/>
      <c r="I99" s="22"/>
    </row>
    <row r="100" spans="1:9" ht="30.75" customHeight="1">
      <c r="A100" s="149" t="s">
        <v>470</v>
      </c>
      <c r="B100" s="221"/>
      <c r="C100" s="220" t="s">
        <v>414</v>
      </c>
      <c r="D100" s="220" t="s">
        <v>212</v>
      </c>
      <c r="E100" s="220" t="s">
        <v>372</v>
      </c>
      <c r="F100" s="247" t="s">
        <v>461</v>
      </c>
      <c r="G100" s="171">
        <v>413.5</v>
      </c>
      <c r="H100" s="22">
        <f>SUM(H102)</f>
        <v>0</v>
      </c>
      <c r="I100" s="22">
        <f>SUM(H100/G110*100)</f>
        <v>0</v>
      </c>
    </row>
    <row r="101" spans="1:9" ht="22.5" customHeight="1">
      <c r="A101" s="261" t="s">
        <v>144</v>
      </c>
      <c r="B101" s="221"/>
      <c r="C101" s="220" t="s">
        <v>414</v>
      </c>
      <c r="D101" s="220" t="s">
        <v>212</v>
      </c>
      <c r="E101" s="220" t="s">
        <v>192</v>
      </c>
      <c r="F101" s="247"/>
      <c r="G101" s="171">
        <f>SUM(G102)</f>
        <v>20</v>
      </c>
      <c r="H101" s="22"/>
      <c r="I101" s="22"/>
    </row>
    <row r="102" spans="1:9" ht="28.5">
      <c r="A102" s="149" t="s">
        <v>470</v>
      </c>
      <c r="B102" s="221"/>
      <c r="C102" s="220" t="s">
        <v>414</v>
      </c>
      <c r="D102" s="220" t="s">
        <v>212</v>
      </c>
      <c r="E102" s="220" t="s">
        <v>192</v>
      </c>
      <c r="F102" s="247" t="s">
        <v>461</v>
      </c>
      <c r="G102" s="171">
        <v>20</v>
      </c>
      <c r="H102" s="22">
        <f>SUM(H106:H107)</f>
        <v>0</v>
      </c>
      <c r="I102" s="22" t="e">
        <f>SUM(H102/#REF!*100)</f>
        <v>#REF!</v>
      </c>
    </row>
    <row r="103" spans="1:9" ht="20.25" customHeight="1">
      <c r="A103" s="197" t="s">
        <v>497</v>
      </c>
      <c r="B103" s="221"/>
      <c r="C103" s="220" t="s">
        <v>414</v>
      </c>
      <c r="D103" s="220" t="s">
        <v>212</v>
      </c>
      <c r="E103" s="220" t="s">
        <v>121</v>
      </c>
      <c r="F103" s="247"/>
      <c r="G103" s="171">
        <f>SUM(G104)</f>
        <v>100</v>
      </c>
      <c r="H103" s="22"/>
      <c r="I103" s="22"/>
    </row>
    <row r="104" spans="1:9" ht="28.5">
      <c r="A104" s="149" t="s">
        <v>571</v>
      </c>
      <c r="B104" s="221"/>
      <c r="C104" s="220" t="s">
        <v>414</v>
      </c>
      <c r="D104" s="220" t="s">
        <v>212</v>
      </c>
      <c r="E104" s="220" t="s">
        <v>572</v>
      </c>
      <c r="F104" s="247"/>
      <c r="G104" s="171">
        <f>SUM(G105)</f>
        <v>100</v>
      </c>
      <c r="H104" s="22"/>
      <c r="I104" s="22"/>
    </row>
    <row r="105" spans="1:9" ht="28.5">
      <c r="A105" s="187" t="s">
        <v>697</v>
      </c>
      <c r="B105" s="221"/>
      <c r="C105" s="220" t="s">
        <v>414</v>
      </c>
      <c r="D105" s="220" t="s">
        <v>212</v>
      </c>
      <c r="E105" s="220" t="s">
        <v>572</v>
      </c>
      <c r="F105" s="247" t="s">
        <v>112</v>
      </c>
      <c r="G105" s="171">
        <v>100</v>
      </c>
      <c r="H105" s="22"/>
      <c r="I105" s="22"/>
    </row>
    <row r="106" spans="1:9" ht="15">
      <c r="A106" s="149" t="s">
        <v>130</v>
      </c>
      <c r="B106" s="221"/>
      <c r="C106" s="220" t="s">
        <v>98</v>
      </c>
      <c r="D106" s="220"/>
      <c r="E106" s="220"/>
      <c r="F106" s="247"/>
      <c r="G106" s="171">
        <f>SUM(G113)+G107</f>
        <v>21303.6</v>
      </c>
      <c r="H106" s="22"/>
      <c r="I106" s="22" t="e">
        <f>SUM(H106/#REF!*100)</f>
        <v>#REF!</v>
      </c>
    </row>
    <row r="107" spans="1:9" ht="15">
      <c r="A107" s="222" t="s">
        <v>54</v>
      </c>
      <c r="B107" s="221"/>
      <c r="C107" s="220" t="s">
        <v>98</v>
      </c>
      <c r="D107" s="220" t="s">
        <v>114</v>
      </c>
      <c r="E107" s="220"/>
      <c r="F107" s="247"/>
      <c r="G107" s="171">
        <f>SUM(G109)</f>
        <v>5304.4</v>
      </c>
      <c r="H107" s="22"/>
      <c r="I107" s="22">
        <f>SUM(H107/G111*100)</f>
        <v>0</v>
      </c>
    </row>
    <row r="108" spans="1:9" ht="15">
      <c r="A108" s="149" t="s">
        <v>366</v>
      </c>
      <c r="B108" s="221"/>
      <c r="C108" s="220" t="s">
        <v>98</v>
      </c>
      <c r="D108" s="220" t="s">
        <v>114</v>
      </c>
      <c r="E108" s="220" t="s">
        <v>367</v>
      </c>
      <c r="F108" s="247"/>
      <c r="G108" s="171">
        <f>SUM(G109)</f>
        <v>5304.4</v>
      </c>
      <c r="H108" s="22" t="e">
        <f>SUM(H111)+H110+#REF!</f>
        <v>#REF!</v>
      </c>
      <c r="I108" s="22" t="e">
        <f>SUM(H108/#REF!*100)</f>
        <v>#REF!</v>
      </c>
    </row>
    <row r="109" spans="1:9" s="96" customFormat="1" ht="28.5">
      <c r="A109" s="149" t="s">
        <v>547</v>
      </c>
      <c r="B109" s="221"/>
      <c r="C109" s="220" t="s">
        <v>98</v>
      </c>
      <c r="D109" s="220" t="s">
        <v>114</v>
      </c>
      <c r="E109" s="220" t="s">
        <v>474</v>
      </c>
      <c r="F109" s="247"/>
      <c r="G109" s="171">
        <f>G110+G111+G112</f>
        <v>5304.4</v>
      </c>
      <c r="H109" s="22" t="e">
        <f>SUM(#REF!)</f>
        <v>#REF!</v>
      </c>
      <c r="I109" s="22" t="e">
        <f>SUM(H109/#REF!*100)</f>
        <v>#REF!</v>
      </c>
    </row>
    <row r="110" spans="1:9" s="96" customFormat="1" ht="28.5">
      <c r="A110" s="149" t="s">
        <v>444</v>
      </c>
      <c r="B110" s="221"/>
      <c r="C110" s="220" t="s">
        <v>98</v>
      </c>
      <c r="D110" s="220" t="s">
        <v>114</v>
      </c>
      <c r="E110" s="220" t="s">
        <v>474</v>
      </c>
      <c r="F110" s="247" t="s">
        <v>445</v>
      </c>
      <c r="G110" s="171">
        <v>3843.6</v>
      </c>
      <c r="H110" s="22"/>
      <c r="I110" s="22"/>
    </row>
    <row r="111" spans="1:9" ht="28.5">
      <c r="A111" s="187" t="s">
        <v>697</v>
      </c>
      <c r="B111" s="221"/>
      <c r="C111" s="220" t="s">
        <v>98</v>
      </c>
      <c r="D111" s="220" t="s">
        <v>114</v>
      </c>
      <c r="E111" s="220" t="s">
        <v>474</v>
      </c>
      <c r="F111" s="247" t="s">
        <v>112</v>
      </c>
      <c r="G111" s="171">
        <v>1362.8</v>
      </c>
      <c r="H111" s="22" t="e">
        <f>SUM(#REF!+H116+H119+H122)+#REF!</f>
        <v>#REF!</v>
      </c>
      <c r="I111" s="22" t="e">
        <f>SUM(H111/G113*100)</f>
        <v>#REF!</v>
      </c>
    </row>
    <row r="112" spans="1:9" ht="15">
      <c r="A112" s="149" t="s">
        <v>450</v>
      </c>
      <c r="B112" s="221"/>
      <c r="C112" s="220" t="s">
        <v>98</v>
      </c>
      <c r="D112" s="220" t="s">
        <v>114</v>
      </c>
      <c r="E112" s="220" t="s">
        <v>474</v>
      </c>
      <c r="F112" s="247" t="s">
        <v>160</v>
      </c>
      <c r="G112" s="171">
        <v>98</v>
      </c>
      <c r="H112" s="22"/>
      <c r="I112" s="22">
        <f>SUM(H112/G116*100)</f>
        <v>0</v>
      </c>
    </row>
    <row r="113" spans="1:9" ht="28.5">
      <c r="A113" s="119" t="s">
        <v>271</v>
      </c>
      <c r="B113" s="223"/>
      <c r="C113" s="224" t="s">
        <v>98</v>
      </c>
      <c r="D113" s="224" t="s">
        <v>272</v>
      </c>
      <c r="E113" s="224"/>
      <c r="F113" s="248"/>
      <c r="G113" s="172">
        <f>G123+G128+G114+G133</f>
        <v>15999.2</v>
      </c>
      <c r="H113" s="22">
        <v>438.8</v>
      </c>
      <c r="I113" s="22" t="e">
        <f aca="true" t="shared" si="2" ref="I113:I118">SUM(H113/G119*100)</f>
        <v>#DIV/0!</v>
      </c>
    </row>
    <row r="114" spans="1:9" ht="28.5">
      <c r="A114" s="149" t="s">
        <v>537</v>
      </c>
      <c r="B114" s="221"/>
      <c r="C114" s="220" t="s">
        <v>98</v>
      </c>
      <c r="D114" s="220" t="s">
        <v>272</v>
      </c>
      <c r="E114" s="220" t="s">
        <v>475</v>
      </c>
      <c r="F114" s="247"/>
      <c r="G114" s="171">
        <f>SUM(G115)</f>
        <v>12499.1</v>
      </c>
      <c r="H114" s="22">
        <f>SUM(H115)</f>
        <v>9825.3</v>
      </c>
      <c r="I114" s="22">
        <f t="shared" si="2"/>
        <v>404.8498083975441</v>
      </c>
    </row>
    <row r="115" spans="1:9" ht="28.5">
      <c r="A115" s="149" t="s">
        <v>51</v>
      </c>
      <c r="B115" s="221"/>
      <c r="C115" s="220" t="s">
        <v>98</v>
      </c>
      <c r="D115" s="220" t="s">
        <v>272</v>
      </c>
      <c r="E115" s="220" t="s">
        <v>476</v>
      </c>
      <c r="F115" s="247"/>
      <c r="G115" s="171">
        <f>G116+G120+G122</f>
        <v>12499.1</v>
      </c>
      <c r="H115" s="22">
        <v>9825.3</v>
      </c>
      <c r="I115" s="22" t="e">
        <f t="shared" si="2"/>
        <v>#DIV/0!</v>
      </c>
    </row>
    <row r="116" spans="1:9" ht="28.5">
      <c r="A116" s="149" t="s">
        <v>444</v>
      </c>
      <c r="B116" s="221"/>
      <c r="C116" s="220" t="s">
        <v>98</v>
      </c>
      <c r="D116" s="220" t="s">
        <v>272</v>
      </c>
      <c r="E116" s="220" t="s">
        <v>476</v>
      </c>
      <c r="F116" s="247" t="s">
        <v>445</v>
      </c>
      <c r="G116" s="171">
        <v>9858.5</v>
      </c>
      <c r="H116" s="22">
        <f>SUM(H117)</f>
        <v>227.3</v>
      </c>
      <c r="I116" s="22">
        <f t="shared" si="2"/>
        <v>106.36406176883482</v>
      </c>
    </row>
    <row r="117" spans="1:9" ht="15" hidden="1">
      <c r="A117" s="149" t="s">
        <v>477</v>
      </c>
      <c r="B117" s="221"/>
      <c r="C117" s="220" t="s">
        <v>98</v>
      </c>
      <c r="D117" s="220" t="s">
        <v>272</v>
      </c>
      <c r="E117" s="220" t="s">
        <v>476</v>
      </c>
      <c r="F117" s="247" t="s">
        <v>478</v>
      </c>
      <c r="G117" s="171"/>
      <c r="H117" s="22">
        <f>SUM(H118)</f>
        <v>227.3</v>
      </c>
      <c r="I117" s="22">
        <f t="shared" si="2"/>
        <v>6.685097497132437</v>
      </c>
    </row>
    <row r="118" spans="1:9" ht="28.5" hidden="1">
      <c r="A118" s="149" t="s">
        <v>479</v>
      </c>
      <c r="B118" s="225"/>
      <c r="C118" s="220" t="s">
        <v>98</v>
      </c>
      <c r="D118" s="220" t="s">
        <v>272</v>
      </c>
      <c r="E118" s="220" t="s">
        <v>476</v>
      </c>
      <c r="F118" s="247" t="s">
        <v>480</v>
      </c>
      <c r="G118" s="171"/>
      <c r="H118" s="22">
        <v>227.3</v>
      </c>
      <c r="I118" s="22">
        <f t="shared" si="2"/>
        <v>16.234554674666096</v>
      </c>
    </row>
    <row r="119" spans="1:9" ht="28.5" hidden="1">
      <c r="A119" s="149" t="s">
        <v>481</v>
      </c>
      <c r="B119" s="225"/>
      <c r="C119" s="220" t="s">
        <v>98</v>
      </c>
      <c r="D119" s="220" t="s">
        <v>272</v>
      </c>
      <c r="E119" s="220" t="s">
        <v>476</v>
      </c>
      <c r="F119" s="247" t="s">
        <v>482</v>
      </c>
      <c r="G119" s="171"/>
      <c r="H119" s="22">
        <f>SUM(H120)</f>
        <v>5387.8</v>
      </c>
      <c r="I119" s="22" t="e">
        <f>SUM(H119/#REF!*100)</f>
        <v>#REF!</v>
      </c>
    </row>
    <row r="120" spans="1:9" ht="28.5">
      <c r="A120" s="187" t="s">
        <v>697</v>
      </c>
      <c r="B120" s="225"/>
      <c r="C120" s="220" t="s">
        <v>98</v>
      </c>
      <c r="D120" s="220" t="s">
        <v>272</v>
      </c>
      <c r="E120" s="220" t="s">
        <v>476</v>
      </c>
      <c r="F120" s="247" t="s">
        <v>112</v>
      </c>
      <c r="G120" s="171">
        <v>2426.9</v>
      </c>
      <c r="H120" s="22">
        <f>SUM(H121)</f>
        <v>5387.8</v>
      </c>
      <c r="I120" s="22" t="e">
        <f>SUM(H120/#REF!*100)</f>
        <v>#REF!</v>
      </c>
    </row>
    <row r="121" spans="1:9" ht="15" hidden="1">
      <c r="A121" s="149" t="s">
        <v>464</v>
      </c>
      <c r="B121" s="225"/>
      <c r="C121" s="220" t="s">
        <v>98</v>
      </c>
      <c r="D121" s="220" t="s">
        <v>272</v>
      </c>
      <c r="E121" s="220" t="s">
        <v>476</v>
      </c>
      <c r="F121" s="247" t="s">
        <v>465</v>
      </c>
      <c r="G121" s="171"/>
      <c r="H121" s="22">
        <v>5387.8</v>
      </c>
      <c r="I121" s="22" t="e">
        <f>SUM(H121/#REF!*100)</f>
        <v>#REF!</v>
      </c>
    </row>
    <row r="122" spans="1:9" ht="15">
      <c r="A122" s="261" t="s">
        <v>450</v>
      </c>
      <c r="B122" s="249"/>
      <c r="C122" s="226" t="s">
        <v>98</v>
      </c>
      <c r="D122" s="226" t="s">
        <v>272</v>
      </c>
      <c r="E122" s="226" t="s">
        <v>476</v>
      </c>
      <c r="F122" s="250" t="s">
        <v>160</v>
      </c>
      <c r="G122" s="233">
        <v>213.7</v>
      </c>
      <c r="H122" s="22">
        <f>SUM(H124)</f>
        <v>0</v>
      </c>
      <c r="I122" s="22">
        <f>SUM(H122/G126*100)</f>
        <v>0</v>
      </c>
    </row>
    <row r="123" spans="1:9" ht="28.5">
      <c r="A123" s="149" t="s">
        <v>538</v>
      </c>
      <c r="B123" s="221"/>
      <c r="C123" s="220" t="s">
        <v>98</v>
      </c>
      <c r="D123" s="220" t="s">
        <v>272</v>
      </c>
      <c r="E123" s="220" t="s">
        <v>483</v>
      </c>
      <c r="F123" s="247"/>
      <c r="G123" s="171">
        <f>SUM(G125+G127)</f>
        <v>3400.1</v>
      </c>
      <c r="H123" s="22">
        <f>SUM(H124)</f>
        <v>0</v>
      </c>
      <c r="I123" s="22">
        <f>SUM(H123/G127*100)</f>
        <v>0</v>
      </c>
    </row>
    <row r="124" spans="1:9" ht="28.5">
      <c r="A124" s="149" t="s">
        <v>539</v>
      </c>
      <c r="B124" s="221"/>
      <c r="C124" s="220" t="s">
        <v>98</v>
      </c>
      <c r="D124" s="220" t="s">
        <v>272</v>
      </c>
      <c r="E124" s="220" t="s">
        <v>484</v>
      </c>
      <c r="F124" s="247"/>
      <c r="G124" s="171">
        <f>SUM(G125)</f>
        <v>1400.1</v>
      </c>
      <c r="H124" s="22"/>
      <c r="I124" s="22" t="e">
        <f>SUM(H124/G128*100)</f>
        <v>#DIV/0!</v>
      </c>
    </row>
    <row r="125" spans="1:9" ht="28.5">
      <c r="A125" s="187" t="s">
        <v>697</v>
      </c>
      <c r="B125" s="221"/>
      <c r="C125" s="220" t="s">
        <v>98</v>
      </c>
      <c r="D125" s="220" t="s">
        <v>272</v>
      </c>
      <c r="E125" s="220" t="s">
        <v>484</v>
      </c>
      <c r="F125" s="247" t="s">
        <v>112</v>
      </c>
      <c r="G125" s="171">
        <v>1400.1</v>
      </c>
      <c r="H125" s="22"/>
      <c r="I125" s="22"/>
    </row>
    <row r="126" spans="1:9" ht="28.5">
      <c r="A126" s="149" t="s">
        <v>0</v>
      </c>
      <c r="B126" s="221"/>
      <c r="C126" s="220" t="s">
        <v>98</v>
      </c>
      <c r="D126" s="220" t="s">
        <v>272</v>
      </c>
      <c r="E126" s="220" t="s">
        <v>485</v>
      </c>
      <c r="F126" s="247"/>
      <c r="G126" s="171">
        <f>SUM(G127)</f>
        <v>2000</v>
      </c>
      <c r="H126" s="22"/>
      <c r="I126" s="22" t="e">
        <f>SUM(H126/G132*100)</f>
        <v>#DIV/0!</v>
      </c>
    </row>
    <row r="127" spans="1:9" s="96" customFormat="1" ht="28.5">
      <c r="A127" s="187" t="s">
        <v>697</v>
      </c>
      <c r="B127" s="221"/>
      <c r="C127" s="220" t="s">
        <v>98</v>
      </c>
      <c r="D127" s="220" t="s">
        <v>272</v>
      </c>
      <c r="E127" s="220" t="s">
        <v>485</v>
      </c>
      <c r="F127" s="247" t="s">
        <v>112</v>
      </c>
      <c r="G127" s="171">
        <v>2000</v>
      </c>
      <c r="H127" s="22" t="e">
        <f>SUM(H128+H131+H137+#REF!)</f>
        <v>#REF!</v>
      </c>
      <c r="I127" s="22" t="e">
        <f>SUM(H127/#REF!*100)</f>
        <v>#REF!</v>
      </c>
    </row>
    <row r="128" spans="1:9" ht="15" hidden="1">
      <c r="A128" s="149" t="s">
        <v>1</v>
      </c>
      <c r="B128" s="196"/>
      <c r="C128" s="192" t="s">
        <v>98</v>
      </c>
      <c r="D128" s="192" t="s">
        <v>272</v>
      </c>
      <c r="E128" s="192" t="s">
        <v>486</v>
      </c>
      <c r="F128" s="242"/>
      <c r="G128" s="171"/>
      <c r="H128" s="22"/>
      <c r="I128" s="22"/>
    </row>
    <row r="129" spans="1:9" ht="28.5" hidden="1">
      <c r="A129" s="149" t="s">
        <v>2</v>
      </c>
      <c r="B129" s="196"/>
      <c r="C129" s="192" t="s">
        <v>98</v>
      </c>
      <c r="D129" s="192" t="s">
        <v>272</v>
      </c>
      <c r="E129" s="192" t="s">
        <v>487</v>
      </c>
      <c r="F129" s="242"/>
      <c r="G129" s="171"/>
      <c r="H129" s="22"/>
      <c r="I129" s="22"/>
    </row>
    <row r="130" spans="1:9" ht="15" hidden="1">
      <c r="A130" s="149" t="s">
        <v>449</v>
      </c>
      <c r="B130" s="196"/>
      <c r="C130" s="192" t="s">
        <v>98</v>
      </c>
      <c r="D130" s="192" t="s">
        <v>272</v>
      </c>
      <c r="E130" s="192" t="s">
        <v>487</v>
      </c>
      <c r="F130" s="242" t="s">
        <v>112</v>
      </c>
      <c r="G130" s="171"/>
      <c r="H130" s="22"/>
      <c r="I130" s="22"/>
    </row>
    <row r="131" spans="1:9" ht="15" hidden="1">
      <c r="A131" s="149" t="s">
        <v>464</v>
      </c>
      <c r="B131" s="196"/>
      <c r="C131" s="192" t="s">
        <v>98</v>
      </c>
      <c r="D131" s="192" t="s">
        <v>272</v>
      </c>
      <c r="E131" s="192" t="s">
        <v>487</v>
      </c>
      <c r="F131" s="242" t="s">
        <v>465</v>
      </c>
      <c r="G131" s="171"/>
      <c r="H131" s="22"/>
      <c r="I131" s="22"/>
    </row>
    <row r="132" spans="1:9" ht="28.5" hidden="1">
      <c r="A132" s="149" t="s">
        <v>466</v>
      </c>
      <c r="B132" s="196"/>
      <c r="C132" s="192" t="s">
        <v>98</v>
      </c>
      <c r="D132" s="192" t="s">
        <v>272</v>
      </c>
      <c r="E132" s="192" t="s">
        <v>487</v>
      </c>
      <c r="F132" s="242" t="s">
        <v>467</v>
      </c>
      <c r="G132" s="171"/>
      <c r="H132" s="22"/>
      <c r="I132" s="22"/>
    </row>
    <row r="133" spans="1:9" ht="15">
      <c r="A133" s="198" t="s">
        <v>497</v>
      </c>
      <c r="B133" s="196"/>
      <c r="C133" s="199" t="s">
        <v>98</v>
      </c>
      <c r="D133" s="199" t="s">
        <v>272</v>
      </c>
      <c r="E133" s="192" t="s">
        <v>121</v>
      </c>
      <c r="F133" s="251"/>
      <c r="G133" s="173">
        <f>SUM(G134)</f>
        <v>100</v>
      </c>
      <c r="H133" s="22"/>
      <c r="I133" s="22"/>
    </row>
    <row r="134" spans="1:9" ht="28.5">
      <c r="A134" s="149" t="s">
        <v>573</v>
      </c>
      <c r="B134" s="188"/>
      <c r="C134" s="199" t="s">
        <v>98</v>
      </c>
      <c r="D134" s="199" t="s">
        <v>272</v>
      </c>
      <c r="E134" s="192" t="s">
        <v>574</v>
      </c>
      <c r="F134" s="242"/>
      <c r="G134" s="161">
        <f>SUM(G135)</f>
        <v>100</v>
      </c>
      <c r="H134" s="22"/>
      <c r="I134" s="22"/>
    </row>
    <row r="135" spans="1:9" ht="30" customHeight="1">
      <c r="A135" s="187" t="s">
        <v>697</v>
      </c>
      <c r="B135" s="188"/>
      <c r="C135" s="199" t="s">
        <v>98</v>
      </c>
      <c r="D135" s="199" t="s">
        <v>272</v>
      </c>
      <c r="E135" s="192" t="s">
        <v>574</v>
      </c>
      <c r="F135" s="242" t="s">
        <v>112</v>
      </c>
      <c r="G135" s="161">
        <v>100</v>
      </c>
      <c r="H135" s="22"/>
      <c r="I135" s="22"/>
    </row>
    <row r="136" spans="1:9" ht="28.5" hidden="1">
      <c r="A136" s="149" t="s">
        <v>187</v>
      </c>
      <c r="B136" s="188"/>
      <c r="C136" s="199" t="s">
        <v>98</v>
      </c>
      <c r="D136" s="199" t="s">
        <v>272</v>
      </c>
      <c r="E136" s="192" t="s">
        <v>140</v>
      </c>
      <c r="F136" s="242"/>
      <c r="G136" s="161">
        <f>SUM(G137)</f>
        <v>0</v>
      </c>
      <c r="H136" s="22"/>
      <c r="I136" s="22"/>
    </row>
    <row r="137" spans="1:9" ht="15" hidden="1">
      <c r="A137" s="187" t="s">
        <v>95</v>
      </c>
      <c r="B137" s="188"/>
      <c r="C137" s="199" t="s">
        <v>98</v>
      </c>
      <c r="D137" s="199" t="s">
        <v>272</v>
      </c>
      <c r="E137" s="192" t="s">
        <v>140</v>
      </c>
      <c r="F137" s="242" t="s">
        <v>96</v>
      </c>
      <c r="G137" s="161"/>
      <c r="H137" s="22"/>
      <c r="I137" s="22"/>
    </row>
    <row r="138" spans="1:9" s="96" customFormat="1" ht="15">
      <c r="A138" s="149" t="s">
        <v>113</v>
      </c>
      <c r="B138" s="221"/>
      <c r="C138" s="220" t="s">
        <v>114</v>
      </c>
      <c r="D138" s="220"/>
      <c r="E138" s="220"/>
      <c r="F138" s="247"/>
      <c r="G138" s="171">
        <f>G139+G158+G151</f>
        <v>97479.1</v>
      </c>
      <c r="H138" s="22">
        <f>SUM(H139+H140)</f>
        <v>30706.4</v>
      </c>
      <c r="I138" s="22" t="e">
        <f>SUM(H138/G144*100)</f>
        <v>#DIV/0!</v>
      </c>
    </row>
    <row r="139" spans="1:9" ht="15">
      <c r="A139" s="149" t="s">
        <v>115</v>
      </c>
      <c r="B139" s="221"/>
      <c r="C139" s="220" t="s">
        <v>114</v>
      </c>
      <c r="D139" s="220" t="s">
        <v>116</v>
      </c>
      <c r="E139" s="220"/>
      <c r="F139" s="247"/>
      <c r="G139" s="171">
        <f>G140</f>
        <v>33901.9</v>
      </c>
      <c r="H139" s="22">
        <v>30706.4</v>
      </c>
      <c r="I139" s="22">
        <f>SUM(H139/G145*100)</f>
        <v>141.38686803573074</v>
      </c>
    </row>
    <row r="140" spans="1:9" ht="15">
      <c r="A140" s="149" t="s">
        <v>488</v>
      </c>
      <c r="B140" s="221"/>
      <c r="C140" s="220" t="s">
        <v>114</v>
      </c>
      <c r="D140" s="220" t="s">
        <v>116</v>
      </c>
      <c r="E140" s="220" t="s">
        <v>489</v>
      </c>
      <c r="F140" s="247"/>
      <c r="G140" s="171">
        <f>G141+G145</f>
        <v>33901.9</v>
      </c>
      <c r="H140" s="22">
        <f>SUM(H141)</f>
        <v>0</v>
      </c>
      <c r="I140" s="22">
        <f>SUM(H140/G146*100)</f>
        <v>0</v>
      </c>
    </row>
    <row r="141" spans="1:9" ht="15">
      <c r="A141" s="149" t="s">
        <v>490</v>
      </c>
      <c r="B141" s="221"/>
      <c r="C141" s="220" t="s">
        <v>114</v>
      </c>
      <c r="D141" s="220" t="s">
        <v>116</v>
      </c>
      <c r="E141" s="220" t="s">
        <v>491</v>
      </c>
      <c r="F141" s="247"/>
      <c r="G141" s="171">
        <f>G142</f>
        <v>12183.9</v>
      </c>
      <c r="H141" s="22"/>
      <c r="I141" s="22">
        <f>SUM(H141/G147*100)</f>
        <v>0</v>
      </c>
    </row>
    <row r="142" spans="1:9" ht="15">
      <c r="A142" s="149" t="s">
        <v>6</v>
      </c>
      <c r="B142" s="221"/>
      <c r="C142" s="220" t="s">
        <v>114</v>
      </c>
      <c r="D142" s="220" t="s">
        <v>116</v>
      </c>
      <c r="E142" s="220" t="s">
        <v>492</v>
      </c>
      <c r="F142" s="247"/>
      <c r="G142" s="171">
        <f>SUM(G143)</f>
        <v>12183.9</v>
      </c>
      <c r="H142" s="22"/>
      <c r="I142" s="22"/>
    </row>
    <row r="143" spans="1:9" s="103" customFormat="1" ht="15">
      <c r="A143" s="149" t="s">
        <v>450</v>
      </c>
      <c r="B143" s="221"/>
      <c r="C143" s="220" t="s">
        <v>114</v>
      </c>
      <c r="D143" s="220" t="s">
        <v>116</v>
      </c>
      <c r="E143" s="220" t="s">
        <v>492</v>
      </c>
      <c r="F143" s="247" t="s">
        <v>160</v>
      </c>
      <c r="G143" s="171">
        <v>12183.9</v>
      </c>
      <c r="H143" s="86"/>
      <c r="I143" s="86"/>
    </row>
    <row r="144" spans="1:9" ht="28.5" hidden="1">
      <c r="A144" s="149" t="s">
        <v>493</v>
      </c>
      <c r="B144" s="221"/>
      <c r="C144" s="220" t="s">
        <v>114</v>
      </c>
      <c r="D144" s="220" t="s">
        <v>116</v>
      </c>
      <c r="E144" s="220" t="s">
        <v>492</v>
      </c>
      <c r="F144" s="247" t="s">
        <v>186</v>
      </c>
      <c r="G144" s="171"/>
      <c r="H144" s="22"/>
      <c r="I144" s="22"/>
    </row>
    <row r="145" spans="1:9" ht="15">
      <c r="A145" s="149" t="s">
        <v>117</v>
      </c>
      <c r="B145" s="221"/>
      <c r="C145" s="220" t="s">
        <v>114</v>
      </c>
      <c r="D145" s="220" t="s">
        <v>116</v>
      </c>
      <c r="E145" s="220" t="s">
        <v>373</v>
      </c>
      <c r="F145" s="247"/>
      <c r="G145" s="171">
        <f>G146</f>
        <v>21718</v>
      </c>
      <c r="H145" s="22"/>
      <c r="I145" s="22"/>
    </row>
    <row r="146" spans="1:9" ht="15">
      <c r="A146" s="149" t="s">
        <v>14</v>
      </c>
      <c r="B146" s="221"/>
      <c r="C146" s="220" t="s">
        <v>114</v>
      </c>
      <c r="D146" s="220" t="s">
        <v>116</v>
      </c>
      <c r="E146" s="220" t="s">
        <v>71</v>
      </c>
      <c r="F146" s="247"/>
      <c r="G146" s="171">
        <f>SUM(G147)</f>
        <v>21718</v>
      </c>
      <c r="H146" s="22"/>
      <c r="I146" s="22"/>
    </row>
    <row r="147" spans="1:9" ht="28.5">
      <c r="A147" s="149" t="s">
        <v>183</v>
      </c>
      <c r="B147" s="221"/>
      <c r="C147" s="220" t="s">
        <v>114</v>
      </c>
      <c r="D147" s="220" t="s">
        <v>116</v>
      </c>
      <c r="E147" s="220" t="s">
        <v>72</v>
      </c>
      <c r="F147" s="247"/>
      <c r="G147" s="171">
        <f>SUM(G148)</f>
        <v>21718</v>
      </c>
      <c r="H147" s="22"/>
      <c r="I147" s="22"/>
    </row>
    <row r="148" spans="1:9" ht="28.5">
      <c r="A148" s="149" t="s">
        <v>470</v>
      </c>
      <c r="B148" s="221"/>
      <c r="C148" s="220" t="s">
        <v>114</v>
      </c>
      <c r="D148" s="220" t="s">
        <v>116</v>
      </c>
      <c r="E148" s="220" t="s">
        <v>72</v>
      </c>
      <c r="F148" s="247" t="s">
        <v>461</v>
      </c>
      <c r="G148" s="171">
        <v>21718</v>
      </c>
      <c r="H148" s="22"/>
      <c r="I148" s="22"/>
    </row>
    <row r="149" spans="1:9" ht="15" hidden="1">
      <c r="A149" s="149" t="s">
        <v>471</v>
      </c>
      <c r="B149" s="221"/>
      <c r="C149" s="220" t="s">
        <v>114</v>
      </c>
      <c r="D149" s="220" t="s">
        <v>116</v>
      </c>
      <c r="E149" s="220" t="s">
        <v>72</v>
      </c>
      <c r="F149" s="247" t="s">
        <v>472</v>
      </c>
      <c r="G149" s="171"/>
      <c r="H149" s="22"/>
      <c r="I149" s="22"/>
    </row>
    <row r="150" spans="1:9" ht="42.75" hidden="1">
      <c r="A150" s="119" t="s">
        <v>473</v>
      </c>
      <c r="B150" s="221"/>
      <c r="C150" s="220" t="s">
        <v>114</v>
      </c>
      <c r="D150" s="220" t="s">
        <v>116</v>
      </c>
      <c r="E150" s="220" t="s">
        <v>72</v>
      </c>
      <c r="F150" s="247" t="s">
        <v>53</v>
      </c>
      <c r="G150" s="171"/>
      <c r="H150" s="22" t="e">
        <f>SUM(H154+H156+H168+#REF!)</f>
        <v>#REF!</v>
      </c>
      <c r="I150" s="22" t="e">
        <f>SUM(H150/G156*100)</f>
        <v>#REF!</v>
      </c>
    </row>
    <row r="151" spans="1:9" s="96" customFormat="1" ht="15">
      <c r="A151" s="149" t="s">
        <v>137</v>
      </c>
      <c r="B151" s="221"/>
      <c r="C151" s="220" t="s">
        <v>114</v>
      </c>
      <c r="D151" s="220" t="s">
        <v>272</v>
      </c>
      <c r="E151" s="220"/>
      <c r="F151" s="247"/>
      <c r="G151" s="171">
        <f>G152+G154</f>
        <v>52855.3</v>
      </c>
      <c r="H151" s="22">
        <f>SUM(H153)</f>
        <v>0</v>
      </c>
      <c r="I151" s="22">
        <f>SUM(H151/G158*100)</f>
        <v>0</v>
      </c>
    </row>
    <row r="152" spans="1:9" s="96" customFormat="1" ht="28.5">
      <c r="A152" s="149" t="s">
        <v>33</v>
      </c>
      <c r="B152" s="221"/>
      <c r="C152" s="220" t="s">
        <v>114</v>
      </c>
      <c r="D152" s="220" t="s">
        <v>272</v>
      </c>
      <c r="E152" s="220" t="s">
        <v>34</v>
      </c>
      <c r="F152" s="247"/>
      <c r="G152" s="171">
        <f>G153</f>
        <v>36652</v>
      </c>
      <c r="H152" s="22"/>
      <c r="I152" s="22"/>
    </row>
    <row r="153" spans="1:9" s="104" customFormat="1" ht="28.5">
      <c r="A153" s="187" t="s">
        <v>697</v>
      </c>
      <c r="B153" s="221"/>
      <c r="C153" s="220" t="s">
        <v>114</v>
      </c>
      <c r="D153" s="220" t="s">
        <v>272</v>
      </c>
      <c r="E153" s="220" t="s">
        <v>34</v>
      </c>
      <c r="F153" s="247" t="s">
        <v>112</v>
      </c>
      <c r="G153" s="171">
        <v>36652</v>
      </c>
      <c r="H153" s="22"/>
      <c r="I153" s="22">
        <f>SUM(H153/G164*100)</f>
        <v>0</v>
      </c>
    </row>
    <row r="154" spans="1:9" s="98" customFormat="1" ht="28.5">
      <c r="A154" s="149" t="s">
        <v>726</v>
      </c>
      <c r="B154" s="221"/>
      <c r="C154" s="220" t="s">
        <v>114</v>
      </c>
      <c r="D154" s="220" t="s">
        <v>272</v>
      </c>
      <c r="E154" s="220" t="s">
        <v>727</v>
      </c>
      <c r="F154" s="247"/>
      <c r="G154" s="171">
        <f>SUM(G155)</f>
        <v>16203.3</v>
      </c>
      <c r="H154" s="22">
        <f>SUM(H155)</f>
        <v>0</v>
      </c>
      <c r="I154" s="22" t="e">
        <f>SUM(H154/G165*100)</f>
        <v>#DIV/0!</v>
      </c>
    </row>
    <row r="155" spans="1:9" s="98" customFormat="1" ht="71.25">
      <c r="A155" s="149" t="s">
        <v>728</v>
      </c>
      <c r="B155" s="221"/>
      <c r="C155" s="220" t="s">
        <v>114</v>
      </c>
      <c r="D155" s="220" t="s">
        <v>272</v>
      </c>
      <c r="E155" s="220" t="s">
        <v>729</v>
      </c>
      <c r="F155" s="247"/>
      <c r="G155" s="171">
        <f>SUM(G156)</f>
        <v>16203.3</v>
      </c>
      <c r="H155" s="22">
        <f>5050-2000-3050</f>
        <v>0</v>
      </c>
      <c r="I155" s="22" t="e">
        <f>SUM(H155/G166*100)</f>
        <v>#DIV/0!</v>
      </c>
    </row>
    <row r="156" spans="1:9" s="98" customFormat="1" ht="28.5">
      <c r="A156" s="149" t="s">
        <v>730</v>
      </c>
      <c r="B156" s="221"/>
      <c r="C156" s="220" t="s">
        <v>114</v>
      </c>
      <c r="D156" s="220" t="s">
        <v>272</v>
      </c>
      <c r="E156" s="220" t="s">
        <v>731</v>
      </c>
      <c r="F156" s="247"/>
      <c r="G156" s="171">
        <f>SUM(G157)</f>
        <v>16203.3</v>
      </c>
      <c r="H156" s="22">
        <f>SUM(H158)</f>
        <v>200</v>
      </c>
      <c r="I156" s="22" t="e">
        <f>SUM(H156/G167*100)</f>
        <v>#DIV/0!</v>
      </c>
    </row>
    <row r="157" spans="1:9" s="98" customFormat="1" ht="28.5">
      <c r="A157" s="187" t="s">
        <v>697</v>
      </c>
      <c r="B157" s="221"/>
      <c r="C157" s="220" t="s">
        <v>114</v>
      </c>
      <c r="D157" s="220" t="s">
        <v>272</v>
      </c>
      <c r="E157" s="220" t="s">
        <v>731</v>
      </c>
      <c r="F157" s="247" t="s">
        <v>112</v>
      </c>
      <c r="G157" s="171">
        <v>16203.3</v>
      </c>
      <c r="H157" s="22"/>
      <c r="I157" s="22"/>
    </row>
    <row r="158" spans="1:9" s="98" customFormat="1" ht="15">
      <c r="A158" s="149" t="s">
        <v>374</v>
      </c>
      <c r="B158" s="221"/>
      <c r="C158" s="220" t="s">
        <v>114</v>
      </c>
      <c r="D158" s="220" t="s">
        <v>364</v>
      </c>
      <c r="E158" s="220"/>
      <c r="F158" s="247"/>
      <c r="G158" s="171">
        <f>SUM(G159,G175)</f>
        <v>10721.9</v>
      </c>
      <c r="H158" s="22">
        <f>SUM(H159)</f>
        <v>200</v>
      </c>
      <c r="I158" s="22">
        <f>SUM(H158/G168*100)</f>
        <v>5.511463844797178</v>
      </c>
    </row>
    <row r="159" spans="1:9" s="98" customFormat="1" ht="15">
      <c r="A159" s="149" t="s">
        <v>488</v>
      </c>
      <c r="B159" s="221"/>
      <c r="C159" s="220" t="s">
        <v>114</v>
      </c>
      <c r="D159" s="220" t="s">
        <v>364</v>
      </c>
      <c r="E159" s="220" t="s">
        <v>489</v>
      </c>
      <c r="F159" s="247"/>
      <c r="G159" s="171">
        <f>SUM(G164)+G160</f>
        <v>4068.4</v>
      </c>
      <c r="H159" s="22">
        <v>200</v>
      </c>
      <c r="I159" s="22">
        <f>SUM(H159/G169*100)</f>
        <v>5.511463844797178</v>
      </c>
    </row>
    <row r="160" spans="1:9" s="98" customFormat="1" ht="15">
      <c r="A160" s="149" t="s">
        <v>667</v>
      </c>
      <c r="B160" s="221"/>
      <c r="C160" s="220" t="s">
        <v>114</v>
      </c>
      <c r="D160" s="220" t="s">
        <v>364</v>
      </c>
      <c r="E160" s="220" t="s">
        <v>668</v>
      </c>
      <c r="F160" s="247"/>
      <c r="G160" s="171">
        <f>SUM(G161)</f>
        <v>439.6</v>
      </c>
      <c r="H160" s="22"/>
      <c r="I160" s="22"/>
    </row>
    <row r="161" spans="1:9" s="98" customFormat="1" ht="15">
      <c r="A161" s="149" t="s">
        <v>14</v>
      </c>
      <c r="B161" s="221"/>
      <c r="C161" s="220" t="s">
        <v>114</v>
      </c>
      <c r="D161" s="220" t="s">
        <v>364</v>
      </c>
      <c r="E161" s="220" t="s">
        <v>669</v>
      </c>
      <c r="F161" s="247"/>
      <c r="G161" s="171">
        <f>SUM(G162)</f>
        <v>439.6</v>
      </c>
      <c r="H161" s="22"/>
      <c r="I161" s="22"/>
    </row>
    <row r="162" spans="1:9" s="98" customFormat="1" ht="28.5">
      <c r="A162" s="149" t="s">
        <v>183</v>
      </c>
      <c r="B162" s="221"/>
      <c r="C162" s="220" t="s">
        <v>114</v>
      </c>
      <c r="D162" s="220" t="s">
        <v>364</v>
      </c>
      <c r="E162" s="220" t="s">
        <v>670</v>
      </c>
      <c r="F162" s="247"/>
      <c r="G162" s="171">
        <f>SUM(G163)</f>
        <v>439.6</v>
      </c>
      <c r="H162" s="22"/>
      <c r="I162" s="22"/>
    </row>
    <row r="163" spans="1:9" s="98" customFormat="1" ht="28.5">
      <c r="A163" s="149" t="s">
        <v>470</v>
      </c>
      <c r="B163" s="221"/>
      <c r="C163" s="220" t="s">
        <v>114</v>
      </c>
      <c r="D163" s="220" t="s">
        <v>364</v>
      </c>
      <c r="E163" s="220" t="s">
        <v>670</v>
      </c>
      <c r="F163" s="247" t="s">
        <v>461</v>
      </c>
      <c r="G163" s="171">
        <v>439.6</v>
      </c>
      <c r="H163" s="22"/>
      <c r="I163" s="22"/>
    </row>
    <row r="164" spans="1:9" s="98" customFormat="1" ht="15">
      <c r="A164" s="149" t="s">
        <v>379</v>
      </c>
      <c r="B164" s="221"/>
      <c r="C164" s="220" t="s">
        <v>114</v>
      </c>
      <c r="D164" s="220" t="s">
        <v>364</v>
      </c>
      <c r="E164" s="220" t="s">
        <v>494</v>
      </c>
      <c r="F164" s="247"/>
      <c r="G164" s="171">
        <f>SUM(G165,G169)</f>
        <v>3628.8</v>
      </c>
      <c r="H164" s="22"/>
      <c r="I164" s="22"/>
    </row>
    <row r="165" spans="1:9" s="98" customFormat="1" ht="15" hidden="1">
      <c r="A165" s="149" t="s">
        <v>499</v>
      </c>
      <c r="B165" s="221"/>
      <c r="C165" s="220" t="s">
        <v>114</v>
      </c>
      <c r="D165" s="220" t="s">
        <v>364</v>
      </c>
      <c r="E165" s="192" t="s">
        <v>495</v>
      </c>
      <c r="F165" s="247"/>
      <c r="G165" s="171">
        <f>SUM(G166)</f>
        <v>0</v>
      </c>
      <c r="H165" s="22"/>
      <c r="I165" s="22"/>
    </row>
    <row r="166" spans="1:9" s="105" customFormat="1" ht="15" hidden="1">
      <c r="A166" s="149" t="s">
        <v>449</v>
      </c>
      <c r="B166" s="221"/>
      <c r="C166" s="220" t="s">
        <v>114</v>
      </c>
      <c r="D166" s="220" t="s">
        <v>364</v>
      </c>
      <c r="E166" s="192" t="s">
        <v>495</v>
      </c>
      <c r="F166" s="247" t="s">
        <v>112</v>
      </c>
      <c r="G166" s="171"/>
      <c r="H166" s="22">
        <f>SUM(H167)</f>
        <v>0</v>
      </c>
      <c r="I166" s="22" t="e">
        <f>SUM(H166/G174*100)</f>
        <v>#DIV/0!</v>
      </c>
    </row>
    <row r="167" spans="1:9" s="98" customFormat="1" ht="15" hidden="1">
      <c r="A167" s="149" t="s">
        <v>464</v>
      </c>
      <c r="B167" s="221"/>
      <c r="C167" s="220" t="s">
        <v>114</v>
      </c>
      <c r="D167" s="220" t="s">
        <v>364</v>
      </c>
      <c r="E167" s="192" t="s">
        <v>495</v>
      </c>
      <c r="F167" s="247" t="s">
        <v>465</v>
      </c>
      <c r="G167" s="171"/>
      <c r="H167" s="22"/>
      <c r="I167" s="22">
        <f>SUM(H167/G175*100)</f>
        <v>0</v>
      </c>
    </row>
    <row r="168" spans="1:9" s="98" customFormat="1" ht="15">
      <c r="A168" s="149" t="s">
        <v>14</v>
      </c>
      <c r="B168" s="221"/>
      <c r="C168" s="220" t="s">
        <v>114</v>
      </c>
      <c r="D168" s="220" t="s">
        <v>364</v>
      </c>
      <c r="E168" s="220" t="s">
        <v>500</v>
      </c>
      <c r="F168" s="247"/>
      <c r="G168" s="171">
        <f>SUM(G169)</f>
        <v>3628.8</v>
      </c>
      <c r="H168" s="22">
        <f>SUM(H169)</f>
        <v>0</v>
      </c>
      <c r="I168" s="22">
        <f>SUM(H168/G178*100)</f>
        <v>0</v>
      </c>
    </row>
    <row r="169" spans="1:9" s="98" customFormat="1" ht="28.5">
      <c r="A169" s="149" t="s">
        <v>183</v>
      </c>
      <c r="B169" s="221"/>
      <c r="C169" s="220" t="s">
        <v>114</v>
      </c>
      <c r="D169" s="220" t="s">
        <v>364</v>
      </c>
      <c r="E169" s="220" t="s">
        <v>496</v>
      </c>
      <c r="F169" s="247"/>
      <c r="G169" s="171">
        <f>G170</f>
        <v>3628.8</v>
      </c>
      <c r="H169" s="22">
        <f>SUM(H170:H179)</f>
        <v>0</v>
      </c>
      <c r="I169" s="22">
        <f>SUM(H169/G179*100)</f>
        <v>0</v>
      </c>
    </row>
    <row r="170" spans="1:9" s="98" customFormat="1" ht="28.5">
      <c r="A170" s="149" t="s">
        <v>470</v>
      </c>
      <c r="B170" s="221"/>
      <c r="C170" s="220" t="s">
        <v>114</v>
      </c>
      <c r="D170" s="220" t="s">
        <v>364</v>
      </c>
      <c r="E170" s="220" t="s">
        <v>496</v>
      </c>
      <c r="F170" s="247" t="s">
        <v>461</v>
      </c>
      <c r="G170" s="171">
        <v>3628.8</v>
      </c>
      <c r="H170" s="22"/>
      <c r="I170" s="22" t="e">
        <f>SUM(H170/#REF!*100)</f>
        <v>#REF!</v>
      </c>
    </row>
    <row r="171" spans="1:9" s="98" customFormat="1" ht="15" hidden="1">
      <c r="A171" s="149"/>
      <c r="B171" s="221"/>
      <c r="C171" s="220"/>
      <c r="D171" s="220"/>
      <c r="E171" s="220"/>
      <c r="F171" s="247"/>
      <c r="G171" s="171"/>
      <c r="H171" s="22"/>
      <c r="I171" s="22"/>
    </row>
    <row r="172" spans="1:9" s="98" customFormat="1" ht="15" hidden="1">
      <c r="A172" s="149"/>
      <c r="B172" s="221"/>
      <c r="C172" s="220"/>
      <c r="D172" s="220"/>
      <c r="E172" s="220"/>
      <c r="F172" s="247"/>
      <c r="G172" s="171"/>
      <c r="H172" s="22"/>
      <c r="I172" s="22"/>
    </row>
    <row r="173" spans="1:9" s="98" customFormat="1" ht="15" hidden="1">
      <c r="A173" s="149" t="s">
        <v>471</v>
      </c>
      <c r="B173" s="221"/>
      <c r="C173" s="220" t="s">
        <v>114</v>
      </c>
      <c r="D173" s="220" t="s">
        <v>364</v>
      </c>
      <c r="E173" s="220" t="s">
        <v>496</v>
      </c>
      <c r="F173" s="247" t="s">
        <v>472</v>
      </c>
      <c r="G173" s="171"/>
      <c r="H173" s="22"/>
      <c r="I173" s="22"/>
    </row>
    <row r="174" spans="1:9" s="106" customFormat="1" ht="42.75" hidden="1">
      <c r="A174" s="119" t="s">
        <v>473</v>
      </c>
      <c r="B174" s="223"/>
      <c r="C174" s="224" t="s">
        <v>114</v>
      </c>
      <c r="D174" s="224" t="s">
        <v>364</v>
      </c>
      <c r="E174" s="224" t="s">
        <v>496</v>
      </c>
      <c r="F174" s="248" t="s">
        <v>53</v>
      </c>
      <c r="G174" s="172"/>
      <c r="H174" s="87"/>
      <c r="I174" s="87"/>
    </row>
    <row r="175" spans="1:9" s="107" customFormat="1" ht="15">
      <c r="A175" s="197" t="s">
        <v>497</v>
      </c>
      <c r="B175" s="223"/>
      <c r="C175" s="224" t="s">
        <v>114</v>
      </c>
      <c r="D175" s="224" t="s">
        <v>364</v>
      </c>
      <c r="E175" s="224" t="s">
        <v>121</v>
      </c>
      <c r="F175" s="248"/>
      <c r="G175" s="172">
        <f>G178+G177</f>
        <v>6653.5</v>
      </c>
      <c r="H175" s="87"/>
      <c r="I175" s="87"/>
    </row>
    <row r="176" spans="1:9" s="107" customFormat="1" ht="28.5">
      <c r="A176" s="389" t="s">
        <v>724</v>
      </c>
      <c r="B176" s="279"/>
      <c r="C176" s="280" t="s">
        <v>114</v>
      </c>
      <c r="D176" s="280" t="s">
        <v>364</v>
      </c>
      <c r="E176" s="280" t="s">
        <v>725</v>
      </c>
      <c r="F176" s="281"/>
      <c r="G176" s="390">
        <f>SUM(G177)</f>
        <v>1000</v>
      </c>
      <c r="H176" s="87"/>
      <c r="I176" s="87"/>
    </row>
    <row r="177" spans="1:9" s="107" customFormat="1" ht="15">
      <c r="A177" s="391" t="s">
        <v>450</v>
      </c>
      <c r="B177" s="279"/>
      <c r="C177" s="280" t="s">
        <v>114</v>
      </c>
      <c r="D177" s="280" t="s">
        <v>364</v>
      </c>
      <c r="E177" s="280" t="s">
        <v>725</v>
      </c>
      <c r="F177" s="290" t="s">
        <v>160</v>
      </c>
      <c r="G177" s="390">
        <v>1000</v>
      </c>
      <c r="H177" s="87"/>
      <c r="I177" s="87"/>
    </row>
    <row r="178" spans="1:9" s="108" customFormat="1" ht="28.5">
      <c r="A178" s="197" t="s">
        <v>751</v>
      </c>
      <c r="B178" s="223"/>
      <c r="C178" s="224" t="s">
        <v>114</v>
      </c>
      <c r="D178" s="224" t="s">
        <v>364</v>
      </c>
      <c r="E178" s="224" t="s">
        <v>49</v>
      </c>
      <c r="F178" s="248"/>
      <c r="G178" s="172">
        <f>SUM(G179)</f>
        <v>5653.5</v>
      </c>
      <c r="H178" s="87"/>
      <c r="I178" s="87" t="e">
        <f>SUM(H178/#REF!*100)</f>
        <v>#REF!</v>
      </c>
    </row>
    <row r="179" spans="1:9" s="106" customFormat="1" ht="28.5">
      <c r="A179" s="119" t="s">
        <v>470</v>
      </c>
      <c r="B179" s="223"/>
      <c r="C179" s="224" t="s">
        <v>114</v>
      </c>
      <c r="D179" s="224" t="s">
        <v>364</v>
      </c>
      <c r="E179" s="224" t="s">
        <v>49</v>
      </c>
      <c r="F179" s="248" t="s">
        <v>461</v>
      </c>
      <c r="G179" s="172">
        <v>5653.5</v>
      </c>
      <c r="H179" s="87"/>
      <c r="I179" s="87" t="e">
        <f>SUM(H179/#REF!*100)</f>
        <v>#REF!</v>
      </c>
    </row>
    <row r="180" spans="1:9" s="96" customFormat="1" ht="15">
      <c r="A180" s="149" t="s">
        <v>380</v>
      </c>
      <c r="B180" s="196"/>
      <c r="C180" s="192" t="s">
        <v>123</v>
      </c>
      <c r="D180" s="192"/>
      <c r="E180" s="192"/>
      <c r="F180" s="243"/>
      <c r="G180" s="174">
        <f>SUM(G234+G245+G260+G182)</f>
        <v>226796.69999999998</v>
      </c>
      <c r="H180" s="22">
        <f>SUM(H181)</f>
        <v>0</v>
      </c>
      <c r="I180" s="22">
        <f aca="true" t="shared" si="3" ref="I180:I214">SUM(H180/G186*100)</f>
        <v>0</v>
      </c>
    </row>
    <row r="181" spans="1:9" s="96" customFormat="1" ht="18.75" customHeight="1">
      <c r="A181" s="187" t="s">
        <v>381</v>
      </c>
      <c r="B181" s="188"/>
      <c r="C181" s="189" t="s">
        <v>123</v>
      </c>
      <c r="D181" s="189" t="s">
        <v>414</v>
      </c>
      <c r="E181" s="189"/>
      <c r="F181" s="241"/>
      <c r="G181" s="161">
        <f>SUM(G182)</f>
        <v>102899.09999999999</v>
      </c>
      <c r="H181" s="22"/>
      <c r="I181" s="22">
        <f t="shared" si="3"/>
        <v>0</v>
      </c>
    </row>
    <row r="182" spans="1:9" s="96" customFormat="1" ht="42.75">
      <c r="A182" s="149" t="s">
        <v>678</v>
      </c>
      <c r="B182" s="188"/>
      <c r="C182" s="189" t="s">
        <v>123</v>
      </c>
      <c r="D182" s="189" t="s">
        <v>414</v>
      </c>
      <c r="E182" s="189" t="s">
        <v>382</v>
      </c>
      <c r="F182" s="241"/>
      <c r="G182" s="161">
        <f>SUM(G183+G190)</f>
        <v>102899.09999999999</v>
      </c>
      <c r="H182" s="22">
        <f>SUM(H183)</f>
        <v>4761.6</v>
      </c>
      <c r="I182" s="22" t="e">
        <f t="shared" si="3"/>
        <v>#DIV/0!</v>
      </c>
    </row>
    <row r="183" spans="1:9" s="96" customFormat="1" ht="71.25">
      <c r="A183" s="149" t="s">
        <v>679</v>
      </c>
      <c r="B183" s="188"/>
      <c r="C183" s="189" t="s">
        <v>123</v>
      </c>
      <c r="D183" s="189" t="s">
        <v>414</v>
      </c>
      <c r="E183" s="189" t="s">
        <v>680</v>
      </c>
      <c r="F183" s="241"/>
      <c r="G183" s="161">
        <f>SUM(G184+G186+G188)</f>
        <v>102899.09999999999</v>
      </c>
      <c r="H183" s="22">
        <v>4761.6</v>
      </c>
      <c r="I183" s="22" t="e">
        <f t="shared" si="3"/>
        <v>#DIV/0!</v>
      </c>
    </row>
    <row r="184" spans="1:9" s="96" customFormat="1" ht="28.5">
      <c r="A184" s="149" t="s">
        <v>681</v>
      </c>
      <c r="B184" s="188"/>
      <c r="C184" s="189" t="s">
        <v>123</v>
      </c>
      <c r="D184" s="189" t="s">
        <v>414</v>
      </c>
      <c r="E184" s="189" t="s">
        <v>682</v>
      </c>
      <c r="F184" s="241"/>
      <c r="G184" s="161">
        <f>SUM(G185)</f>
        <v>34985.7</v>
      </c>
      <c r="H184" s="22">
        <f>SUM(H185)+H191+H194</f>
        <v>5205.8</v>
      </c>
      <c r="I184" s="22" t="e">
        <f t="shared" si="3"/>
        <v>#DIV/0!</v>
      </c>
    </row>
    <row r="185" spans="1:9" s="96" customFormat="1" ht="28.5">
      <c r="A185" s="149" t="s">
        <v>698</v>
      </c>
      <c r="B185" s="188"/>
      <c r="C185" s="189" t="s">
        <v>123</v>
      </c>
      <c r="D185" s="189" t="s">
        <v>414</v>
      </c>
      <c r="E185" s="189" t="s">
        <v>682</v>
      </c>
      <c r="F185" s="241" t="s">
        <v>507</v>
      </c>
      <c r="G185" s="161">
        <v>34985.7</v>
      </c>
      <c r="H185" s="22">
        <f>SUM(H186+H187)</f>
        <v>1562</v>
      </c>
      <c r="I185" s="22" t="e">
        <f t="shared" si="3"/>
        <v>#DIV/0!</v>
      </c>
    </row>
    <row r="186" spans="1:9" s="96" customFormat="1" ht="57">
      <c r="A186" s="149" t="s">
        <v>683</v>
      </c>
      <c r="B186" s="188"/>
      <c r="C186" s="189" t="s">
        <v>123</v>
      </c>
      <c r="D186" s="189" t="s">
        <v>414</v>
      </c>
      <c r="E186" s="189" t="s">
        <v>684</v>
      </c>
      <c r="F186" s="241"/>
      <c r="G186" s="161">
        <f>SUM(G187)</f>
        <v>67913.4</v>
      </c>
      <c r="H186" s="22">
        <v>233.9</v>
      </c>
      <c r="I186" s="22" t="e">
        <f t="shared" si="3"/>
        <v>#DIV/0!</v>
      </c>
    </row>
    <row r="187" spans="1:9" s="96" customFormat="1" ht="28.5">
      <c r="A187" s="149" t="s">
        <v>698</v>
      </c>
      <c r="B187" s="188"/>
      <c r="C187" s="189" t="s">
        <v>123</v>
      </c>
      <c r="D187" s="189" t="s">
        <v>414</v>
      </c>
      <c r="E187" s="189" t="s">
        <v>685</v>
      </c>
      <c r="F187" s="241" t="s">
        <v>507</v>
      </c>
      <c r="G187" s="161">
        <v>67913.4</v>
      </c>
      <c r="H187" s="22">
        <v>1328.1</v>
      </c>
      <c r="I187" s="22" t="e">
        <f t="shared" si="3"/>
        <v>#DIV/0!</v>
      </c>
    </row>
    <row r="188" spans="1:9" s="96" customFormat="1" ht="71.25" hidden="1">
      <c r="A188" s="149" t="s">
        <v>228</v>
      </c>
      <c r="B188" s="188"/>
      <c r="C188" s="189" t="s">
        <v>123</v>
      </c>
      <c r="D188" s="189" t="s">
        <v>414</v>
      </c>
      <c r="E188" s="189" t="s">
        <v>131</v>
      </c>
      <c r="F188" s="241"/>
      <c r="G188" s="161">
        <f>SUM(G189)</f>
        <v>0</v>
      </c>
      <c r="H188" s="22">
        <f>SUM(H189)</f>
        <v>0</v>
      </c>
      <c r="I188" s="22" t="e">
        <f t="shared" si="3"/>
        <v>#DIV/0!</v>
      </c>
    </row>
    <row r="189" spans="1:9" s="96" customFormat="1" ht="15" hidden="1">
      <c r="A189" s="200" t="s">
        <v>126</v>
      </c>
      <c r="B189" s="188"/>
      <c r="C189" s="189" t="s">
        <v>123</v>
      </c>
      <c r="D189" s="189" t="s">
        <v>414</v>
      </c>
      <c r="E189" s="189" t="s">
        <v>131</v>
      </c>
      <c r="F189" s="241" t="s">
        <v>127</v>
      </c>
      <c r="G189" s="161"/>
      <c r="H189" s="22">
        <f>SUM(H190)</f>
        <v>0</v>
      </c>
      <c r="I189" s="22" t="e">
        <f t="shared" si="3"/>
        <v>#DIV/0!</v>
      </c>
    </row>
    <row r="190" spans="1:9" s="96" customFormat="1" ht="42.75" hidden="1">
      <c r="A190" s="149" t="s">
        <v>383</v>
      </c>
      <c r="B190" s="188"/>
      <c r="C190" s="189" t="s">
        <v>123</v>
      </c>
      <c r="D190" s="189" t="s">
        <v>414</v>
      </c>
      <c r="E190" s="189" t="s">
        <v>384</v>
      </c>
      <c r="F190" s="241"/>
      <c r="G190" s="161">
        <f>SUM(G191)+G197+G200</f>
        <v>0</v>
      </c>
      <c r="H190" s="22"/>
      <c r="I190" s="22" t="e">
        <f t="shared" si="3"/>
        <v>#DIV/0!</v>
      </c>
    </row>
    <row r="191" spans="1:9" s="96" customFormat="1" ht="28.5" hidden="1">
      <c r="A191" s="149" t="s">
        <v>385</v>
      </c>
      <c r="B191" s="188"/>
      <c r="C191" s="189" t="s">
        <v>123</v>
      </c>
      <c r="D191" s="189" t="s">
        <v>414</v>
      </c>
      <c r="E191" s="189" t="s">
        <v>386</v>
      </c>
      <c r="F191" s="241"/>
      <c r="G191" s="161">
        <f>SUM(G192+G193)</f>
        <v>0</v>
      </c>
      <c r="H191" s="22">
        <f>SUM(H192+H193)</f>
        <v>1821.9</v>
      </c>
      <c r="I191" s="22" t="e">
        <f t="shared" si="3"/>
        <v>#DIV/0!</v>
      </c>
    </row>
    <row r="192" spans="1:9" s="96" customFormat="1" ht="15" hidden="1">
      <c r="A192" s="149" t="s">
        <v>7</v>
      </c>
      <c r="B192" s="188"/>
      <c r="C192" s="189" t="s">
        <v>123</v>
      </c>
      <c r="D192" s="189" t="s">
        <v>414</v>
      </c>
      <c r="E192" s="189" t="s">
        <v>386</v>
      </c>
      <c r="F192" s="241" t="s">
        <v>8</v>
      </c>
      <c r="G192" s="161"/>
      <c r="H192" s="22"/>
      <c r="I192" s="22" t="e">
        <f t="shared" si="3"/>
        <v>#DIV/0!</v>
      </c>
    </row>
    <row r="193" spans="1:9" s="96" customFormat="1" ht="28.5" hidden="1">
      <c r="A193" s="149" t="s">
        <v>387</v>
      </c>
      <c r="B193" s="188"/>
      <c r="C193" s="189" t="s">
        <v>123</v>
      </c>
      <c r="D193" s="189" t="s">
        <v>414</v>
      </c>
      <c r="E193" s="189" t="s">
        <v>386</v>
      </c>
      <c r="F193" s="241" t="s">
        <v>388</v>
      </c>
      <c r="G193" s="161"/>
      <c r="H193" s="22">
        <v>1821.9</v>
      </c>
      <c r="I193" s="22" t="e">
        <f t="shared" si="3"/>
        <v>#DIV/0!</v>
      </c>
    </row>
    <row r="194" spans="1:9" s="96" customFormat="1" ht="28.5" hidden="1">
      <c r="A194" s="149" t="s">
        <v>223</v>
      </c>
      <c r="B194" s="188"/>
      <c r="C194" s="189" t="s">
        <v>123</v>
      </c>
      <c r="D194" s="189" t="s">
        <v>414</v>
      </c>
      <c r="E194" s="189" t="s">
        <v>378</v>
      </c>
      <c r="F194" s="241"/>
      <c r="G194" s="161">
        <f>SUM(G195)</f>
        <v>0</v>
      </c>
      <c r="H194" s="22">
        <f>SUM(H195)</f>
        <v>1821.9</v>
      </c>
      <c r="I194" s="22" t="e">
        <f t="shared" si="3"/>
        <v>#DIV/0!</v>
      </c>
    </row>
    <row r="195" spans="1:9" s="96" customFormat="1" ht="28.5" hidden="1">
      <c r="A195" s="149" t="s">
        <v>124</v>
      </c>
      <c r="B195" s="188"/>
      <c r="C195" s="189" t="s">
        <v>123</v>
      </c>
      <c r="D195" s="189" t="s">
        <v>414</v>
      </c>
      <c r="E195" s="189" t="s">
        <v>125</v>
      </c>
      <c r="F195" s="241"/>
      <c r="G195" s="161">
        <f>SUM(G196)</f>
        <v>0</v>
      </c>
      <c r="H195" s="22">
        <v>1821.9</v>
      </c>
      <c r="I195" s="22" t="e">
        <f t="shared" si="3"/>
        <v>#DIV/0!</v>
      </c>
    </row>
    <row r="196" spans="1:9" s="96" customFormat="1" ht="15" hidden="1">
      <c r="A196" s="149" t="s">
        <v>126</v>
      </c>
      <c r="B196" s="188"/>
      <c r="C196" s="189" t="s">
        <v>123</v>
      </c>
      <c r="D196" s="189" t="s">
        <v>414</v>
      </c>
      <c r="E196" s="189" t="s">
        <v>125</v>
      </c>
      <c r="F196" s="241" t="s">
        <v>127</v>
      </c>
      <c r="G196" s="161"/>
      <c r="H196" s="22">
        <f>SUM(H197+H199)</f>
        <v>0</v>
      </c>
      <c r="I196" s="22" t="e">
        <f t="shared" si="3"/>
        <v>#DIV/0!</v>
      </c>
    </row>
    <row r="197" spans="1:9" s="96" customFormat="1" ht="28.5" hidden="1">
      <c r="A197" s="149" t="s">
        <v>389</v>
      </c>
      <c r="B197" s="188"/>
      <c r="C197" s="189" t="s">
        <v>123</v>
      </c>
      <c r="D197" s="189" t="s">
        <v>414</v>
      </c>
      <c r="E197" s="189" t="s">
        <v>390</v>
      </c>
      <c r="F197" s="241"/>
      <c r="G197" s="161">
        <f>SUM(G198+G199)</f>
        <v>0</v>
      </c>
      <c r="H197" s="22">
        <f>SUM(H198)</f>
        <v>0</v>
      </c>
      <c r="I197" s="22" t="e">
        <f t="shared" si="3"/>
        <v>#DIV/0!</v>
      </c>
    </row>
    <row r="198" spans="1:9" s="96" customFormat="1" ht="42.75" hidden="1">
      <c r="A198" s="187" t="s">
        <v>15</v>
      </c>
      <c r="B198" s="188"/>
      <c r="C198" s="189" t="s">
        <v>123</v>
      </c>
      <c r="D198" s="189" t="s">
        <v>414</v>
      </c>
      <c r="E198" s="189" t="s">
        <v>390</v>
      </c>
      <c r="F198" s="241" t="s">
        <v>53</v>
      </c>
      <c r="G198" s="161"/>
      <c r="H198" s="22"/>
      <c r="I198" s="22" t="e">
        <f t="shared" si="3"/>
        <v>#DIV/0!</v>
      </c>
    </row>
    <row r="199" spans="1:9" s="96" customFormat="1" ht="15" hidden="1">
      <c r="A199" s="200" t="s">
        <v>126</v>
      </c>
      <c r="B199" s="188"/>
      <c r="C199" s="189" t="s">
        <v>123</v>
      </c>
      <c r="D199" s="189" t="s">
        <v>414</v>
      </c>
      <c r="E199" s="189" t="s">
        <v>390</v>
      </c>
      <c r="F199" s="241" t="s">
        <v>127</v>
      </c>
      <c r="G199" s="161"/>
      <c r="H199" s="22">
        <f>SUM(H200)</f>
        <v>0</v>
      </c>
      <c r="I199" s="22" t="e">
        <f t="shared" si="3"/>
        <v>#DIV/0!</v>
      </c>
    </row>
    <row r="200" spans="1:9" s="96" customFormat="1" ht="42.75" hidden="1">
      <c r="A200" s="149" t="s">
        <v>393</v>
      </c>
      <c r="B200" s="188"/>
      <c r="C200" s="189" t="s">
        <v>123</v>
      </c>
      <c r="D200" s="189" t="s">
        <v>414</v>
      </c>
      <c r="E200" s="189" t="s">
        <v>394</v>
      </c>
      <c r="F200" s="241"/>
      <c r="G200" s="161">
        <f>SUM(G201)</f>
        <v>0</v>
      </c>
      <c r="H200" s="22"/>
      <c r="I200" s="22" t="e">
        <f t="shared" si="3"/>
        <v>#DIV/0!</v>
      </c>
    </row>
    <row r="201" spans="1:9" s="96" customFormat="1" ht="15" hidden="1">
      <c r="A201" s="200" t="s">
        <v>126</v>
      </c>
      <c r="B201" s="188"/>
      <c r="C201" s="189" t="s">
        <v>123</v>
      </c>
      <c r="D201" s="189" t="s">
        <v>414</v>
      </c>
      <c r="E201" s="189" t="s">
        <v>394</v>
      </c>
      <c r="F201" s="241" t="s">
        <v>127</v>
      </c>
      <c r="G201" s="161"/>
      <c r="H201" s="76">
        <f>SUM(H205)+H210+H202</f>
        <v>0</v>
      </c>
      <c r="I201" s="22" t="e">
        <f t="shared" si="3"/>
        <v>#DIV/0!</v>
      </c>
    </row>
    <row r="202" spans="1:9" s="96" customFormat="1" ht="15" hidden="1">
      <c r="A202" s="187" t="s">
        <v>395</v>
      </c>
      <c r="B202" s="188"/>
      <c r="C202" s="189" t="s">
        <v>123</v>
      </c>
      <c r="D202" s="189" t="s">
        <v>414</v>
      </c>
      <c r="E202" s="189" t="s">
        <v>396</v>
      </c>
      <c r="F202" s="241"/>
      <c r="G202" s="161">
        <f>SUM(G203+G205)</f>
        <v>0</v>
      </c>
      <c r="H202" s="76">
        <f>SUM(H203)</f>
        <v>0</v>
      </c>
      <c r="I202" s="22" t="e">
        <f t="shared" si="3"/>
        <v>#DIV/0!</v>
      </c>
    </row>
    <row r="203" spans="1:9" s="96" customFormat="1" ht="42.75" hidden="1">
      <c r="A203" s="152" t="s">
        <v>397</v>
      </c>
      <c r="B203" s="188"/>
      <c r="C203" s="189" t="s">
        <v>123</v>
      </c>
      <c r="D203" s="189" t="s">
        <v>414</v>
      </c>
      <c r="E203" s="189" t="s">
        <v>398</v>
      </c>
      <c r="F203" s="241"/>
      <c r="G203" s="161">
        <f>SUM(G204)</f>
        <v>0</v>
      </c>
      <c r="H203" s="76"/>
      <c r="I203" s="22" t="e">
        <f t="shared" si="3"/>
        <v>#DIV/0!</v>
      </c>
    </row>
    <row r="204" spans="1:9" s="96" customFormat="1" ht="15" hidden="1">
      <c r="A204" s="187" t="s">
        <v>7</v>
      </c>
      <c r="B204" s="188"/>
      <c r="C204" s="189" t="s">
        <v>123</v>
      </c>
      <c r="D204" s="189" t="s">
        <v>414</v>
      </c>
      <c r="E204" s="189" t="s">
        <v>398</v>
      </c>
      <c r="F204" s="241" t="s">
        <v>8</v>
      </c>
      <c r="G204" s="161"/>
      <c r="H204" s="76"/>
      <c r="I204" s="22" t="e">
        <f t="shared" si="3"/>
        <v>#DIV/0!</v>
      </c>
    </row>
    <row r="205" spans="1:9" s="96" customFormat="1" ht="28.5" hidden="1">
      <c r="A205" s="152" t="s">
        <v>399</v>
      </c>
      <c r="B205" s="196"/>
      <c r="C205" s="189" t="s">
        <v>123</v>
      </c>
      <c r="D205" s="189" t="s">
        <v>414</v>
      </c>
      <c r="E205" s="189" t="s">
        <v>400</v>
      </c>
      <c r="F205" s="242"/>
      <c r="G205" s="161">
        <f>SUM(G206)</f>
        <v>0</v>
      </c>
      <c r="H205" s="76">
        <f>SUM(H206+H208)</f>
        <v>0</v>
      </c>
      <c r="I205" s="22" t="e">
        <f t="shared" si="3"/>
        <v>#DIV/0!</v>
      </c>
    </row>
    <row r="206" spans="1:9" s="96" customFormat="1" ht="15" hidden="1">
      <c r="A206" s="187" t="s">
        <v>95</v>
      </c>
      <c r="B206" s="201"/>
      <c r="C206" s="189" t="s">
        <v>123</v>
      </c>
      <c r="D206" s="189" t="s">
        <v>414</v>
      </c>
      <c r="E206" s="189" t="s">
        <v>400</v>
      </c>
      <c r="F206" s="241" t="s">
        <v>96</v>
      </c>
      <c r="G206" s="161"/>
      <c r="H206" s="76">
        <f>SUM(H207)</f>
        <v>0</v>
      </c>
      <c r="I206" s="22" t="e">
        <f t="shared" si="3"/>
        <v>#DIV/0!</v>
      </c>
    </row>
    <row r="207" spans="1:9" s="96" customFormat="1" ht="15" hidden="1">
      <c r="A207" s="152" t="s">
        <v>3</v>
      </c>
      <c r="B207" s="188"/>
      <c r="C207" s="189" t="s">
        <v>123</v>
      </c>
      <c r="D207" s="189" t="s">
        <v>414</v>
      </c>
      <c r="E207" s="189" t="s">
        <v>4</v>
      </c>
      <c r="F207" s="241"/>
      <c r="G207" s="161">
        <f>SUM(G211)+G216+G208</f>
        <v>0</v>
      </c>
      <c r="H207" s="22"/>
      <c r="I207" s="22" t="e">
        <f t="shared" si="3"/>
        <v>#DIV/0!</v>
      </c>
    </row>
    <row r="208" spans="1:9" s="96" customFormat="1" ht="28.5" hidden="1">
      <c r="A208" s="152" t="s">
        <v>401</v>
      </c>
      <c r="B208" s="188"/>
      <c r="C208" s="189" t="s">
        <v>123</v>
      </c>
      <c r="D208" s="189" t="s">
        <v>414</v>
      </c>
      <c r="E208" s="189" t="s">
        <v>402</v>
      </c>
      <c r="F208" s="241"/>
      <c r="G208" s="161">
        <f>SUM(G209)</f>
        <v>0</v>
      </c>
      <c r="H208" s="22">
        <f>SUM(H209)</f>
        <v>0</v>
      </c>
      <c r="I208" s="22" t="e">
        <f t="shared" si="3"/>
        <v>#DIV/0!</v>
      </c>
    </row>
    <row r="209" spans="1:9" s="96" customFormat="1" ht="15" hidden="1">
      <c r="A209" s="152" t="s">
        <v>126</v>
      </c>
      <c r="B209" s="188"/>
      <c r="C209" s="189" t="s">
        <v>123</v>
      </c>
      <c r="D209" s="189" t="s">
        <v>414</v>
      </c>
      <c r="E209" s="189" t="s">
        <v>402</v>
      </c>
      <c r="F209" s="241" t="s">
        <v>127</v>
      </c>
      <c r="G209" s="161"/>
      <c r="H209" s="22"/>
      <c r="I209" s="22" t="e">
        <f t="shared" si="3"/>
        <v>#DIV/0!</v>
      </c>
    </row>
    <row r="210" spans="1:9" s="96" customFormat="1" ht="15" hidden="1">
      <c r="A210" s="152"/>
      <c r="B210" s="188"/>
      <c r="C210" s="189"/>
      <c r="D210" s="189"/>
      <c r="E210" s="189"/>
      <c r="F210" s="241"/>
      <c r="G210" s="161"/>
      <c r="H210" s="22"/>
      <c r="I210" s="22" t="e">
        <f t="shared" si="3"/>
        <v>#DIV/0!</v>
      </c>
    </row>
    <row r="211" spans="1:9" s="96" customFormat="1" ht="28.5" hidden="1">
      <c r="A211" s="187" t="s">
        <v>403</v>
      </c>
      <c r="B211" s="188"/>
      <c r="C211" s="189" t="s">
        <v>123</v>
      </c>
      <c r="D211" s="189" t="s">
        <v>414</v>
      </c>
      <c r="E211" s="189" t="s">
        <v>404</v>
      </c>
      <c r="F211" s="241"/>
      <c r="G211" s="161">
        <f>SUM(G212+G214)</f>
        <v>0</v>
      </c>
      <c r="H211" s="22">
        <f>SUM(H212)</f>
        <v>0</v>
      </c>
      <c r="I211" s="22" t="e">
        <f t="shared" si="3"/>
        <v>#DIV/0!</v>
      </c>
    </row>
    <row r="212" spans="1:9" s="96" customFormat="1" ht="28.5" hidden="1">
      <c r="A212" s="152" t="s">
        <v>405</v>
      </c>
      <c r="B212" s="188"/>
      <c r="C212" s="189" t="s">
        <v>123</v>
      </c>
      <c r="D212" s="189" t="s">
        <v>414</v>
      </c>
      <c r="E212" s="189" t="s">
        <v>406</v>
      </c>
      <c r="F212" s="241"/>
      <c r="G212" s="161">
        <f>SUM(G213)</f>
        <v>0</v>
      </c>
      <c r="H212" s="22"/>
      <c r="I212" s="22" t="e">
        <f t="shared" si="3"/>
        <v>#DIV/0!</v>
      </c>
    </row>
    <row r="213" spans="1:9" s="96" customFormat="1" ht="15" hidden="1">
      <c r="A213" s="149" t="s">
        <v>126</v>
      </c>
      <c r="B213" s="188"/>
      <c r="C213" s="189" t="s">
        <v>123</v>
      </c>
      <c r="D213" s="189" t="s">
        <v>414</v>
      </c>
      <c r="E213" s="189" t="s">
        <v>406</v>
      </c>
      <c r="F213" s="241" t="s">
        <v>127</v>
      </c>
      <c r="G213" s="161"/>
      <c r="H213" s="22">
        <f>SUM(H214)</f>
        <v>0</v>
      </c>
      <c r="I213" s="22" t="e">
        <f t="shared" si="3"/>
        <v>#DIV/0!</v>
      </c>
    </row>
    <row r="214" spans="1:9" s="96" customFormat="1" ht="15" hidden="1">
      <c r="A214" s="149" t="s">
        <v>407</v>
      </c>
      <c r="B214" s="188"/>
      <c r="C214" s="189" t="s">
        <v>123</v>
      </c>
      <c r="D214" s="189" t="s">
        <v>414</v>
      </c>
      <c r="E214" s="189" t="s">
        <v>408</v>
      </c>
      <c r="F214" s="241"/>
      <c r="G214" s="161">
        <f>SUM(G215)</f>
        <v>0</v>
      </c>
      <c r="H214" s="22"/>
      <c r="I214" s="22" t="e">
        <f t="shared" si="3"/>
        <v>#DIV/0!</v>
      </c>
    </row>
    <row r="215" spans="1:9" s="96" customFormat="1" ht="15" hidden="1">
      <c r="A215" s="187" t="s">
        <v>95</v>
      </c>
      <c r="B215" s="201"/>
      <c r="C215" s="189" t="s">
        <v>123</v>
      </c>
      <c r="D215" s="189" t="s">
        <v>414</v>
      </c>
      <c r="E215" s="189" t="s">
        <v>408</v>
      </c>
      <c r="F215" s="241" t="s">
        <v>96</v>
      </c>
      <c r="G215" s="161"/>
      <c r="H215" s="22"/>
      <c r="I215" s="22"/>
    </row>
    <row r="216" spans="1:9" s="96" customFormat="1" ht="28.5" hidden="1">
      <c r="A216" s="187" t="s">
        <v>409</v>
      </c>
      <c r="B216" s="201"/>
      <c r="C216" s="189" t="s">
        <v>123</v>
      </c>
      <c r="D216" s="189" t="s">
        <v>414</v>
      </c>
      <c r="E216" s="189" t="s">
        <v>410</v>
      </c>
      <c r="F216" s="241"/>
      <c r="G216" s="161"/>
      <c r="H216" s="22"/>
      <c r="I216" s="22"/>
    </row>
    <row r="217" spans="1:9" s="96" customFormat="1" ht="28.5" hidden="1">
      <c r="A217" s="187" t="s">
        <v>39</v>
      </c>
      <c r="B217" s="201"/>
      <c r="C217" s="189" t="s">
        <v>123</v>
      </c>
      <c r="D217" s="189" t="s">
        <v>414</v>
      </c>
      <c r="E217" s="189" t="s">
        <v>40</v>
      </c>
      <c r="F217" s="241"/>
      <c r="G217" s="161">
        <f>SUM(G218)</f>
        <v>0</v>
      </c>
      <c r="H217" s="22"/>
      <c r="I217" s="22"/>
    </row>
    <row r="218" spans="1:9" s="96" customFormat="1" ht="15" hidden="1">
      <c r="A218" s="187" t="s">
        <v>7</v>
      </c>
      <c r="B218" s="201"/>
      <c r="C218" s="189" t="s">
        <v>123</v>
      </c>
      <c r="D218" s="189" t="s">
        <v>414</v>
      </c>
      <c r="E218" s="189" t="s">
        <v>40</v>
      </c>
      <c r="F218" s="241" t="s">
        <v>8</v>
      </c>
      <c r="G218" s="161"/>
      <c r="H218" s="22">
        <f>SUM(H219+H222)+H226</f>
        <v>278.1</v>
      </c>
      <c r="I218" s="22" t="e">
        <f aca="true" t="shared" si="4" ref="I218:I223">SUM(H218/G224*100)</f>
        <v>#DIV/0!</v>
      </c>
    </row>
    <row r="219" spans="1:9" s="96" customFormat="1" ht="28.5" hidden="1">
      <c r="A219" s="187" t="s">
        <v>41</v>
      </c>
      <c r="B219" s="201"/>
      <c r="C219" s="189" t="s">
        <v>123</v>
      </c>
      <c r="D219" s="189" t="s">
        <v>414</v>
      </c>
      <c r="E219" s="189" t="s">
        <v>42</v>
      </c>
      <c r="F219" s="241"/>
      <c r="G219" s="161">
        <f>SUM(G220)</f>
        <v>0</v>
      </c>
      <c r="H219" s="22">
        <f>SUM(H220:H221)</f>
        <v>0</v>
      </c>
      <c r="I219" s="22" t="e">
        <f t="shared" si="4"/>
        <v>#DIV/0!</v>
      </c>
    </row>
    <row r="220" spans="1:9" s="96" customFormat="1" ht="15" hidden="1">
      <c r="A220" s="187" t="s">
        <v>7</v>
      </c>
      <c r="B220" s="201"/>
      <c r="C220" s="189" t="s">
        <v>123</v>
      </c>
      <c r="D220" s="189" t="s">
        <v>414</v>
      </c>
      <c r="E220" s="189" t="s">
        <v>42</v>
      </c>
      <c r="F220" s="241" t="s">
        <v>8</v>
      </c>
      <c r="G220" s="161"/>
      <c r="H220" s="22"/>
      <c r="I220" s="22" t="e">
        <f t="shared" si="4"/>
        <v>#DIV/0!</v>
      </c>
    </row>
    <row r="221" spans="1:9" s="104" customFormat="1" ht="15" hidden="1">
      <c r="A221" s="187" t="s">
        <v>395</v>
      </c>
      <c r="B221" s="201"/>
      <c r="C221" s="189" t="s">
        <v>123</v>
      </c>
      <c r="D221" s="189" t="s">
        <v>414</v>
      </c>
      <c r="E221" s="189" t="s">
        <v>396</v>
      </c>
      <c r="F221" s="241"/>
      <c r="G221" s="161">
        <f>SUM(G222)</f>
        <v>0</v>
      </c>
      <c r="H221" s="22"/>
      <c r="I221" s="22" t="e">
        <f t="shared" si="4"/>
        <v>#DIV/0!</v>
      </c>
    </row>
    <row r="222" spans="1:9" s="104" customFormat="1" ht="28.5" hidden="1">
      <c r="A222" s="187" t="s">
        <v>261</v>
      </c>
      <c r="B222" s="201"/>
      <c r="C222" s="189" t="s">
        <v>123</v>
      </c>
      <c r="D222" s="189" t="s">
        <v>414</v>
      </c>
      <c r="E222" s="189" t="s">
        <v>400</v>
      </c>
      <c r="F222" s="241"/>
      <c r="G222" s="161">
        <f>SUM(G223)</f>
        <v>0</v>
      </c>
      <c r="H222" s="22">
        <f>SUM(H223)</f>
        <v>167.7</v>
      </c>
      <c r="I222" s="22" t="e">
        <f t="shared" si="4"/>
        <v>#DIV/0!</v>
      </c>
    </row>
    <row r="223" spans="1:9" ht="15" hidden="1">
      <c r="A223" s="187" t="s">
        <v>95</v>
      </c>
      <c r="B223" s="201"/>
      <c r="C223" s="189" t="s">
        <v>123</v>
      </c>
      <c r="D223" s="189" t="s">
        <v>414</v>
      </c>
      <c r="E223" s="189" t="s">
        <v>400</v>
      </c>
      <c r="F223" s="241" t="s">
        <v>96</v>
      </c>
      <c r="G223" s="161"/>
      <c r="H223" s="22">
        <f>SUM(H225)</f>
        <v>167.7</v>
      </c>
      <c r="I223" s="22" t="e">
        <f t="shared" si="4"/>
        <v>#DIV/0!</v>
      </c>
    </row>
    <row r="224" spans="1:9" ht="15" hidden="1">
      <c r="A224" s="200" t="s">
        <v>120</v>
      </c>
      <c r="B224" s="188"/>
      <c r="C224" s="189" t="s">
        <v>123</v>
      </c>
      <c r="D224" s="189" t="s">
        <v>414</v>
      </c>
      <c r="E224" s="189" t="s">
        <v>121</v>
      </c>
      <c r="F224" s="241"/>
      <c r="G224" s="161">
        <f>SUM(G225+G228)+G232</f>
        <v>0</v>
      </c>
      <c r="H224" s="22"/>
      <c r="I224" s="22"/>
    </row>
    <row r="225" spans="1:9" s="96" customFormat="1" ht="42.75" hidden="1">
      <c r="A225" s="200" t="s">
        <v>443</v>
      </c>
      <c r="B225" s="188"/>
      <c r="C225" s="189" t="s">
        <v>123</v>
      </c>
      <c r="D225" s="189" t="s">
        <v>414</v>
      </c>
      <c r="E225" s="189" t="s">
        <v>270</v>
      </c>
      <c r="F225" s="241"/>
      <c r="G225" s="169">
        <f>SUM(G226)</f>
        <v>0</v>
      </c>
      <c r="H225" s="22">
        <v>167.7</v>
      </c>
      <c r="I225" s="22" t="e">
        <f>SUM(H225/G231*100)</f>
        <v>#DIV/0!</v>
      </c>
    </row>
    <row r="226" spans="1:9" s="96" customFormat="1" ht="15" hidden="1">
      <c r="A226" s="149" t="s">
        <v>7</v>
      </c>
      <c r="B226" s="188"/>
      <c r="C226" s="189" t="s">
        <v>123</v>
      </c>
      <c r="D226" s="189" t="s">
        <v>414</v>
      </c>
      <c r="E226" s="189" t="s">
        <v>270</v>
      </c>
      <c r="F226" s="241" t="s">
        <v>8</v>
      </c>
      <c r="G226" s="169"/>
      <c r="H226" s="22">
        <f>SUM(H227)</f>
        <v>110.4</v>
      </c>
      <c r="I226" s="22" t="e">
        <f>SUM(H226/G232*100)</f>
        <v>#DIV/0!</v>
      </c>
    </row>
    <row r="227" spans="1:9" s="96" customFormat="1" ht="15" hidden="1">
      <c r="A227" s="200" t="s">
        <v>43</v>
      </c>
      <c r="B227" s="188"/>
      <c r="C227" s="189" t="s">
        <v>123</v>
      </c>
      <c r="D227" s="189" t="s">
        <v>414</v>
      </c>
      <c r="E227" s="189" t="s">
        <v>44</v>
      </c>
      <c r="F227" s="241" t="s">
        <v>96</v>
      </c>
      <c r="G227" s="161"/>
      <c r="H227" s="22">
        <v>110.4</v>
      </c>
      <c r="I227" s="22" t="e">
        <f>SUM(H227/G233*100)</f>
        <v>#DIV/0!</v>
      </c>
    </row>
    <row r="228" spans="1:9" ht="15" hidden="1">
      <c r="A228" s="200" t="s">
        <v>126</v>
      </c>
      <c r="B228" s="188"/>
      <c r="C228" s="189" t="s">
        <v>123</v>
      </c>
      <c r="D228" s="189" t="s">
        <v>414</v>
      </c>
      <c r="E228" s="189" t="s">
        <v>121</v>
      </c>
      <c r="F228" s="241" t="s">
        <v>127</v>
      </c>
      <c r="G228" s="161">
        <f>SUM(G229)</f>
        <v>0</v>
      </c>
      <c r="H228" s="22" t="e">
        <f>SUM(H241+#REF!)+H229+#REF!+H232</f>
        <v>#REF!</v>
      </c>
      <c r="I228" s="22" t="e">
        <f>SUM(H228/G234*100)</f>
        <v>#REF!</v>
      </c>
    </row>
    <row r="229" spans="1:9" ht="28.5" hidden="1">
      <c r="A229" s="149" t="s">
        <v>45</v>
      </c>
      <c r="B229" s="188"/>
      <c r="C229" s="189" t="s">
        <v>123</v>
      </c>
      <c r="D229" s="189" t="s">
        <v>414</v>
      </c>
      <c r="E229" s="189" t="s">
        <v>46</v>
      </c>
      <c r="F229" s="241" t="s">
        <v>127</v>
      </c>
      <c r="G229" s="161">
        <f>SUM(G231)</f>
        <v>0</v>
      </c>
      <c r="H229" s="22">
        <f>SUM(H230)</f>
        <v>0</v>
      </c>
      <c r="I229" s="22">
        <f>SUM(H229/G241*100)</f>
        <v>0</v>
      </c>
    </row>
    <row r="230" spans="1:9" ht="28.5" hidden="1">
      <c r="A230" s="149" t="s">
        <v>61</v>
      </c>
      <c r="B230" s="188"/>
      <c r="C230" s="189"/>
      <c r="D230" s="189"/>
      <c r="E230" s="189"/>
      <c r="F230" s="241"/>
      <c r="G230" s="161"/>
      <c r="H230" s="22">
        <f>SUM(H231)</f>
        <v>0</v>
      </c>
      <c r="I230" s="22">
        <f>SUM(H230/G242*100)</f>
        <v>0</v>
      </c>
    </row>
    <row r="231" spans="1:9" ht="28.5" hidden="1">
      <c r="A231" s="152" t="s">
        <v>405</v>
      </c>
      <c r="B231" s="188"/>
      <c r="C231" s="189" t="s">
        <v>123</v>
      </c>
      <c r="D231" s="189" t="s">
        <v>414</v>
      </c>
      <c r="E231" s="189" t="s">
        <v>47</v>
      </c>
      <c r="F231" s="241" t="s">
        <v>127</v>
      </c>
      <c r="G231" s="161"/>
      <c r="H231" s="22"/>
      <c r="I231" s="22">
        <f>SUM(H231/G243*100)</f>
        <v>0</v>
      </c>
    </row>
    <row r="232" spans="1:9" ht="28.5" hidden="1">
      <c r="A232" s="187" t="s">
        <v>48</v>
      </c>
      <c r="B232" s="188"/>
      <c r="C232" s="189" t="s">
        <v>123</v>
      </c>
      <c r="D232" s="189" t="s">
        <v>414</v>
      </c>
      <c r="E232" s="189" t="s">
        <v>49</v>
      </c>
      <c r="F232" s="241"/>
      <c r="G232" s="161">
        <f>SUM(G233)</f>
        <v>0</v>
      </c>
      <c r="H232" s="22">
        <f>SUM(H233)</f>
        <v>9483.6</v>
      </c>
      <c r="I232" s="22">
        <f>SUM(H232/G244*100)</f>
        <v>9483.6</v>
      </c>
    </row>
    <row r="233" spans="1:9" ht="15" hidden="1">
      <c r="A233" s="200" t="s">
        <v>126</v>
      </c>
      <c r="B233" s="188"/>
      <c r="C233" s="189" t="s">
        <v>123</v>
      </c>
      <c r="D233" s="189" t="s">
        <v>414</v>
      </c>
      <c r="E233" s="189" t="s">
        <v>49</v>
      </c>
      <c r="F233" s="241" t="s">
        <v>127</v>
      </c>
      <c r="G233" s="161"/>
      <c r="H233" s="22">
        <f>SUM(H234)</f>
        <v>9483.6</v>
      </c>
      <c r="I233" s="22" t="e">
        <f>SUM(H233/#REF!*100)</f>
        <v>#REF!</v>
      </c>
    </row>
    <row r="234" spans="1:9" ht="15">
      <c r="A234" s="149" t="s">
        <v>50</v>
      </c>
      <c r="B234" s="221"/>
      <c r="C234" s="220" t="s">
        <v>123</v>
      </c>
      <c r="D234" s="220" t="s">
        <v>416</v>
      </c>
      <c r="E234" s="220"/>
      <c r="F234" s="247"/>
      <c r="G234" s="171">
        <f>G241+G235+G238</f>
        <v>51705.2</v>
      </c>
      <c r="H234" s="22">
        <v>9483.6</v>
      </c>
      <c r="I234" s="22">
        <f>SUM(H234/G245*100)</f>
        <v>15.765246836926547</v>
      </c>
    </row>
    <row r="235" spans="1:9" ht="42.75">
      <c r="A235" s="149" t="s">
        <v>732</v>
      </c>
      <c r="B235" s="221"/>
      <c r="C235" s="220" t="s">
        <v>123</v>
      </c>
      <c r="D235" s="220" t="s">
        <v>416</v>
      </c>
      <c r="E235" s="220" t="s">
        <v>734</v>
      </c>
      <c r="F235" s="247"/>
      <c r="G235" s="171">
        <f>SUM(G236)</f>
        <v>10000</v>
      </c>
      <c r="H235" s="22"/>
      <c r="I235" s="22"/>
    </row>
    <row r="236" spans="1:9" ht="15">
      <c r="A236" s="149" t="s">
        <v>733</v>
      </c>
      <c r="B236" s="221"/>
      <c r="C236" s="220" t="s">
        <v>123</v>
      </c>
      <c r="D236" s="220" t="s">
        <v>416</v>
      </c>
      <c r="E236" s="220" t="s">
        <v>735</v>
      </c>
      <c r="F236" s="247"/>
      <c r="G236" s="171">
        <f>SUM(G237)</f>
        <v>10000</v>
      </c>
      <c r="H236" s="22"/>
      <c r="I236" s="22"/>
    </row>
    <row r="237" spans="1:9" ht="28.5">
      <c r="A237" s="187" t="s">
        <v>697</v>
      </c>
      <c r="B237" s="221"/>
      <c r="C237" s="220" t="s">
        <v>123</v>
      </c>
      <c r="D237" s="220" t="s">
        <v>416</v>
      </c>
      <c r="E237" s="220" t="s">
        <v>735</v>
      </c>
      <c r="F237" s="247" t="s">
        <v>112</v>
      </c>
      <c r="G237" s="171">
        <v>10000</v>
      </c>
      <c r="H237" s="22"/>
      <c r="I237" s="22"/>
    </row>
    <row r="238" spans="1:9" ht="28.5">
      <c r="A238" s="187" t="s">
        <v>736</v>
      </c>
      <c r="B238" s="221"/>
      <c r="C238" s="220" t="s">
        <v>123</v>
      </c>
      <c r="D238" s="220" t="s">
        <v>416</v>
      </c>
      <c r="E238" s="220" t="s">
        <v>737</v>
      </c>
      <c r="F238" s="247"/>
      <c r="G238" s="171">
        <f>SUM(G239)+G240</f>
        <v>34800</v>
      </c>
      <c r="H238" s="22"/>
      <c r="I238" s="22"/>
    </row>
    <row r="239" spans="1:9" ht="28.5">
      <c r="A239" s="187" t="s">
        <v>697</v>
      </c>
      <c r="B239" s="221"/>
      <c r="C239" s="220" t="s">
        <v>123</v>
      </c>
      <c r="D239" s="220" t="s">
        <v>416</v>
      </c>
      <c r="E239" s="220" t="s">
        <v>737</v>
      </c>
      <c r="F239" s="247" t="s">
        <v>112</v>
      </c>
      <c r="G239" s="171">
        <v>3500</v>
      </c>
      <c r="H239" s="22"/>
      <c r="I239" s="22"/>
    </row>
    <row r="240" spans="1:9" ht="28.5">
      <c r="A240" s="149" t="s">
        <v>698</v>
      </c>
      <c r="B240" s="221"/>
      <c r="C240" s="220" t="s">
        <v>123</v>
      </c>
      <c r="D240" s="220" t="s">
        <v>416</v>
      </c>
      <c r="E240" s="220" t="s">
        <v>737</v>
      </c>
      <c r="F240" s="247" t="s">
        <v>507</v>
      </c>
      <c r="G240" s="171">
        <v>31300</v>
      </c>
      <c r="H240" s="22"/>
      <c r="I240" s="22"/>
    </row>
    <row r="241" spans="1:9" ht="15">
      <c r="A241" s="149" t="s">
        <v>267</v>
      </c>
      <c r="B241" s="221"/>
      <c r="C241" s="220" t="s">
        <v>123</v>
      </c>
      <c r="D241" s="220" t="s">
        <v>416</v>
      </c>
      <c r="E241" s="220" t="s">
        <v>501</v>
      </c>
      <c r="F241" s="247"/>
      <c r="G241" s="171">
        <f>G242</f>
        <v>6905.200000000001</v>
      </c>
      <c r="H241" s="22" t="e">
        <f>SUM(H242+H244+H245)</f>
        <v>#REF!</v>
      </c>
      <c r="I241" s="22" t="e">
        <f>SUM(H241/#REF!*100)</f>
        <v>#REF!</v>
      </c>
    </row>
    <row r="242" spans="1:9" ht="15">
      <c r="A242" s="149" t="s">
        <v>36</v>
      </c>
      <c r="B242" s="221"/>
      <c r="C242" s="220" t="s">
        <v>123</v>
      </c>
      <c r="D242" s="220" t="s">
        <v>416</v>
      </c>
      <c r="E242" s="220" t="s">
        <v>502</v>
      </c>
      <c r="F242" s="247"/>
      <c r="G242" s="171">
        <f>SUM(G243)+G244</f>
        <v>6905.200000000001</v>
      </c>
      <c r="H242" s="22">
        <f>SUM(H243)</f>
        <v>0</v>
      </c>
      <c r="I242" s="22" t="e">
        <f>SUM(H242/#REF!*100)</f>
        <v>#REF!</v>
      </c>
    </row>
    <row r="243" spans="1:9" ht="28.5">
      <c r="A243" s="187" t="s">
        <v>697</v>
      </c>
      <c r="B243" s="221"/>
      <c r="C243" s="220" t="s">
        <v>123</v>
      </c>
      <c r="D243" s="220" t="s">
        <v>416</v>
      </c>
      <c r="E243" s="220" t="s">
        <v>502</v>
      </c>
      <c r="F243" s="247" t="s">
        <v>112</v>
      </c>
      <c r="G243" s="171">
        <f>5227.6+1577.6</f>
        <v>6805.200000000001</v>
      </c>
      <c r="H243" s="22"/>
      <c r="I243" s="22" t="e">
        <f>SUM(H243/#REF!*100)</f>
        <v>#REF!</v>
      </c>
    </row>
    <row r="244" spans="1:9" ht="33.75" customHeight="1">
      <c r="A244" s="149" t="s">
        <v>698</v>
      </c>
      <c r="B244" s="221"/>
      <c r="C244" s="220" t="s">
        <v>123</v>
      </c>
      <c r="D244" s="220" t="s">
        <v>416</v>
      </c>
      <c r="E244" s="220" t="s">
        <v>502</v>
      </c>
      <c r="F244" s="247" t="s">
        <v>507</v>
      </c>
      <c r="G244" s="171">
        <v>100</v>
      </c>
      <c r="H244" s="22" t="e">
        <f>SUM(#REF!)</f>
        <v>#REF!</v>
      </c>
      <c r="I244" s="22" t="e">
        <f>SUM(H244/#REF!*100)</f>
        <v>#REF!</v>
      </c>
    </row>
    <row r="245" spans="1:9" ht="15">
      <c r="A245" s="149" t="s">
        <v>38</v>
      </c>
      <c r="B245" s="221"/>
      <c r="C245" s="220" t="s">
        <v>123</v>
      </c>
      <c r="D245" s="220" t="s">
        <v>98</v>
      </c>
      <c r="E245" s="220"/>
      <c r="F245" s="247"/>
      <c r="G245" s="171">
        <f>G246+G257</f>
        <v>60155.1</v>
      </c>
      <c r="H245" s="22" t="e">
        <f>SUM(#REF!)</f>
        <v>#REF!</v>
      </c>
      <c r="I245" s="22" t="e">
        <f>SUM(H245/G246*100)</f>
        <v>#REF!</v>
      </c>
    </row>
    <row r="246" spans="1:9" s="109" customFormat="1" ht="15">
      <c r="A246" s="149" t="s">
        <v>38</v>
      </c>
      <c r="B246" s="196"/>
      <c r="C246" s="220" t="s">
        <v>123</v>
      </c>
      <c r="D246" s="220" t="s">
        <v>98</v>
      </c>
      <c r="E246" s="192" t="s">
        <v>66</v>
      </c>
      <c r="F246" s="242"/>
      <c r="G246" s="171">
        <f>G247+G251+G255</f>
        <v>59455.1</v>
      </c>
      <c r="H246" s="22" t="e">
        <f>SUM(H249+#REF!)+H247</f>
        <v>#REF!</v>
      </c>
      <c r="I246" s="22" t="e">
        <f>SUM(H246/G252*100)</f>
        <v>#REF!</v>
      </c>
    </row>
    <row r="247" spans="1:9" s="110" customFormat="1" ht="15.75">
      <c r="A247" s="198" t="s">
        <v>67</v>
      </c>
      <c r="B247" s="196"/>
      <c r="C247" s="220" t="s">
        <v>123</v>
      </c>
      <c r="D247" s="220" t="s">
        <v>98</v>
      </c>
      <c r="E247" s="192" t="s">
        <v>68</v>
      </c>
      <c r="F247" s="242"/>
      <c r="G247" s="171">
        <f>SUM(G248)</f>
        <v>35934.1</v>
      </c>
      <c r="H247" s="22">
        <f>SUM(H248)</f>
        <v>0</v>
      </c>
      <c r="I247" s="22" t="e">
        <f>SUM(H247/G253*100)</f>
        <v>#DIV/0!</v>
      </c>
    </row>
    <row r="248" spans="1:9" s="110" customFormat="1" ht="28.5">
      <c r="A248" s="187" t="s">
        <v>697</v>
      </c>
      <c r="B248" s="196"/>
      <c r="C248" s="220" t="s">
        <v>123</v>
      </c>
      <c r="D248" s="220" t="s">
        <v>98</v>
      </c>
      <c r="E248" s="192" t="s">
        <v>68</v>
      </c>
      <c r="F248" s="242" t="s">
        <v>112</v>
      </c>
      <c r="G248" s="171">
        <f>41934.1-6000</f>
        <v>35934.1</v>
      </c>
      <c r="H248" s="22"/>
      <c r="I248" s="22" t="e">
        <f>SUM(H248/G254*100)</f>
        <v>#DIV/0!</v>
      </c>
    </row>
    <row r="249" spans="1:9" s="110" customFormat="1" ht="15.75" hidden="1">
      <c r="A249" s="149" t="s">
        <v>464</v>
      </c>
      <c r="B249" s="196"/>
      <c r="C249" s="220" t="s">
        <v>123</v>
      </c>
      <c r="D249" s="220" t="s">
        <v>98</v>
      </c>
      <c r="E249" s="192" t="s">
        <v>68</v>
      </c>
      <c r="F249" s="242" t="s">
        <v>465</v>
      </c>
      <c r="G249" s="171"/>
      <c r="H249" s="22" t="e">
        <f>SUM(H250+H260+H268+H271)+H266</f>
        <v>#REF!</v>
      </c>
      <c r="I249" s="22" t="e">
        <f>SUM(H249/G260*100)</f>
        <v>#REF!</v>
      </c>
    </row>
    <row r="250" spans="1:9" s="110" customFormat="1" ht="28.5" hidden="1">
      <c r="A250" s="149" t="s">
        <v>466</v>
      </c>
      <c r="B250" s="196"/>
      <c r="C250" s="220" t="s">
        <v>123</v>
      </c>
      <c r="D250" s="220" t="s">
        <v>98</v>
      </c>
      <c r="E250" s="192" t="s">
        <v>68</v>
      </c>
      <c r="F250" s="242" t="s">
        <v>467</v>
      </c>
      <c r="G250" s="171"/>
      <c r="H250" s="22">
        <f>SUM(H252:H253)</f>
        <v>20816.7</v>
      </c>
      <c r="I250" s="22">
        <f>SUM(H250/G264*100)</f>
        <v>186.8493568742202</v>
      </c>
    </row>
    <row r="251" spans="1:9" s="110" customFormat="1" ht="28.5">
      <c r="A251" s="149" t="s">
        <v>542</v>
      </c>
      <c r="B251" s="196"/>
      <c r="C251" s="220" t="s">
        <v>123</v>
      </c>
      <c r="D251" s="220" t="s">
        <v>98</v>
      </c>
      <c r="E251" s="192" t="s">
        <v>35</v>
      </c>
      <c r="F251" s="242"/>
      <c r="G251" s="171">
        <f>G252</f>
        <v>23322.6</v>
      </c>
      <c r="H251" s="22"/>
      <c r="I251" s="22"/>
    </row>
    <row r="252" spans="1:9" s="110" customFormat="1" ht="28.5">
      <c r="A252" s="187" t="s">
        <v>697</v>
      </c>
      <c r="B252" s="196"/>
      <c r="C252" s="220" t="s">
        <v>123</v>
      </c>
      <c r="D252" s="220" t="s">
        <v>98</v>
      </c>
      <c r="E252" s="192" t="s">
        <v>35</v>
      </c>
      <c r="F252" s="242" t="s">
        <v>112</v>
      </c>
      <c r="G252" s="171">
        <v>23322.6</v>
      </c>
      <c r="H252" s="22">
        <v>20816.7</v>
      </c>
      <c r="I252" s="22" t="e">
        <f>SUM(H252/G266*100)</f>
        <v>#DIV/0!</v>
      </c>
    </row>
    <row r="253" spans="1:9" s="110" customFormat="1" ht="15.75" hidden="1">
      <c r="A253" s="149" t="s">
        <v>464</v>
      </c>
      <c r="B253" s="196"/>
      <c r="C253" s="220" t="s">
        <v>123</v>
      </c>
      <c r="D253" s="220" t="s">
        <v>98</v>
      </c>
      <c r="E253" s="192" t="s">
        <v>35</v>
      </c>
      <c r="F253" s="242" t="s">
        <v>465</v>
      </c>
      <c r="G253" s="171"/>
      <c r="H253" s="22">
        <f>SUM(H254)</f>
        <v>0</v>
      </c>
      <c r="I253" s="22" t="e">
        <f>SUM(H253/G267*100)</f>
        <v>#DIV/0!</v>
      </c>
    </row>
    <row r="254" spans="1:9" s="110" customFormat="1" ht="28.5" hidden="1">
      <c r="A254" s="149" t="s">
        <v>466</v>
      </c>
      <c r="B254" s="196"/>
      <c r="C254" s="220" t="s">
        <v>123</v>
      </c>
      <c r="D254" s="220" t="s">
        <v>98</v>
      </c>
      <c r="E254" s="192" t="s">
        <v>35</v>
      </c>
      <c r="F254" s="242" t="s">
        <v>467</v>
      </c>
      <c r="G254" s="171"/>
      <c r="H254" s="22"/>
      <c r="I254" s="22" t="e">
        <f>SUM(H254/G268*100)</f>
        <v>#DIV/0!</v>
      </c>
    </row>
    <row r="255" spans="1:9" s="110" customFormat="1" ht="42.75">
      <c r="A255" s="119" t="s">
        <v>540</v>
      </c>
      <c r="B255" s="223"/>
      <c r="C255" s="224" t="s">
        <v>123</v>
      </c>
      <c r="D255" s="224" t="s">
        <v>98</v>
      </c>
      <c r="E255" s="199" t="s">
        <v>541</v>
      </c>
      <c r="F255" s="248"/>
      <c r="G255" s="172">
        <f>SUM(G256)</f>
        <v>198.4</v>
      </c>
      <c r="H255" s="22"/>
      <c r="I255" s="22"/>
    </row>
    <row r="256" spans="1:9" s="110" customFormat="1" ht="28.5">
      <c r="A256" s="187" t="s">
        <v>697</v>
      </c>
      <c r="B256" s="196"/>
      <c r="C256" s="220" t="s">
        <v>123</v>
      </c>
      <c r="D256" s="220" t="s">
        <v>98</v>
      </c>
      <c r="E256" s="199" t="s">
        <v>541</v>
      </c>
      <c r="F256" s="242" t="s">
        <v>112</v>
      </c>
      <c r="G256" s="171">
        <v>198.4</v>
      </c>
      <c r="H256" s="22"/>
      <c r="I256" s="22"/>
    </row>
    <row r="257" spans="1:9" s="110" customFormat="1" ht="15.75">
      <c r="A257" s="149" t="s">
        <v>497</v>
      </c>
      <c r="B257" s="196"/>
      <c r="C257" s="220" t="s">
        <v>123</v>
      </c>
      <c r="D257" s="220" t="s">
        <v>98</v>
      </c>
      <c r="E257" s="199" t="s">
        <v>121</v>
      </c>
      <c r="F257" s="242"/>
      <c r="G257" s="171">
        <f>SUM(G258)</f>
        <v>700</v>
      </c>
      <c r="H257" s="22"/>
      <c r="I257" s="22"/>
    </row>
    <row r="258" spans="1:9" s="110" customFormat="1" ht="28.5">
      <c r="A258" s="149" t="s">
        <v>688</v>
      </c>
      <c r="B258" s="196"/>
      <c r="C258" s="220" t="s">
        <v>123</v>
      </c>
      <c r="D258" s="220" t="s">
        <v>98</v>
      </c>
      <c r="E258" s="199" t="s">
        <v>689</v>
      </c>
      <c r="F258" s="242"/>
      <c r="G258" s="171">
        <f>SUM(G259)</f>
        <v>700</v>
      </c>
      <c r="H258" s="22"/>
      <c r="I258" s="22"/>
    </row>
    <row r="259" spans="1:9" s="110" customFormat="1" ht="28.5">
      <c r="A259" s="187" t="s">
        <v>697</v>
      </c>
      <c r="B259" s="196"/>
      <c r="C259" s="220" t="s">
        <v>123</v>
      </c>
      <c r="D259" s="220" t="s">
        <v>98</v>
      </c>
      <c r="E259" s="199" t="s">
        <v>689</v>
      </c>
      <c r="F259" s="242" t="s">
        <v>112</v>
      </c>
      <c r="G259" s="171">
        <v>700</v>
      </c>
      <c r="H259" s="22"/>
      <c r="I259" s="22"/>
    </row>
    <row r="260" spans="1:9" s="110" customFormat="1" ht="15.75">
      <c r="A260" s="149" t="s">
        <v>59</v>
      </c>
      <c r="B260" s="196"/>
      <c r="C260" s="220" t="s">
        <v>123</v>
      </c>
      <c r="D260" s="220" t="s">
        <v>123</v>
      </c>
      <c r="E260" s="192"/>
      <c r="F260" s="242"/>
      <c r="G260" s="171">
        <f>G264+G261</f>
        <v>12037.3</v>
      </c>
      <c r="H260" s="22">
        <f>SUM(H265)</f>
        <v>43097.5</v>
      </c>
      <c r="I260" s="22">
        <f>SUM(H260/G269*100)</f>
        <v>604.3936780400242</v>
      </c>
    </row>
    <row r="261" spans="1:9" s="110" customFormat="1" ht="42.75">
      <c r="A261" s="149" t="s">
        <v>732</v>
      </c>
      <c r="B261" s="221"/>
      <c r="C261" s="220" t="s">
        <v>123</v>
      </c>
      <c r="D261" s="220" t="s">
        <v>123</v>
      </c>
      <c r="E261" s="220" t="s">
        <v>734</v>
      </c>
      <c r="F261" s="247"/>
      <c r="G261" s="171">
        <f>SUM(G262)</f>
        <v>896.4</v>
      </c>
      <c r="H261" s="22"/>
      <c r="I261" s="22"/>
    </row>
    <row r="262" spans="1:9" s="110" customFormat="1" ht="15.75">
      <c r="A262" s="149" t="s">
        <v>733</v>
      </c>
      <c r="B262" s="221"/>
      <c r="C262" s="220" t="s">
        <v>123</v>
      </c>
      <c r="D262" s="220" t="s">
        <v>123</v>
      </c>
      <c r="E262" s="220" t="s">
        <v>735</v>
      </c>
      <c r="F262" s="247"/>
      <c r="G262" s="171">
        <f>SUM(G263)</f>
        <v>896.4</v>
      </c>
      <c r="H262" s="22"/>
      <c r="I262" s="22"/>
    </row>
    <row r="263" spans="1:9" s="110" customFormat="1" ht="28.5">
      <c r="A263" s="149" t="s">
        <v>698</v>
      </c>
      <c r="B263" s="196"/>
      <c r="C263" s="220" t="s">
        <v>123</v>
      </c>
      <c r="D263" s="220" t="s">
        <v>123</v>
      </c>
      <c r="E263" s="220" t="s">
        <v>735</v>
      </c>
      <c r="F263" s="242" t="s">
        <v>507</v>
      </c>
      <c r="G263" s="171">
        <v>896.4</v>
      </c>
      <c r="H263" s="22"/>
      <c r="I263" s="22"/>
    </row>
    <row r="264" spans="1:9" s="96" customFormat="1" ht="17.25" customHeight="1">
      <c r="A264" s="149" t="s">
        <v>497</v>
      </c>
      <c r="B264" s="196"/>
      <c r="C264" s="220" t="s">
        <v>123</v>
      </c>
      <c r="D264" s="220" t="s">
        <v>123</v>
      </c>
      <c r="E264" s="192" t="s">
        <v>121</v>
      </c>
      <c r="F264" s="242"/>
      <c r="G264" s="171">
        <f>G265+G267+G269+G271</f>
        <v>11140.9</v>
      </c>
      <c r="H264" s="22"/>
      <c r="I264" s="22"/>
    </row>
    <row r="265" spans="1:9" s="110" customFormat="1" ht="28.5" hidden="1">
      <c r="A265" s="198" t="s">
        <v>503</v>
      </c>
      <c r="B265" s="196"/>
      <c r="C265" s="220" t="s">
        <v>123</v>
      </c>
      <c r="D265" s="220" t="s">
        <v>123</v>
      </c>
      <c r="E265" s="192" t="s">
        <v>12</v>
      </c>
      <c r="F265" s="242"/>
      <c r="G265" s="171">
        <f>G266</f>
        <v>0</v>
      </c>
      <c r="H265" s="22">
        <v>43097.5</v>
      </c>
      <c r="I265" s="22">
        <f>SUM(H265/G271*100)</f>
        <v>1074.6970225923894</v>
      </c>
    </row>
    <row r="266" spans="1:9" ht="28.5" hidden="1">
      <c r="A266" s="149" t="s">
        <v>470</v>
      </c>
      <c r="B266" s="196"/>
      <c r="C266" s="220" t="s">
        <v>123</v>
      </c>
      <c r="D266" s="220" t="s">
        <v>123</v>
      </c>
      <c r="E266" s="192" t="s">
        <v>12</v>
      </c>
      <c r="F266" s="242" t="s">
        <v>461</v>
      </c>
      <c r="G266" s="171"/>
      <c r="H266" s="22">
        <f>SUM(H267)</f>
        <v>482.9</v>
      </c>
      <c r="I266" s="22">
        <f>SUM(H266/G272*100)</f>
        <v>12.041793426761757</v>
      </c>
    </row>
    <row r="267" spans="1:9" ht="28.5" hidden="1">
      <c r="A267" s="198" t="s">
        <v>504</v>
      </c>
      <c r="B267" s="196"/>
      <c r="C267" s="220" t="s">
        <v>505</v>
      </c>
      <c r="D267" s="220" t="s">
        <v>123</v>
      </c>
      <c r="E267" s="192" t="s">
        <v>13</v>
      </c>
      <c r="F267" s="242"/>
      <c r="G267" s="171">
        <f>G268</f>
        <v>0</v>
      </c>
      <c r="H267" s="22">
        <v>482.9</v>
      </c>
      <c r="I267" s="22" t="e">
        <f>SUM(H267/#REF!*100)</f>
        <v>#REF!</v>
      </c>
    </row>
    <row r="268" spans="1:9" ht="28.5" hidden="1">
      <c r="A268" s="149" t="s">
        <v>506</v>
      </c>
      <c r="B268" s="196"/>
      <c r="C268" s="220" t="s">
        <v>505</v>
      </c>
      <c r="D268" s="220" t="s">
        <v>123</v>
      </c>
      <c r="E268" s="192" t="s">
        <v>13</v>
      </c>
      <c r="F268" s="242" t="s">
        <v>507</v>
      </c>
      <c r="G268" s="171"/>
      <c r="H268" s="22">
        <f>SUM(H270)</f>
        <v>489.8</v>
      </c>
      <c r="I268" s="22" t="e">
        <f>SUM(H268/#REF!*100)</f>
        <v>#REF!</v>
      </c>
    </row>
    <row r="269" spans="1:9" ht="42.75">
      <c r="A269" s="149" t="s">
        <v>752</v>
      </c>
      <c r="B269" s="196"/>
      <c r="C269" s="220" t="s">
        <v>123</v>
      </c>
      <c r="D269" s="220" t="s">
        <v>123</v>
      </c>
      <c r="E269" s="192" t="s">
        <v>37</v>
      </c>
      <c r="F269" s="242"/>
      <c r="G269" s="171">
        <f>G270</f>
        <v>7130.7</v>
      </c>
      <c r="H269" s="22"/>
      <c r="I269" s="22"/>
    </row>
    <row r="270" spans="1:9" s="109" customFormat="1" ht="28.5">
      <c r="A270" s="149" t="s">
        <v>698</v>
      </c>
      <c r="B270" s="196"/>
      <c r="C270" s="220" t="s">
        <v>123</v>
      </c>
      <c r="D270" s="220" t="s">
        <v>123</v>
      </c>
      <c r="E270" s="192" t="s">
        <v>37</v>
      </c>
      <c r="F270" s="242" t="s">
        <v>507</v>
      </c>
      <c r="G270" s="171">
        <v>7130.7</v>
      </c>
      <c r="H270" s="22">
        <v>489.8</v>
      </c>
      <c r="I270" s="22" t="e">
        <f>SUM(H270/#REF!*100)</f>
        <v>#REF!</v>
      </c>
    </row>
    <row r="271" spans="1:9" s="109" customFormat="1" ht="28.5">
      <c r="A271" s="198" t="s">
        <v>751</v>
      </c>
      <c r="B271" s="196"/>
      <c r="C271" s="220" t="s">
        <v>123</v>
      </c>
      <c r="D271" s="220" t="s">
        <v>123</v>
      </c>
      <c r="E271" s="192" t="s">
        <v>49</v>
      </c>
      <c r="F271" s="242"/>
      <c r="G271" s="171">
        <f>G272</f>
        <v>4010.2</v>
      </c>
      <c r="H271" s="22" t="e">
        <f>SUM(#REF!)</f>
        <v>#REF!</v>
      </c>
      <c r="I271" s="22" t="e">
        <f>SUM(H271/#REF!*100)</f>
        <v>#REF!</v>
      </c>
    </row>
    <row r="272" spans="1:9" s="109" customFormat="1" ht="27.75" customHeight="1">
      <c r="A272" s="149" t="s">
        <v>698</v>
      </c>
      <c r="B272" s="196"/>
      <c r="C272" s="220" t="s">
        <v>123</v>
      </c>
      <c r="D272" s="220" t="s">
        <v>123</v>
      </c>
      <c r="E272" s="192" t="s">
        <v>49</v>
      </c>
      <c r="F272" s="242" t="s">
        <v>507</v>
      </c>
      <c r="G272" s="171">
        <v>4010.2</v>
      </c>
      <c r="H272" s="22"/>
      <c r="I272" s="22"/>
    </row>
    <row r="273" spans="1:9" ht="15" hidden="1">
      <c r="A273" s="200" t="s">
        <v>126</v>
      </c>
      <c r="B273" s="188"/>
      <c r="C273" s="192" t="s">
        <v>123</v>
      </c>
      <c r="D273" s="192" t="s">
        <v>123</v>
      </c>
      <c r="E273" s="189" t="s">
        <v>49</v>
      </c>
      <c r="F273" s="242" t="s">
        <v>127</v>
      </c>
      <c r="G273" s="161"/>
      <c r="H273" s="22" t="e">
        <f>SUM(H274+H278)</f>
        <v>#REF!</v>
      </c>
      <c r="I273" s="22" t="e">
        <f>SUM(H273/G280*100)</f>
        <v>#REF!</v>
      </c>
    </row>
    <row r="274" spans="1:9" ht="15">
      <c r="A274" s="187" t="s">
        <v>62</v>
      </c>
      <c r="B274" s="188"/>
      <c r="C274" s="189" t="s">
        <v>349</v>
      </c>
      <c r="D274" s="189"/>
      <c r="E274" s="189"/>
      <c r="F274" s="241"/>
      <c r="G274" s="161">
        <f>SUM(G276)+G281</f>
        <v>5932.7</v>
      </c>
      <c r="H274" s="22">
        <f>SUM(H276)</f>
        <v>0</v>
      </c>
      <c r="I274" s="22">
        <f>SUM(H274/G281*100)</f>
        <v>0</v>
      </c>
    </row>
    <row r="275" spans="1:9" ht="15">
      <c r="A275" s="262" t="s">
        <v>563</v>
      </c>
      <c r="B275" s="188"/>
      <c r="C275" s="220" t="s">
        <v>349</v>
      </c>
      <c r="D275" s="220" t="s">
        <v>98</v>
      </c>
      <c r="E275" s="189"/>
      <c r="F275" s="241"/>
      <c r="G275" s="161">
        <f>SUM(G276)</f>
        <v>5387.7</v>
      </c>
      <c r="H275" s="22"/>
      <c r="I275" s="22"/>
    </row>
    <row r="276" spans="1:9" ht="15">
      <c r="A276" s="149" t="s">
        <v>63</v>
      </c>
      <c r="B276" s="221"/>
      <c r="C276" s="220" t="s">
        <v>349</v>
      </c>
      <c r="D276" s="220" t="s">
        <v>98</v>
      </c>
      <c r="E276" s="220" t="s">
        <v>508</v>
      </c>
      <c r="F276" s="247"/>
      <c r="G276" s="171">
        <f>SUM(G277)</f>
        <v>5387.7</v>
      </c>
      <c r="H276" s="22">
        <f>SUM(H277)</f>
        <v>0</v>
      </c>
      <c r="I276" s="22">
        <f>SUM(H276/G282*100)</f>
        <v>0</v>
      </c>
    </row>
    <row r="277" spans="1:9" ht="28.5">
      <c r="A277" s="149" t="s">
        <v>51</v>
      </c>
      <c r="B277" s="221"/>
      <c r="C277" s="220" t="s">
        <v>349</v>
      </c>
      <c r="D277" s="220" t="s">
        <v>98</v>
      </c>
      <c r="E277" s="220" t="s">
        <v>509</v>
      </c>
      <c r="F277" s="247"/>
      <c r="G277" s="171">
        <f>SUM(G278:G280)</f>
        <v>5387.7</v>
      </c>
      <c r="H277" s="22"/>
      <c r="I277" s="22">
        <f>SUM(H277/G283*100)</f>
        <v>0</v>
      </c>
    </row>
    <row r="278" spans="1:9" ht="28.5">
      <c r="A278" s="149" t="s">
        <v>444</v>
      </c>
      <c r="B278" s="221"/>
      <c r="C278" s="220" t="s">
        <v>349</v>
      </c>
      <c r="D278" s="220" t="s">
        <v>98</v>
      </c>
      <c r="E278" s="220" t="s">
        <v>509</v>
      </c>
      <c r="F278" s="247" t="s">
        <v>445</v>
      </c>
      <c r="G278" s="171">
        <v>4448.9</v>
      </c>
      <c r="H278" s="22" t="e">
        <f>SUM(H282+#REF!)</f>
        <v>#REF!</v>
      </c>
      <c r="I278" s="22" t="e">
        <f>SUM(H278/G284*100)</f>
        <v>#REF!</v>
      </c>
    </row>
    <row r="279" spans="1:9" ht="28.5">
      <c r="A279" s="187" t="s">
        <v>697</v>
      </c>
      <c r="B279" s="221"/>
      <c r="C279" s="220" t="s">
        <v>349</v>
      </c>
      <c r="D279" s="220" t="s">
        <v>98</v>
      </c>
      <c r="E279" s="220" t="s">
        <v>509</v>
      </c>
      <c r="F279" s="247" t="s">
        <v>112</v>
      </c>
      <c r="G279" s="171">
        <v>833.5</v>
      </c>
      <c r="H279" s="22"/>
      <c r="I279" s="22" t="e">
        <f>SUM(H279/#REF!*100)</f>
        <v>#REF!</v>
      </c>
    </row>
    <row r="280" spans="1:9" ht="15">
      <c r="A280" s="149" t="s">
        <v>450</v>
      </c>
      <c r="B280" s="221"/>
      <c r="C280" s="220" t="s">
        <v>349</v>
      </c>
      <c r="D280" s="220" t="s">
        <v>98</v>
      </c>
      <c r="E280" s="220" t="s">
        <v>509</v>
      </c>
      <c r="F280" s="247" t="s">
        <v>160</v>
      </c>
      <c r="G280" s="171">
        <v>105.3</v>
      </c>
      <c r="H280" s="111"/>
      <c r="I280" s="22" t="e">
        <f>SUM(H280/#REF!*100)</f>
        <v>#REF!</v>
      </c>
    </row>
    <row r="281" spans="1:9" ht="15">
      <c r="A281" s="149" t="s">
        <v>64</v>
      </c>
      <c r="B281" s="221"/>
      <c r="C281" s="220" t="s">
        <v>349</v>
      </c>
      <c r="D281" s="220" t="s">
        <v>123</v>
      </c>
      <c r="E281" s="227"/>
      <c r="F281" s="247"/>
      <c r="G281" s="171">
        <f>G283</f>
        <v>545</v>
      </c>
      <c r="H281" s="22"/>
      <c r="I281" s="22" t="e">
        <f>SUM(H281/#REF!*100)</f>
        <v>#REF!</v>
      </c>
    </row>
    <row r="282" spans="1:9" ht="15">
      <c r="A282" s="149" t="s">
        <v>497</v>
      </c>
      <c r="B282" s="221"/>
      <c r="C282" s="220" t="s">
        <v>349</v>
      </c>
      <c r="D282" s="220" t="s">
        <v>123</v>
      </c>
      <c r="E282" s="192" t="s">
        <v>121</v>
      </c>
      <c r="F282" s="247"/>
      <c r="G282" s="171">
        <f>SUM(G283)</f>
        <v>545</v>
      </c>
      <c r="H282" s="22">
        <f>SUM(H283:H284)</f>
        <v>0</v>
      </c>
      <c r="I282" s="22" t="e">
        <f>SUM(H282/#REF!*100)</f>
        <v>#REF!</v>
      </c>
    </row>
    <row r="283" spans="1:9" ht="15">
      <c r="A283" s="149" t="s">
        <v>566</v>
      </c>
      <c r="B283" s="225"/>
      <c r="C283" s="220" t="s">
        <v>349</v>
      </c>
      <c r="D283" s="220" t="s">
        <v>123</v>
      </c>
      <c r="E283" s="220" t="s">
        <v>65</v>
      </c>
      <c r="F283" s="247"/>
      <c r="G283" s="171">
        <f>G284</f>
        <v>545</v>
      </c>
      <c r="H283" s="22"/>
      <c r="I283" s="22" t="e">
        <f>SUM(H283/#REF!*100)</f>
        <v>#REF!</v>
      </c>
    </row>
    <row r="284" spans="1:9" ht="27.75" customHeight="1">
      <c r="A284" s="187" t="s">
        <v>697</v>
      </c>
      <c r="B284" s="221"/>
      <c r="C284" s="220" t="s">
        <v>349</v>
      </c>
      <c r="D284" s="220" t="s">
        <v>123</v>
      </c>
      <c r="E284" s="220" t="s">
        <v>65</v>
      </c>
      <c r="F284" s="247" t="s">
        <v>112</v>
      </c>
      <c r="G284" s="171">
        <v>545</v>
      </c>
      <c r="H284" s="22"/>
      <c r="I284" s="22"/>
    </row>
    <row r="285" spans="1:9" ht="15" hidden="1">
      <c r="A285" s="149" t="s">
        <v>108</v>
      </c>
      <c r="B285" s="221"/>
      <c r="C285" s="220" t="s">
        <v>109</v>
      </c>
      <c r="D285" s="220"/>
      <c r="E285" s="220"/>
      <c r="F285" s="247"/>
      <c r="G285" s="171">
        <f>G286</f>
        <v>0</v>
      </c>
      <c r="H285" s="22">
        <f>SUM(H286)</f>
        <v>0</v>
      </c>
      <c r="I285" s="22" t="e">
        <f>SUM(H285/#REF!*100)</f>
        <v>#REF!</v>
      </c>
    </row>
    <row r="286" spans="1:9" ht="15" hidden="1">
      <c r="A286" s="149" t="s">
        <v>208</v>
      </c>
      <c r="B286" s="221"/>
      <c r="C286" s="220" t="s">
        <v>109</v>
      </c>
      <c r="D286" s="220" t="s">
        <v>272</v>
      </c>
      <c r="E286" s="220"/>
      <c r="F286" s="247"/>
      <c r="G286" s="171">
        <f>G288</f>
        <v>0</v>
      </c>
      <c r="H286" s="22"/>
      <c r="I286" s="22" t="e">
        <f>SUM(H286/#REF!*100)</f>
        <v>#REF!</v>
      </c>
    </row>
    <row r="287" spans="1:9" ht="15" hidden="1">
      <c r="A287" s="149" t="s">
        <v>497</v>
      </c>
      <c r="B287" s="221"/>
      <c r="C287" s="220" t="s">
        <v>109</v>
      </c>
      <c r="D287" s="220" t="s">
        <v>272</v>
      </c>
      <c r="E287" s="192" t="s">
        <v>121</v>
      </c>
      <c r="F287" s="247"/>
      <c r="G287" s="171">
        <f>SUM(G288)</f>
        <v>0</v>
      </c>
      <c r="H287" s="22"/>
      <c r="I287" s="22"/>
    </row>
    <row r="288" spans="1:9" ht="28.5" hidden="1">
      <c r="A288" s="198" t="s">
        <v>498</v>
      </c>
      <c r="B288" s="221"/>
      <c r="C288" s="220" t="s">
        <v>109</v>
      </c>
      <c r="D288" s="220" t="s">
        <v>272</v>
      </c>
      <c r="E288" s="220" t="s">
        <v>49</v>
      </c>
      <c r="F288" s="247"/>
      <c r="G288" s="171">
        <f>G289</f>
        <v>0</v>
      </c>
      <c r="H288" s="22"/>
      <c r="I288" s="22"/>
    </row>
    <row r="289" spans="1:9" s="96" customFormat="1" ht="28.5" hidden="1">
      <c r="A289" s="149" t="s">
        <v>698</v>
      </c>
      <c r="B289" s="221"/>
      <c r="C289" s="220" t="s">
        <v>109</v>
      </c>
      <c r="D289" s="220" t="s">
        <v>272</v>
      </c>
      <c r="E289" s="220" t="s">
        <v>510</v>
      </c>
      <c r="F289" s="247" t="s">
        <v>507</v>
      </c>
      <c r="G289" s="171"/>
      <c r="H289" s="22" t="e">
        <v>#REF!</v>
      </c>
      <c r="I289" s="22" t="e">
        <v>#REF!</v>
      </c>
    </row>
    <row r="290" spans="1:9" ht="15">
      <c r="A290" s="187" t="s">
        <v>167</v>
      </c>
      <c r="B290" s="188"/>
      <c r="C290" s="189" t="s">
        <v>5</v>
      </c>
      <c r="D290" s="189"/>
      <c r="E290" s="189"/>
      <c r="F290" s="241"/>
      <c r="G290" s="161">
        <f>SUM(G298)+G291</f>
        <v>32735.5</v>
      </c>
      <c r="H290" s="22" t="e">
        <f>SUM(#REF!)</f>
        <v>#REF!</v>
      </c>
      <c r="I290" s="22" t="e">
        <f>SUM(H290/#REF!*100)</f>
        <v>#REF!</v>
      </c>
    </row>
    <row r="291" spans="1:9" ht="15">
      <c r="A291" s="187" t="s">
        <v>24</v>
      </c>
      <c r="B291" s="188"/>
      <c r="C291" s="189" t="s">
        <v>5</v>
      </c>
      <c r="D291" s="189" t="s">
        <v>98</v>
      </c>
      <c r="E291" s="189"/>
      <c r="F291" s="241"/>
      <c r="G291" s="161">
        <f>SUM(G292)</f>
        <v>1100</v>
      </c>
      <c r="H291" s="22"/>
      <c r="I291" s="22"/>
    </row>
    <row r="292" spans="1:9" ht="15">
      <c r="A292" s="149" t="s">
        <v>497</v>
      </c>
      <c r="B292" s="188"/>
      <c r="C292" s="189" t="s">
        <v>5</v>
      </c>
      <c r="D292" s="189" t="s">
        <v>98</v>
      </c>
      <c r="E292" s="192" t="s">
        <v>121</v>
      </c>
      <c r="F292" s="241"/>
      <c r="G292" s="161">
        <f>SUM(G293)+G295</f>
        <v>1100</v>
      </c>
      <c r="H292" s="22"/>
      <c r="I292" s="22"/>
    </row>
    <row r="293" spans="1:9" ht="42.75">
      <c r="A293" s="149" t="s">
        <v>575</v>
      </c>
      <c r="B293" s="188"/>
      <c r="C293" s="189" t="s">
        <v>5</v>
      </c>
      <c r="D293" s="189" t="s">
        <v>98</v>
      </c>
      <c r="E293" s="192" t="s">
        <v>576</v>
      </c>
      <c r="F293" s="241"/>
      <c r="G293" s="161">
        <f>SUM(G294)</f>
        <v>100</v>
      </c>
      <c r="H293" s="22"/>
      <c r="I293" s="22"/>
    </row>
    <row r="294" spans="1:9" ht="15">
      <c r="A294" s="187" t="s">
        <v>454</v>
      </c>
      <c r="B294" s="188"/>
      <c r="C294" s="189" t="s">
        <v>5</v>
      </c>
      <c r="D294" s="189" t="s">
        <v>98</v>
      </c>
      <c r="E294" s="192" t="s">
        <v>576</v>
      </c>
      <c r="F294" s="241" t="s">
        <v>455</v>
      </c>
      <c r="G294" s="161">
        <v>100</v>
      </c>
      <c r="H294" s="22"/>
      <c r="I294" s="22"/>
    </row>
    <row r="295" spans="1:9" ht="28.5">
      <c r="A295" s="202" t="s">
        <v>580</v>
      </c>
      <c r="B295" s="203"/>
      <c r="C295" s="204" t="s">
        <v>5</v>
      </c>
      <c r="D295" s="204" t="s">
        <v>98</v>
      </c>
      <c r="E295" s="204" t="s">
        <v>577</v>
      </c>
      <c r="F295" s="252"/>
      <c r="G295" s="161">
        <f>SUM(G296)</f>
        <v>1000</v>
      </c>
      <c r="H295" s="22"/>
      <c r="I295" s="22"/>
    </row>
    <row r="296" spans="1:9" ht="28.5">
      <c r="A296" s="262" t="s">
        <v>578</v>
      </c>
      <c r="B296" s="205"/>
      <c r="C296" s="204" t="s">
        <v>5</v>
      </c>
      <c r="D296" s="204" t="s">
        <v>98</v>
      </c>
      <c r="E296" s="204" t="s">
        <v>579</v>
      </c>
      <c r="F296" s="252"/>
      <c r="G296" s="161">
        <f>SUM(G297)</f>
        <v>1000</v>
      </c>
      <c r="H296" s="22"/>
      <c r="I296" s="22"/>
    </row>
    <row r="297" spans="1:9" ht="15">
      <c r="A297" s="152" t="s">
        <v>454</v>
      </c>
      <c r="B297" s="206"/>
      <c r="C297" s="204" t="s">
        <v>5</v>
      </c>
      <c r="D297" s="204" t="s">
        <v>98</v>
      </c>
      <c r="E297" s="204" t="s">
        <v>579</v>
      </c>
      <c r="F297" s="253" t="s">
        <v>455</v>
      </c>
      <c r="G297" s="161">
        <v>1000</v>
      </c>
      <c r="H297" s="22"/>
      <c r="I297" s="22"/>
    </row>
    <row r="298" spans="1:9" s="96" customFormat="1" ht="15">
      <c r="A298" s="149" t="s">
        <v>149</v>
      </c>
      <c r="B298" s="221"/>
      <c r="C298" s="220" t="s">
        <v>5</v>
      </c>
      <c r="D298" s="220" t="s">
        <v>114</v>
      </c>
      <c r="E298" s="220"/>
      <c r="F298" s="247"/>
      <c r="G298" s="171">
        <f>SUM(G299)</f>
        <v>31635.5</v>
      </c>
      <c r="H298" s="22"/>
      <c r="I298" s="22">
        <f>SUM(H298/G305*100)</f>
        <v>0</v>
      </c>
    </row>
    <row r="299" spans="1:9" s="96" customFormat="1" ht="28.5">
      <c r="A299" s="187" t="s">
        <v>594</v>
      </c>
      <c r="B299" s="188"/>
      <c r="C299" s="220" t="s">
        <v>5</v>
      </c>
      <c r="D299" s="220" t="s">
        <v>114</v>
      </c>
      <c r="E299" s="189" t="s">
        <v>595</v>
      </c>
      <c r="F299" s="241"/>
      <c r="G299" s="171">
        <f>SUM(G305)+G301</f>
        <v>31635.5</v>
      </c>
      <c r="H299" s="22"/>
      <c r="I299" s="22"/>
    </row>
    <row r="300" spans="1:9" s="96" customFormat="1" ht="85.5">
      <c r="A300" s="345" t="s">
        <v>615</v>
      </c>
      <c r="B300" s="411"/>
      <c r="C300" s="301" t="s">
        <v>5</v>
      </c>
      <c r="D300" s="301" t="s">
        <v>114</v>
      </c>
      <c r="E300" s="301" t="s">
        <v>616</v>
      </c>
      <c r="F300" s="302"/>
      <c r="G300" s="171">
        <f>SUM(G301)</f>
        <v>21090.3</v>
      </c>
      <c r="H300" s="22"/>
      <c r="I300" s="22"/>
    </row>
    <row r="301" spans="1:9" ht="57">
      <c r="A301" s="149" t="s">
        <v>686</v>
      </c>
      <c r="B301" s="221"/>
      <c r="C301" s="220" t="s">
        <v>5</v>
      </c>
      <c r="D301" s="220" t="s">
        <v>114</v>
      </c>
      <c r="E301" s="189" t="s">
        <v>687</v>
      </c>
      <c r="F301" s="247"/>
      <c r="G301" s="171">
        <f>SUM(G302)</f>
        <v>21090.3</v>
      </c>
      <c r="H301" s="22">
        <f>SUM(H302)</f>
        <v>5628.5</v>
      </c>
      <c r="I301" s="22" t="e">
        <f>SUM(H301/G307*100)</f>
        <v>#DIV/0!</v>
      </c>
    </row>
    <row r="302" spans="1:9" ht="27" customHeight="1">
      <c r="A302" s="149" t="s">
        <v>698</v>
      </c>
      <c r="B302" s="221"/>
      <c r="C302" s="220" t="s">
        <v>5</v>
      </c>
      <c r="D302" s="220" t="s">
        <v>114</v>
      </c>
      <c r="E302" s="189" t="s">
        <v>687</v>
      </c>
      <c r="F302" s="247" t="s">
        <v>507</v>
      </c>
      <c r="G302" s="171">
        <v>21090.3</v>
      </c>
      <c r="H302" s="22">
        <v>5628.5</v>
      </c>
      <c r="I302" s="22" t="e">
        <f>SUM(H302/G308*100)</f>
        <v>#DIV/0!</v>
      </c>
    </row>
    <row r="303" spans="1:9" s="96" customFormat="1" ht="15" hidden="1">
      <c r="A303" s="149" t="s">
        <v>60</v>
      </c>
      <c r="B303" s="221"/>
      <c r="C303" s="220" t="s">
        <v>5</v>
      </c>
      <c r="D303" s="220" t="s">
        <v>114</v>
      </c>
      <c r="E303" s="220" t="s">
        <v>511</v>
      </c>
      <c r="F303" s="247" t="s">
        <v>513</v>
      </c>
      <c r="G303" s="171"/>
      <c r="H303" s="22">
        <f>SUM(H304)</f>
        <v>0</v>
      </c>
      <c r="I303" s="22" t="e">
        <f>SUM(H303/#REF!*100)</f>
        <v>#REF!</v>
      </c>
    </row>
    <row r="304" spans="1:9" ht="28.5" hidden="1">
      <c r="A304" s="149" t="s">
        <v>514</v>
      </c>
      <c r="B304" s="221"/>
      <c r="C304" s="220" t="s">
        <v>5</v>
      </c>
      <c r="D304" s="220" t="s">
        <v>114</v>
      </c>
      <c r="E304" s="220" t="s">
        <v>511</v>
      </c>
      <c r="F304" s="247" t="s">
        <v>515</v>
      </c>
      <c r="G304" s="171"/>
      <c r="H304" s="22"/>
      <c r="I304" s="22" t="e">
        <f>SUM(H304/#REF!*100)</f>
        <v>#REF!</v>
      </c>
    </row>
    <row r="305" spans="1:9" ht="42.75">
      <c r="A305" s="149" t="s">
        <v>564</v>
      </c>
      <c r="B305" s="221"/>
      <c r="C305" s="220" t="s">
        <v>5</v>
      </c>
      <c r="D305" s="220" t="s">
        <v>114</v>
      </c>
      <c r="E305" s="189" t="s">
        <v>598</v>
      </c>
      <c r="F305" s="247"/>
      <c r="G305" s="171">
        <f>SUM(G306)</f>
        <v>10545.2</v>
      </c>
      <c r="H305" s="22" t="e">
        <f>SUM(H306)</f>
        <v>#REF!</v>
      </c>
      <c r="I305" s="22" t="e">
        <f>SUM(H305/#REF!*100)</f>
        <v>#REF!</v>
      </c>
    </row>
    <row r="306" spans="1:9" ht="30.75" customHeight="1">
      <c r="A306" s="149" t="s">
        <v>698</v>
      </c>
      <c r="B306" s="221"/>
      <c r="C306" s="220" t="s">
        <v>5</v>
      </c>
      <c r="D306" s="220" t="s">
        <v>114</v>
      </c>
      <c r="E306" s="189" t="s">
        <v>598</v>
      </c>
      <c r="F306" s="247" t="s">
        <v>507</v>
      </c>
      <c r="G306" s="171">
        <v>10545.2</v>
      </c>
      <c r="H306" s="22" t="e">
        <f>SUM(H307)+#REF!</f>
        <v>#REF!</v>
      </c>
      <c r="I306" s="22" t="e">
        <f>SUM(H306/#REF!*100)</f>
        <v>#REF!</v>
      </c>
    </row>
    <row r="307" spans="1:9" s="96" customFormat="1" ht="15" hidden="1">
      <c r="A307" s="149" t="s">
        <v>60</v>
      </c>
      <c r="B307" s="221"/>
      <c r="C307" s="220" t="s">
        <v>5</v>
      </c>
      <c r="D307" s="220" t="s">
        <v>114</v>
      </c>
      <c r="E307" s="220" t="s">
        <v>420</v>
      </c>
      <c r="F307" s="247" t="s">
        <v>513</v>
      </c>
      <c r="G307" s="171"/>
      <c r="H307" s="22" t="e">
        <f>SUM(H308+#REF!)</f>
        <v>#REF!</v>
      </c>
      <c r="I307" s="22" t="e">
        <f>SUM(H307/#REF!*100)</f>
        <v>#REF!</v>
      </c>
    </row>
    <row r="308" spans="1:9" ht="28.5" hidden="1">
      <c r="A308" s="149" t="s">
        <v>514</v>
      </c>
      <c r="B308" s="221"/>
      <c r="C308" s="220" t="s">
        <v>5</v>
      </c>
      <c r="D308" s="220" t="s">
        <v>114</v>
      </c>
      <c r="E308" s="220" t="s">
        <v>420</v>
      </c>
      <c r="F308" s="247" t="s">
        <v>515</v>
      </c>
      <c r="G308" s="171"/>
      <c r="H308" s="22"/>
      <c r="I308" s="22" t="e">
        <f>SUM(H308/#REF!*100)</f>
        <v>#REF!</v>
      </c>
    </row>
    <row r="309" spans="1:9" ht="15" hidden="1">
      <c r="A309" s="187" t="s">
        <v>219</v>
      </c>
      <c r="B309" s="188"/>
      <c r="C309" s="192" t="s">
        <v>375</v>
      </c>
      <c r="D309" s="192"/>
      <c r="E309" s="192"/>
      <c r="F309" s="242"/>
      <c r="G309" s="169">
        <f>SUM(G310)</f>
        <v>0</v>
      </c>
      <c r="H309" s="22" t="e">
        <f>SUM(H310+H317+H328+#REF!)</f>
        <v>#REF!</v>
      </c>
      <c r="I309" s="22" t="e">
        <f>SUM(H309/G315*100)</f>
        <v>#REF!</v>
      </c>
    </row>
    <row r="310" spans="1:9" ht="15" hidden="1">
      <c r="A310" s="187" t="s">
        <v>215</v>
      </c>
      <c r="B310" s="188"/>
      <c r="C310" s="189" t="s">
        <v>375</v>
      </c>
      <c r="D310" s="189" t="s">
        <v>123</v>
      </c>
      <c r="E310" s="192"/>
      <c r="F310" s="242"/>
      <c r="G310" s="161">
        <f>SUM(G311)</f>
        <v>0</v>
      </c>
      <c r="H310" s="22">
        <f>SUM(H311)</f>
        <v>9708.8</v>
      </c>
      <c r="I310" s="22">
        <f>SUM(H310/G316*100)</f>
        <v>51.97346937683014</v>
      </c>
    </row>
    <row r="311" spans="1:9" ht="15" hidden="1">
      <c r="A311" s="119" t="s">
        <v>120</v>
      </c>
      <c r="B311" s="196"/>
      <c r="C311" s="189" t="s">
        <v>375</v>
      </c>
      <c r="D311" s="189" t="s">
        <v>123</v>
      </c>
      <c r="E311" s="192" t="s">
        <v>121</v>
      </c>
      <c r="F311" s="242"/>
      <c r="G311" s="161">
        <f>SUM(G312)</f>
        <v>0</v>
      </c>
      <c r="H311" s="22">
        <f>SUM(H312)</f>
        <v>9708.8</v>
      </c>
      <c r="I311" s="22">
        <f>SUM(H311/G317*100)</f>
        <v>51.97346937683014</v>
      </c>
    </row>
    <row r="312" spans="1:9" ht="28.5" hidden="1">
      <c r="A312" s="200" t="s">
        <v>677</v>
      </c>
      <c r="B312" s="188"/>
      <c r="C312" s="189" t="s">
        <v>375</v>
      </c>
      <c r="D312" s="189" t="s">
        <v>123</v>
      </c>
      <c r="E312" s="192" t="s">
        <v>49</v>
      </c>
      <c r="F312" s="242"/>
      <c r="G312" s="161">
        <f>SUM(G313)</f>
        <v>0</v>
      </c>
      <c r="H312" s="22">
        <f>SUM(H313+H315)</f>
        <v>9708.8</v>
      </c>
      <c r="I312" s="22">
        <f>SUM(H312/G318*100)</f>
        <v>51.97346937683014</v>
      </c>
    </row>
    <row r="313" spans="1:9" s="112" customFormat="1" ht="28.5" hidden="1">
      <c r="A313" s="149" t="s">
        <v>512</v>
      </c>
      <c r="B313" s="188"/>
      <c r="C313" s="189" t="s">
        <v>375</v>
      </c>
      <c r="D313" s="189" t="s">
        <v>123</v>
      </c>
      <c r="E313" s="192" t="s">
        <v>49</v>
      </c>
      <c r="F313" s="242" t="s">
        <v>507</v>
      </c>
      <c r="G313" s="161"/>
      <c r="H313" s="22">
        <v>122.5</v>
      </c>
      <c r="I313" s="22">
        <f>SUM(H313/G319*100)</f>
        <v>0.6560449859418931</v>
      </c>
    </row>
    <row r="314" spans="1:9" s="112" customFormat="1" ht="15">
      <c r="A314" s="193" t="s">
        <v>232</v>
      </c>
      <c r="B314" s="194" t="s">
        <v>233</v>
      </c>
      <c r="C314" s="195"/>
      <c r="D314" s="195"/>
      <c r="E314" s="195"/>
      <c r="F314" s="244"/>
      <c r="G314" s="170">
        <f>SUM(G315+G349+G355)+G338+G342</f>
        <v>88584</v>
      </c>
      <c r="H314" s="22"/>
      <c r="I314" s="22"/>
    </row>
    <row r="315" spans="1:9" s="112" customFormat="1" ht="15">
      <c r="A315" s="187" t="s">
        <v>413</v>
      </c>
      <c r="B315" s="188"/>
      <c r="C315" s="189" t="s">
        <v>414</v>
      </c>
      <c r="D315" s="189"/>
      <c r="E315" s="189"/>
      <c r="F315" s="241"/>
      <c r="G315" s="161">
        <f>SUM(G316+G323+G326)</f>
        <v>23746.5</v>
      </c>
      <c r="H315" s="22">
        <f>SUM(H316)</f>
        <v>9586.3</v>
      </c>
      <c r="I315" s="22" t="e">
        <f aca="true" t="shared" si="5" ref="I315:I324">SUM(H315/G321*100)</f>
        <v>#DIV/0!</v>
      </c>
    </row>
    <row r="316" spans="1:9" ht="28.5">
      <c r="A316" s="187" t="s">
        <v>348</v>
      </c>
      <c r="B316" s="188"/>
      <c r="C316" s="189" t="s">
        <v>414</v>
      </c>
      <c r="D316" s="189" t="s">
        <v>349</v>
      </c>
      <c r="E316" s="189"/>
      <c r="F316" s="241"/>
      <c r="G316" s="161">
        <f>SUM(G317)</f>
        <v>18680.3</v>
      </c>
      <c r="H316" s="22">
        <v>9586.3</v>
      </c>
      <c r="I316" s="22" t="e">
        <f t="shared" si="5"/>
        <v>#DIV/0!</v>
      </c>
    </row>
    <row r="317" spans="1:9" ht="28.5">
      <c r="A317" s="187" t="s">
        <v>91</v>
      </c>
      <c r="B317" s="188"/>
      <c r="C317" s="189" t="s">
        <v>414</v>
      </c>
      <c r="D317" s="189" t="s">
        <v>349</v>
      </c>
      <c r="E317" s="189" t="s">
        <v>92</v>
      </c>
      <c r="F317" s="241"/>
      <c r="G317" s="161">
        <f>SUM(G318)+G322</f>
        <v>18680.3</v>
      </c>
      <c r="H317" s="22" t="e">
        <f>SUM(H318)</f>
        <v>#REF!</v>
      </c>
      <c r="I317" s="22" t="e">
        <f t="shared" si="5"/>
        <v>#REF!</v>
      </c>
    </row>
    <row r="318" spans="1:9" ht="17.25" customHeight="1">
      <c r="A318" s="187" t="s">
        <v>99</v>
      </c>
      <c r="B318" s="188"/>
      <c r="C318" s="189" t="s">
        <v>414</v>
      </c>
      <c r="D318" s="189" t="s">
        <v>349</v>
      </c>
      <c r="E318" s="189" t="s">
        <v>101</v>
      </c>
      <c r="F318" s="241"/>
      <c r="G318" s="161">
        <f>SUM(G319+G320)</f>
        <v>18680.3</v>
      </c>
      <c r="H318" s="22" t="e">
        <f>SUM(#REF!)</f>
        <v>#REF!</v>
      </c>
      <c r="I318" s="22" t="e">
        <f t="shared" si="5"/>
        <v>#REF!</v>
      </c>
    </row>
    <row r="319" spans="1:9" ht="28.5">
      <c r="A319" s="187" t="s">
        <v>444</v>
      </c>
      <c r="B319" s="188"/>
      <c r="C319" s="189" t="s">
        <v>100</v>
      </c>
      <c r="D319" s="189" t="s">
        <v>349</v>
      </c>
      <c r="E319" s="189" t="s">
        <v>101</v>
      </c>
      <c r="F319" s="243" t="s">
        <v>445</v>
      </c>
      <c r="G319" s="161">
        <f>16981.1+1691.4</f>
        <v>18672.5</v>
      </c>
      <c r="H319" s="22" t="e">
        <f>SUM(#REF!)</f>
        <v>#REF!</v>
      </c>
      <c r="I319" s="22" t="e">
        <f t="shared" si="5"/>
        <v>#REF!</v>
      </c>
    </row>
    <row r="320" spans="1:9" s="98" customFormat="1" ht="34.5" customHeight="1">
      <c r="A320" s="187" t="s">
        <v>697</v>
      </c>
      <c r="B320" s="188"/>
      <c r="C320" s="189" t="s">
        <v>414</v>
      </c>
      <c r="D320" s="189" t="s">
        <v>349</v>
      </c>
      <c r="E320" s="189" t="s">
        <v>101</v>
      </c>
      <c r="F320" s="241" t="s">
        <v>112</v>
      </c>
      <c r="G320" s="169">
        <v>7.8</v>
      </c>
      <c r="H320" s="87" t="e">
        <f>SUM(H321+#REF!+H416+#REF!)</f>
        <v>#REF!</v>
      </c>
      <c r="I320" s="22" t="e">
        <f t="shared" si="5"/>
        <v>#REF!</v>
      </c>
    </row>
    <row r="321" spans="1:9" s="109" customFormat="1" ht="28.5" hidden="1">
      <c r="A321" s="187" t="s">
        <v>350</v>
      </c>
      <c r="B321" s="188"/>
      <c r="C321" s="189" t="s">
        <v>100</v>
      </c>
      <c r="D321" s="189" t="s">
        <v>349</v>
      </c>
      <c r="E321" s="189" t="s">
        <v>351</v>
      </c>
      <c r="F321" s="241"/>
      <c r="G321" s="161">
        <f>SUM(G322)</f>
        <v>0</v>
      </c>
      <c r="H321" s="22" t="e">
        <f>SUM(H324+H350)+H322</f>
        <v>#REF!</v>
      </c>
      <c r="I321" s="22" t="e">
        <f t="shared" si="5"/>
        <v>#REF!</v>
      </c>
    </row>
    <row r="322" spans="1:9" ht="28.5" hidden="1">
      <c r="A322" s="187" t="s">
        <v>444</v>
      </c>
      <c r="B322" s="188"/>
      <c r="C322" s="189" t="s">
        <v>100</v>
      </c>
      <c r="D322" s="189" t="s">
        <v>349</v>
      </c>
      <c r="E322" s="189" t="s">
        <v>351</v>
      </c>
      <c r="F322" s="243" t="s">
        <v>445</v>
      </c>
      <c r="G322" s="161"/>
      <c r="H322" s="22">
        <f>SUM(H323)</f>
        <v>5048</v>
      </c>
      <c r="I322" s="22">
        <f t="shared" si="5"/>
        <v>2464.84375</v>
      </c>
    </row>
    <row r="323" spans="1:9" ht="15">
      <c r="A323" s="187" t="s">
        <v>363</v>
      </c>
      <c r="B323" s="188"/>
      <c r="C323" s="189" t="s">
        <v>414</v>
      </c>
      <c r="D323" s="189" t="s">
        <v>375</v>
      </c>
      <c r="E323" s="189"/>
      <c r="F323" s="241"/>
      <c r="G323" s="161">
        <f>SUM(G324)</f>
        <v>145.9000000000001</v>
      </c>
      <c r="H323" s="22">
        <v>5048</v>
      </c>
      <c r="I323" s="22">
        <f t="shared" si="5"/>
        <v>2495.304003954523</v>
      </c>
    </row>
    <row r="324" spans="1:9" ht="15">
      <c r="A324" s="187" t="s">
        <v>345</v>
      </c>
      <c r="B324" s="188"/>
      <c r="C324" s="189" t="s">
        <v>414</v>
      </c>
      <c r="D324" s="189" t="s">
        <v>375</v>
      </c>
      <c r="E324" s="189" t="s">
        <v>456</v>
      </c>
      <c r="F324" s="241"/>
      <c r="G324" s="161">
        <f>SUM(G325)</f>
        <v>145.9000000000001</v>
      </c>
      <c r="H324" s="22" t="e">
        <f>SUM(H325)+#REF!+H349</f>
        <v>#REF!</v>
      </c>
      <c r="I324" s="22" t="e">
        <f t="shared" si="5"/>
        <v>#REF!</v>
      </c>
    </row>
    <row r="325" spans="1:9" ht="15">
      <c r="A325" s="187" t="s">
        <v>450</v>
      </c>
      <c r="B325" s="188"/>
      <c r="C325" s="189" t="s">
        <v>414</v>
      </c>
      <c r="D325" s="189" t="s">
        <v>375</v>
      </c>
      <c r="E325" s="189" t="s">
        <v>456</v>
      </c>
      <c r="F325" s="241" t="s">
        <v>160</v>
      </c>
      <c r="G325" s="161">
        <f>4592-3946.1-500</f>
        <v>145.9000000000001</v>
      </c>
      <c r="H325" s="22"/>
      <c r="I325" s="22"/>
    </row>
    <row r="326" spans="1:9" ht="15">
      <c r="A326" s="187" t="s">
        <v>104</v>
      </c>
      <c r="B326" s="188"/>
      <c r="C326" s="189" t="s">
        <v>414</v>
      </c>
      <c r="D326" s="189" t="s">
        <v>212</v>
      </c>
      <c r="E326" s="189"/>
      <c r="F326" s="242"/>
      <c r="G326" s="161">
        <f>SUM(G327)</f>
        <v>4920.299999999999</v>
      </c>
      <c r="H326" s="22">
        <f>SUM(H327)</f>
        <v>0</v>
      </c>
      <c r="I326" s="22">
        <f>SUM(H326/G332*100)</f>
        <v>0</v>
      </c>
    </row>
    <row r="327" spans="1:9" ht="28.5">
      <c r="A327" s="187" t="s">
        <v>446</v>
      </c>
      <c r="B327" s="188"/>
      <c r="C327" s="189" t="s">
        <v>414</v>
      </c>
      <c r="D327" s="189" t="s">
        <v>212</v>
      </c>
      <c r="E327" s="189" t="s">
        <v>447</v>
      </c>
      <c r="F327" s="242"/>
      <c r="G327" s="169">
        <f>SUM(G328+G331+G333)</f>
        <v>4920.299999999999</v>
      </c>
      <c r="H327" s="22"/>
      <c r="I327" s="22"/>
    </row>
    <row r="328" spans="1:9" ht="15">
      <c r="A328" s="187" t="s">
        <v>437</v>
      </c>
      <c r="B328" s="188"/>
      <c r="C328" s="189" t="s">
        <v>414</v>
      </c>
      <c r="D328" s="189" t="s">
        <v>212</v>
      </c>
      <c r="E328" s="189" t="s">
        <v>448</v>
      </c>
      <c r="F328" s="241"/>
      <c r="G328" s="169">
        <f>SUM(G329:G330)</f>
        <v>204.8</v>
      </c>
      <c r="H328" s="22" t="e">
        <f>SUM(H329+#REF!)</f>
        <v>#REF!</v>
      </c>
      <c r="I328" s="22" t="e">
        <f>SUM(H328/G334*100)</f>
        <v>#REF!</v>
      </c>
    </row>
    <row r="329" spans="1:9" ht="28.5">
      <c r="A329" s="187" t="s">
        <v>697</v>
      </c>
      <c r="B329" s="188"/>
      <c r="C329" s="189" t="s">
        <v>414</v>
      </c>
      <c r="D329" s="189" t="s">
        <v>212</v>
      </c>
      <c r="E329" s="189" t="s">
        <v>448</v>
      </c>
      <c r="F329" s="241" t="s">
        <v>112</v>
      </c>
      <c r="G329" s="169">
        <v>202.3</v>
      </c>
      <c r="H329" s="22" t="e">
        <f>SUM(#REF!+H334+#REF!)</f>
        <v>#REF!</v>
      </c>
      <c r="I329" s="22" t="e">
        <f>SUM(H329/G335*100)</f>
        <v>#REF!</v>
      </c>
    </row>
    <row r="330" spans="1:9" ht="15">
      <c r="A330" s="187" t="s">
        <v>450</v>
      </c>
      <c r="B330" s="188"/>
      <c r="C330" s="189" t="s">
        <v>414</v>
      </c>
      <c r="D330" s="189" t="s">
        <v>212</v>
      </c>
      <c r="E330" s="189" t="s">
        <v>448</v>
      </c>
      <c r="F330" s="241" t="s">
        <v>160</v>
      </c>
      <c r="G330" s="169">
        <v>2.5</v>
      </c>
      <c r="H330" s="22"/>
      <c r="I330" s="22"/>
    </row>
    <row r="331" spans="1:9" s="113" customFormat="1" ht="28.5">
      <c r="A331" s="187" t="s">
        <v>438</v>
      </c>
      <c r="B331" s="188"/>
      <c r="C331" s="189" t="s">
        <v>414</v>
      </c>
      <c r="D331" s="189" t="s">
        <v>212</v>
      </c>
      <c r="E331" s="189" t="s">
        <v>451</v>
      </c>
      <c r="F331" s="241"/>
      <c r="G331" s="169">
        <f>SUM(G332:G332)</f>
        <v>204.6</v>
      </c>
      <c r="H331" s="22" t="e">
        <f>SUM(#REF!+H334+#REF!+#REF!+#REF!)</f>
        <v>#REF!</v>
      </c>
      <c r="I331" s="22" t="e">
        <f>SUM(H331/G349*100)</f>
        <v>#REF!</v>
      </c>
    </row>
    <row r="332" spans="1:9" ht="28.5">
      <c r="A332" s="187" t="s">
        <v>697</v>
      </c>
      <c r="B332" s="188"/>
      <c r="C332" s="189" t="s">
        <v>414</v>
      </c>
      <c r="D332" s="189" t="s">
        <v>212</v>
      </c>
      <c r="E332" s="189" t="s">
        <v>451</v>
      </c>
      <c r="F332" s="241" t="s">
        <v>112</v>
      </c>
      <c r="G332" s="169">
        <v>204.6</v>
      </c>
      <c r="H332" s="22" t="e">
        <f>SUM(#REF!)</f>
        <v>#REF!</v>
      </c>
      <c r="I332" s="22" t="e">
        <f aca="true" t="shared" si="6" ref="I332:I337">SUM(H332/G353*100)</f>
        <v>#REF!</v>
      </c>
    </row>
    <row r="333" spans="1:9" ht="28.5">
      <c r="A333" s="152" t="s">
        <v>452</v>
      </c>
      <c r="B333" s="188"/>
      <c r="C333" s="189" t="s">
        <v>414</v>
      </c>
      <c r="D333" s="189" t="s">
        <v>212</v>
      </c>
      <c r="E333" s="189" t="s">
        <v>453</v>
      </c>
      <c r="F333" s="243"/>
      <c r="G333" s="169">
        <f>SUM(G334+G335+G337)</f>
        <v>4510.9</v>
      </c>
      <c r="H333" s="22"/>
      <c r="I333" s="22">
        <f t="shared" si="6"/>
        <v>0</v>
      </c>
    </row>
    <row r="334" spans="1:9" ht="28.5">
      <c r="A334" s="187" t="s">
        <v>697</v>
      </c>
      <c r="B334" s="188"/>
      <c r="C334" s="189" t="s">
        <v>414</v>
      </c>
      <c r="D334" s="189" t="s">
        <v>212</v>
      </c>
      <c r="E334" s="189" t="s">
        <v>453</v>
      </c>
      <c r="F334" s="243" t="s">
        <v>112</v>
      </c>
      <c r="G334" s="161">
        <v>4510.9</v>
      </c>
      <c r="H334" s="22">
        <f>SUM(H335)</f>
        <v>0</v>
      </c>
      <c r="I334" s="22">
        <f t="shared" si="6"/>
        <v>0</v>
      </c>
    </row>
    <row r="335" spans="1:9" ht="0.75" customHeight="1" hidden="1">
      <c r="A335" s="187" t="s">
        <v>450</v>
      </c>
      <c r="B335" s="188"/>
      <c r="C335" s="189" t="s">
        <v>414</v>
      </c>
      <c r="D335" s="189" t="s">
        <v>212</v>
      </c>
      <c r="E335" s="189" t="s">
        <v>453</v>
      </c>
      <c r="F335" s="243" t="s">
        <v>160</v>
      </c>
      <c r="G335" s="161"/>
      <c r="H335" s="22">
        <f>SUM(H336)</f>
        <v>0</v>
      </c>
      <c r="I335" s="22">
        <f t="shared" si="6"/>
        <v>0</v>
      </c>
    </row>
    <row r="336" spans="1:9" ht="15" hidden="1">
      <c r="A336" s="152" t="s">
        <v>459</v>
      </c>
      <c r="B336" s="188"/>
      <c r="C336" s="189" t="s">
        <v>414</v>
      </c>
      <c r="D336" s="189" t="s">
        <v>212</v>
      </c>
      <c r="E336" s="189" t="s">
        <v>460</v>
      </c>
      <c r="F336" s="241"/>
      <c r="G336" s="161">
        <f>SUM(G337)</f>
        <v>0</v>
      </c>
      <c r="H336" s="22">
        <f>SUM(H337)</f>
        <v>0</v>
      </c>
      <c r="I336" s="22">
        <f t="shared" si="6"/>
        <v>0</v>
      </c>
    </row>
    <row r="337" spans="1:9" ht="15" hidden="1">
      <c r="A337" s="187" t="s">
        <v>450</v>
      </c>
      <c r="B337" s="188"/>
      <c r="C337" s="189" t="s">
        <v>414</v>
      </c>
      <c r="D337" s="189" t="s">
        <v>212</v>
      </c>
      <c r="E337" s="189" t="s">
        <v>460</v>
      </c>
      <c r="F337" s="241" t="s">
        <v>160</v>
      </c>
      <c r="G337" s="161"/>
      <c r="H337" s="22">
        <f>SUM(H349)</f>
        <v>0</v>
      </c>
      <c r="I337" s="22">
        <f t="shared" si="6"/>
        <v>0</v>
      </c>
    </row>
    <row r="338" spans="1:9" ht="15" hidden="1">
      <c r="A338" s="187" t="s">
        <v>113</v>
      </c>
      <c r="B338" s="188"/>
      <c r="C338" s="220" t="s">
        <v>114</v>
      </c>
      <c r="D338" s="189"/>
      <c r="E338" s="189"/>
      <c r="F338" s="241"/>
      <c r="G338" s="161">
        <f>SUM(G339)</f>
        <v>0</v>
      </c>
      <c r="H338" s="22">
        <v>50612.1</v>
      </c>
      <c r="I338" s="22" t="e">
        <f>SUM(H338/#REF!*100)</f>
        <v>#REF!</v>
      </c>
    </row>
    <row r="339" spans="1:9" ht="15" hidden="1">
      <c r="A339" s="149" t="s">
        <v>115</v>
      </c>
      <c r="B339" s="221"/>
      <c r="C339" s="220" t="s">
        <v>114</v>
      </c>
      <c r="D339" s="220" t="s">
        <v>116</v>
      </c>
      <c r="E339" s="189"/>
      <c r="F339" s="242"/>
      <c r="G339" s="161">
        <f>SUM(G340)</f>
        <v>0</v>
      </c>
      <c r="H339" s="22">
        <v>5387.8</v>
      </c>
      <c r="I339" s="22" t="e">
        <f>SUM(H339/#REF!*100)</f>
        <v>#REF!</v>
      </c>
    </row>
    <row r="340" spans="1:9" ht="15" hidden="1">
      <c r="A340" s="152" t="s">
        <v>582</v>
      </c>
      <c r="B340" s="188"/>
      <c r="C340" s="220" t="s">
        <v>114</v>
      </c>
      <c r="D340" s="220" t="s">
        <v>364</v>
      </c>
      <c r="E340" s="189" t="s">
        <v>460</v>
      </c>
      <c r="F340" s="241"/>
      <c r="G340" s="161">
        <f>SUM(G341)</f>
        <v>0</v>
      </c>
      <c r="H340" s="22"/>
      <c r="I340" s="22"/>
    </row>
    <row r="341" spans="1:9" ht="14.25" customHeight="1" hidden="1">
      <c r="A341" s="187" t="s">
        <v>450</v>
      </c>
      <c r="B341" s="188"/>
      <c r="C341" s="220" t="s">
        <v>114</v>
      </c>
      <c r="D341" s="220" t="s">
        <v>364</v>
      </c>
      <c r="E341" s="189" t="s">
        <v>460</v>
      </c>
      <c r="F341" s="241" t="s">
        <v>160</v>
      </c>
      <c r="G341" s="161"/>
      <c r="H341" s="22"/>
      <c r="I341" s="22"/>
    </row>
    <row r="342" spans="1:9" ht="15" hidden="1">
      <c r="A342" s="149" t="s">
        <v>380</v>
      </c>
      <c r="B342" s="196"/>
      <c r="C342" s="192" t="s">
        <v>123</v>
      </c>
      <c r="D342" s="192"/>
      <c r="E342" s="192"/>
      <c r="F342" s="243"/>
      <c r="G342" s="174">
        <f>SUM(G343)+G346</f>
        <v>0</v>
      </c>
      <c r="H342" s="22"/>
      <c r="I342" s="22"/>
    </row>
    <row r="343" spans="1:9" ht="15" hidden="1">
      <c r="A343" s="149" t="s">
        <v>50</v>
      </c>
      <c r="B343" s="221"/>
      <c r="C343" s="220" t="s">
        <v>123</v>
      </c>
      <c r="D343" s="220" t="s">
        <v>416</v>
      </c>
      <c r="E343" s="220"/>
      <c r="F343" s="247"/>
      <c r="G343" s="171">
        <f>G344</f>
        <v>0</v>
      </c>
      <c r="H343" s="22">
        <v>9483.6</v>
      </c>
      <c r="I343" s="22">
        <f>SUM(H343/G353*100)</f>
        <v>54.70813214959417</v>
      </c>
    </row>
    <row r="344" spans="1:9" ht="15" hidden="1">
      <c r="A344" s="152" t="s">
        <v>459</v>
      </c>
      <c r="B344" s="188"/>
      <c r="C344" s="220" t="s">
        <v>123</v>
      </c>
      <c r="D344" s="220" t="s">
        <v>416</v>
      </c>
      <c r="E344" s="189" t="s">
        <v>460</v>
      </c>
      <c r="F344" s="241"/>
      <c r="G344" s="171">
        <f>G345</f>
        <v>0</v>
      </c>
      <c r="H344" s="22"/>
      <c r="I344" s="22"/>
    </row>
    <row r="345" spans="1:9" ht="15" hidden="1">
      <c r="A345" s="187" t="s">
        <v>450</v>
      </c>
      <c r="B345" s="188"/>
      <c r="C345" s="220" t="s">
        <v>123</v>
      </c>
      <c r="D345" s="220" t="s">
        <v>416</v>
      </c>
      <c r="E345" s="189" t="s">
        <v>460</v>
      </c>
      <c r="F345" s="241" t="s">
        <v>160</v>
      </c>
      <c r="G345" s="161"/>
      <c r="H345" s="22"/>
      <c r="I345" s="22"/>
    </row>
    <row r="346" spans="1:9" ht="15" hidden="1">
      <c r="A346" s="149" t="s">
        <v>59</v>
      </c>
      <c r="B346" s="196"/>
      <c r="C346" s="220" t="s">
        <v>123</v>
      </c>
      <c r="D346" s="220" t="s">
        <v>123</v>
      </c>
      <c r="E346" s="192"/>
      <c r="F346" s="242"/>
      <c r="G346" s="171">
        <f>G347</f>
        <v>0</v>
      </c>
      <c r="H346" s="22"/>
      <c r="I346" s="22"/>
    </row>
    <row r="347" spans="1:9" ht="15" hidden="1">
      <c r="A347" s="152" t="s">
        <v>459</v>
      </c>
      <c r="B347" s="188"/>
      <c r="C347" s="220" t="s">
        <v>123</v>
      </c>
      <c r="D347" s="220" t="s">
        <v>123</v>
      </c>
      <c r="E347" s="189" t="s">
        <v>460</v>
      </c>
      <c r="F347" s="241"/>
      <c r="G347" s="171">
        <f>G348</f>
        <v>0</v>
      </c>
      <c r="H347" s="22"/>
      <c r="I347" s="22"/>
    </row>
    <row r="348" spans="1:9" ht="15" hidden="1">
      <c r="A348" s="187" t="s">
        <v>450</v>
      </c>
      <c r="B348" s="188"/>
      <c r="C348" s="220" t="s">
        <v>123</v>
      </c>
      <c r="D348" s="220" t="s">
        <v>123</v>
      </c>
      <c r="E348" s="189" t="s">
        <v>460</v>
      </c>
      <c r="F348" s="241" t="s">
        <v>160</v>
      </c>
      <c r="G348" s="161"/>
      <c r="H348" s="22"/>
      <c r="I348" s="22"/>
    </row>
    <row r="349" spans="1:9" ht="15">
      <c r="A349" s="187" t="s">
        <v>167</v>
      </c>
      <c r="B349" s="188"/>
      <c r="C349" s="189" t="s">
        <v>5</v>
      </c>
      <c r="D349" s="189" t="s">
        <v>168</v>
      </c>
      <c r="E349" s="189"/>
      <c r="F349" s="241"/>
      <c r="G349" s="161">
        <f>SUM(G350)</f>
        <v>17334.9</v>
      </c>
      <c r="H349" s="22">
        <f>SUM(H350)</f>
        <v>0</v>
      </c>
      <c r="I349" s="22">
        <f>SUM(H349/G359*100)</f>
        <v>0</v>
      </c>
    </row>
    <row r="350" spans="1:9" ht="15">
      <c r="A350" s="187" t="s">
        <v>151</v>
      </c>
      <c r="B350" s="188"/>
      <c r="C350" s="189" t="s">
        <v>5</v>
      </c>
      <c r="D350" s="189" t="s">
        <v>349</v>
      </c>
      <c r="E350" s="189"/>
      <c r="F350" s="241"/>
      <c r="G350" s="161">
        <f>SUM(G353)+G351</f>
        <v>17334.9</v>
      </c>
      <c r="H350" s="22"/>
      <c r="I350" s="22" t="e">
        <f>SUM(H350/#REF!*100)</f>
        <v>#REF!</v>
      </c>
    </row>
    <row r="351" spans="1:9" ht="15" hidden="1">
      <c r="A351" s="152" t="s">
        <v>582</v>
      </c>
      <c r="B351" s="188"/>
      <c r="C351" s="189" t="s">
        <v>5</v>
      </c>
      <c r="D351" s="189" t="s">
        <v>349</v>
      </c>
      <c r="E351" s="189" t="s">
        <v>460</v>
      </c>
      <c r="F351" s="241"/>
      <c r="G351" s="161">
        <f>SUM(G352)</f>
        <v>0</v>
      </c>
      <c r="H351" s="22"/>
      <c r="I351" s="22"/>
    </row>
    <row r="352" spans="1:9" ht="15" hidden="1">
      <c r="A352" s="187" t="s">
        <v>450</v>
      </c>
      <c r="B352" s="188"/>
      <c r="C352" s="189" t="s">
        <v>5</v>
      </c>
      <c r="D352" s="189" t="s">
        <v>349</v>
      </c>
      <c r="E352" s="189" t="s">
        <v>460</v>
      </c>
      <c r="F352" s="241" t="s">
        <v>160</v>
      </c>
      <c r="G352" s="161"/>
      <c r="H352" s="22"/>
      <c r="I352" s="22"/>
    </row>
    <row r="353" spans="1:9" ht="28.5">
      <c r="A353" s="152" t="s">
        <v>551</v>
      </c>
      <c r="B353" s="188"/>
      <c r="C353" s="189" t="s">
        <v>5</v>
      </c>
      <c r="D353" s="189" t="s">
        <v>349</v>
      </c>
      <c r="E353" s="189" t="s">
        <v>550</v>
      </c>
      <c r="F353" s="241"/>
      <c r="G353" s="161">
        <f>SUM(G354)</f>
        <v>17334.9</v>
      </c>
      <c r="H353" s="85" t="e">
        <f>SUM(#REF!+#REF!)+#REF!+#REF!</f>
        <v>#REF!</v>
      </c>
      <c r="I353" s="85" t="e">
        <f>SUM(H353/G360*100)</f>
        <v>#REF!</v>
      </c>
    </row>
    <row r="354" spans="1:9" ht="15">
      <c r="A354" s="187" t="s">
        <v>450</v>
      </c>
      <c r="B354" s="188"/>
      <c r="C354" s="189" t="s">
        <v>5</v>
      </c>
      <c r="D354" s="189" t="s">
        <v>349</v>
      </c>
      <c r="E354" s="189" t="s">
        <v>550</v>
      </c>
      <c r="F354" s="241" t="s">
        <v>160</v>
      </c>
      <c r="G354" s="161">
        <f>264.8+23371-1500-900-900-600-383.7-182.6-1518-316.6</f>
        <v>17334.9</v>
      </c>
      <c r="H354" s="22" t="e">
        <f>SUM(H355)</f>
        <v>#REF!</v>
      </c>
      <c r="I354" s="22" t="e">
        <f>SUM(H354/#REF!*100)</f>
        <v>#REF!</v>
      </c>
    </row>
    <row r="355" spans="1:9" ht="15">
      <c r="A355" s="187" t="s">
        <v>358</v>
      </c>
      <c r="B355" s="188"/>
      <c r="C355" s="189" t="s">
        <v>212</v>
      </c>
      <c r="D355" s="189" t="s">
        <v>168</v>
      </c>
      <c r="E355" s="189"/>
      <c r="F355" s="241"/>
      <c r="G355" s="161">
        <f>SUM(G356)</f>
        <v>47502.6</v>
      </c>
      <c r="H355" s="22" t="e">
        <f>SUM(H356+H358)</f>
        <v>#REF!</v>
      </c>
      <c r="I355" s="22" t="e">
        <f>SUM(H355/#REF!*100)</f>
        <v>#REF!</v>
      </c>
    </row>
    <row r="356" spans="1:9" ht="15">
      <c r="A356" s="187" t="s">
        <v>213</v>
      </c>
      <c r="B356" s="188"/>
      <c r="C356" s="189" t="s">
        <v>212</v>
      </c>
      <c r="D356" s="189" t="s">
        <v>414</v>
      </c>
      <c r="E356" s="189"/>
      <c r="F356" s="241"/>
      <c r="G356" s="161">
        <f>SUM(G357)</f>
        <v>47502.6</v>
      </c>
      <c r="H356" s="22">
        <f>SUM(H357)</f>
        <v>8068.7</v>
      </c>
      <c r="I356" s="22" t="e">
        <f>SUM(H356/#REF!*100)</f>
        <v>#REF!</v>
      </c>
    </row>
    <row r="357" spans="1:9" ht="15">
      <c r="A357" s="187" t="s">
        <v>359</v>
      </c>
      <c r="B357" s="188"/>
      <c r="C357" s="189" t="s">
        <v>212</v>
      </c>
      <c r="D357" s="189" t="s">
        <v>414</v>
      </c>
      <c r="E357" s="189" t="s">
        <v>360</v>
      </c>
      <c r="F357" s="243"/>
      <c r="G357" s="161">
        <f>SUM(G359)</f>
        <v>47502.6</v>
      </c>
      <c r="H357" s="22">
        <v>8068.7</v>
      </c>
      <c r="I357" s="22" t="e">
        <f>SUM(H357/#REF!*100)</f>
        <v>#REF!</v>
      </c>
    </row>
    <row r="358" spans="1:9" ht="15">
      <c r="A358" s="187" t="s">
        <v>361</v>
      </c>
      <c r="B358" s="188"/>
      <c r="C358" s="189" t="s">
        <v>212</v>
      </c>
      <c r="D358" s="189" t="s">
        <v>414</v>
      </c>
      <c r="E358" s="189" t="s">
        <v>362</v>
      </c>
      <c r="F358" s="243"/>
      <c r="G358" s="161">
        <f>SUM(G359)</f>
        <v>47502.6</v>
      </c>
      <c r="H358" s="22" t="e">
        <f>SUM(H359)+#REF!+#REF!</f>
        <v>#REF!</v>
      </c>
      <c r="I358" s="22" t="e">
        <f>SUM(H358/#REF!*100)</f>
        <v>#REF!</v>
      </c>
    </row>
    <row r="359" spans="1:9" ht="15">
      <c r="A359" s="187" t="s">
        <v>457</v>
      </c>
      <c r="B359" s="188"/>
      <c r="C359" s="189" t="s">
        <v>212</v>
      </c>
      <c r="D359" s="189" t="s">
        <v>414</v>
      </c>
      <c r="E359" s="189" t="s">
        <v>362</v>
      </c>
      <c r="F359" s="243" t="s">
        <v>159</v>
      </c>
      <c r="G359" s="161">
        <f>38000+9502.6</f>
        <v>47502.6</v>
      </c>
      <c r="H359" s="22" t="e">
        <f>SUM(H360+#REF!)</f>
        <v>#REF!</v>
      </c>
      <c r="I359" s="22" t="e">
        <f>SUM(H359/#REF!*100)</f>
        <v>#REF!</v>
      </c>
    </row>
    <row r="360" spans="1:9" ht="30">
      <c r="A360" s="193" t="s">
        <v>234</v>
      </c>
      <c r="B360" s="194" t="s">
        <v>235</v>
      </c>
      <c r="C360" s="195"/>
      <c r="D360" s="195"/>
      <c r="E360" s="195"/>
      <c r="F360" s="244"/>
      <c r="G360" s="170">
        <f>SUM(G361+G372+G401)</f>
        <v>925161</v>
      </c>
      <c r="H360" s="22" t="e">
        <f>SUM(H361:H361+#REF!+#REF!+#REF!)+#REF!</f>
        <v>#REF!</v>
      </c>
      <c r="I360" s="22" t="e">
        <f>SUM(H360/#REF!*100)</f>
        <v>#REF!</v>
      </c>
    </row>
    <row r="361" spans="1:9" ht="15">
      <c r="A361" s="187" t="s">
        <v>113</v>
      </c>
      <c r="B361" s="188"/>
      <c r="C361" s="220" t="s">
        <v>114</v>
      </c>
      <c r="D361" s="189"/>
      <c r="E361" s="189"/>
      <c r="F361" s="241"/>
      <c r="G361" s="161">
        <f>SUM(G367)+G363</f>
        <v>7339.7</v>
      </c>
      <c r="H361" s="22">
        <v>50612.1</v>
      </c>
      <c r="I361" s="22" t="e">
        <f>SUM(H361/#REF!*100)</f>
        <v>#REF!</v>
      </c>
    </row>
    <row r="362" spans="1:9" ht="15">
      <c r="A362" s="149" t="s">
        <v>115</v>
      </c>
      <c r="B362" s="221"/>
      <c r="C362" s="220" t="s">
        <v>114</v>
      </c>
      <c r="D362" s="220" t="s">
        <v>116</v>
      </c>
      <c r="E362" s="220"/>
      <c r="F362" s="247"/>
      <c r="G362" s="171">
        <f>G363</f>
        <v>1062.5</v>
      </c>
      <c r="H362" s="22"/>
      <c r="I362" s="22"/>
    </row>
    <row r="363" spans="1:9" ht="15">
      <c r="A363" s="149" t="s">
        <v>488</v>
      </c>
      <c r="B363" s="221"/>
      <c r="C363" s="220" t="s">
        <v>114</v>
      </c>
      <c r="D363" s="220" t="s">
        <v>116</v>
      </c>
      <c r="E363" s="220" t="s">
        <v>489</v>
      </c>
      <c r="F363" s="247"/>
      <c r="G363" s="171">
        <f>G364</f>
        <v>1062.5</v>
      </c>
      <c r="H363" s="22"/>
      <c r="I363" s="22"/>
    </row>
    <row r="364" spans="1:9" ht="15">
      <c r="A364" s="149" t="s">
        <v>490</v>
      </c>
      <c r="B364" s="221"/>
      <c r="C364" s="220" t="s">
        <v>114</v>
      </c>
      <c r="D364" s="220" t="s">
        <v>116</v>
      </c>
      <c r="E364" s="220" t="s">
        <v>491</v>
      </c>
      <c r="F364" s="247"/>
      <c r="G364" s="171">
        <f>G365</f>
        <v>1062.5</v>
      </c>
      <c r="H364" s="22"/>
      <c r="I364" s="22"/>
    </row>
    <row r="365" spans="1:9" ht="15">
      <c r="A365" s="149" t="s">
        <v>6</v>
      </c>
      <c r="B365" s="221"/>
      <c r="C365" s="220" t="s">
        <v>114</v>
      </c>
      <c r="D365" s="220" t="s">
        <v>116</v>
      </c>
      <c r="E365" s="220" t="s">
        <v>492</v>
      </c>
      <c r="F365" s="247"/>
      <c r="G365" s="171">
        <f>SUM(G366)</f>
        <v>1062.5</v>
      </c>
      <c r="H365" s="22"/>
      <c r="I365" s="22"/>
    </row>
    <row r="366" spans="1:9" ht="15">
      <c r="A366" s="149" t="s">
        <v>450</v>
      </c>
      <c r="B366" s="221"/>
      <c r="C366" s="220" t="s">
        <v>114</v>
      </c>
      <c r="D366" s="220" t="s">
        <v>116</v>
      </c>
      <c r="E366" s="220" t="s">
        <v>492</v>
      </c>
      <c r="F366" s="247" t="s">
        <v>160</v>
      </c>
      <c r="G366" s="171">
        <v>1062.5</v>
      </c>
      <c r="H366" s="22"/>
      <c r="I366" s="22"/>
    </row>
    <row r="367" spans="1:9" ht="15">
      <c r="A367" s="149" t="s">
        <v>374</v>
      </c>
      <c r="B367" s="221"/>
      <c r="C367" s="220" t="s">
        <v>114</v>
      </c>
      <c r="D367" s="220" t="s">
        <v>364</v>
      </c>
      <c r="E367" s="189"/>
      <c r="F367" s="242"/>
      <c r="G367" s="161">
        <f>SUM(G368)</f>
        <v>6277.2</v>
      </c>
      <c r="H367" s="22">
        <v>5387.8</v>
      </c>
      <c r="I367" s="22" t="e">
        <f>SUM(H367/#REF!*100)</f>
        <v>#REF!</v>
      </c>
    </row>
    <row r="368" spans="1:9" ht="15">
      <c r="A368" s="149" t="s">
        <v>376</v>
      </c>
      <c r="B368" s="188"/>
      <c r="C368" s="220" t="s">
        <v>114</v>
      </c>
      <c r="D368" s="220" t="s">
        <v>364</v>
      </c>
      <c r="E368" s="192" t="s">
        <v>377</v>
      </c>
      <c r="F368" s="242"/>
      <c r="G368" s="161">
        <f>SUM(G369)</f>
        <v>6277.2</v>
      </c>
      <c r="H368" s="22" t="e">
        <f>SUM(H369)</f>
        <v>#REF!</v>
      </c>
      <c r="I368" s="22" t="e">
        <f>SUM(H368/#REF!*100)</f>
        <v>#REF!</v>
      </c>
    </row>
    <row r="369" spans="1:9" ht="15">
      <c r="A369" s="149" t="s">
        <v>14</v>
      </c>
      <c r="B369" s="221"/>
      <c r="C369" s="220" t="s">
        <v>114</v>
      </c>
      <c r="D369" s="220" t="s">
        <v>364</v>
      </c>
      <c r="E369" s="220" t="s">
        <v>548</v>
      </c>
      <c r="F369" s="247"/>
      <c r="G369" s="171">
        <f>SUM(G370)</f>
        <v>6277.2</v>
      </c>
      <c r="H369" s="22" t="e">
        <f>SUM(H370)</f>
        <v>#REF!</v>
      </c>
      <c r="I369" s="22" t="e">
        <f>SUM(H369/#REF!*100)</f>
        <v>#REF!</v>
      </c>
    </row>
    <row r="370" spans="1:9" ht="28.5">
      <c r="A370" s="149" t="s">
        <v>183</v>
      </c>
      <c r="B370" s="221"/>
      <c r="C370" s="220" t="s">
        <v>114</v>
      </c>
      <c r="D370" s="220" t="s">
        <v>364</v>
      </c>
      <c r="E370" s="220" t="s">
        <v>549</v>
      </c>
      <c r="F370" s="247"/>
      <c r="G370" s="171">
        <f>G371</f>
        <v>6277.2</v>
      </c>
      <c r="H370" s="22" t="e">
        <f>SUM(#REF!+#REF!)</f>
        <v>#REF!</v>
      </c>
      <c r="I370" s="22" t="e">
        <f>SUM(H370/#REF!*100)</f>
        <v>#REF!</v>
      </c>
    </row>
    <row r="371" spans="1:9" ht="28.5">
      <c r="A371" s="149" t="s">
        <v>470</v>
      </c>
      <c r="B371" s="221"/>
      <c r="C371" s="220" t="s">
        <v>114</v>
      </c>
      <c r="D371" s="220" t="s">
        <v>364</v>
      </c>
      <c r="E371" s="220" t="s">
        <v>549</v>
      </c>
      <c r="F371" s="247" t="s">
        <v>461</v>
      </c>
      <c r="G371" s="171">
        <v>6277.2</v>
      </c>
      <c r="H371" s="22">
        <v>1711.3</v>
      </c>
      <c r="I371" s="22" t="e">
        <f>SUM(H371/#REF!*100)</f>
        <v>#REF!</v>
      </c>
    </row>
    <row r="372" spans="1:9" ht="15">
      <c r="A372" s="187" t="s">
        <v>108</v>
      </c>
      <c r="B372" s="188"/>
      <c r="C372" s="189" t="s">
        <v>109</v>
      </c>
      <c r="D372" s="189"/>
      <c r="E372" s="189"/>
      <c r="F372" s="241"/>
      <c r="G372" s="161">
        <f>SUM(G373+G393)</f>
        <v>61578.4</v>
      </c>
      <c r="H372" s="22">
        <v>53118.9</v>
      </c>
      <c r="I372" s="22" t="e">
        <f>SUM(H372/G379*100)</f>
        <v>#DIV/0!</v>
      </c>
    </row>
    <row r="373" spans="1:9" ht="18" customHeight="1">
      <c r="A373" s="187" t="s">
        <v>302</v>
      </c>
      <c r="B373" s="188"/>
      <c r="C373" s="192" t="s">
        <v>109</v>
      </c>
      <c r="D373" s="192" t="s">
        <v>416</v>
      </c>
      <c r="E373" s="189"/>
      <c r="F373" s="241"/>
      <c r="G373" s="161">
        <f>SUM(G374+G377+G380+G390)</f>
        <v>61578.4</v>
      </c>
      <c r="H373" s="22">
        <v>27.5</v>
      </c>
      <c r="I373" s="22" t="e">
        <f>SUM(H373/G384*100)</f>
        <v>#DIV/0!</v>
      </c>
    </row>
    <row r="374" spans="1:9" ht="15" hidden="1">
      <c r="A374" s="187" t="s">
        <v>303</v>
      </c>
      <c r="B374" s="194"/>
      <c r="C374" s="192" t="s">
        <v>109</v>
      </c>
      <c r="D374" s="192" t="s">
        <v>416</v>
      </c>
      <c r="E374" s="192" t="s">
        <v>304</v>
      </c>
      <c r="F374" s="242"/>
      <c r="G374" s="161">
        <f>SUM(G375)</f>
        <v>0</v>
      </c>
      <c r="H374" s="22">
        <f>SUM(H375)</f>
        <v>25635</v>
      </c>
      <c r="I374" s="22">
        <f>SUM(H374/G385*100)</f>
        <v>41.629857222662494</v>
      </c>
    </row>
    <row r="375" spans="1:9" ht="28.5" hidden="1">
      <c r="A375" s="187" t="s">
        <v>51</v>
      </c>
      <c r="B375" s="194"/>
      <c r="C375" s="192" t="s">
        <v>109</v>
      </c>
      <c r="D375" s="192" t="s">
        <v>416</v>
      </c>
      <c r="E375" s="192" t="s">
        <v>305</v>
      </c>
      <c r="F375" s="242"/>
      <c r="G375" s="161">
        <f>SUM(G376)</f>
        <v>0</v>
      </c>
      <c r="H375" s="22">
        <v>25635</v>
      </c>
      <c r="I375" s="22">
        <f>SUM(H375/G386*100)</f>
        <v>59.0822034308472</v>
      </c>
    </row>
    <row r="376" spans="1:9" ht="15" hidden="1">
      <c r="A376" s="119" t="s">
        <v>52</v>
      </c>
      <c r="B376" s="207"/>
      <c r="C376" s="192" t="s">
        <v>109</v>
      </c>
      <c r="D376" s="192" t="s">
        <v>416</v>
      </c>
      <c r="E376" s="192" t="s">
        <v>305</v>
      </c>
      <c r="F376" s="243" t="s">
        <v>221</v>
      </c>
      <c r="G376" s="161"/>
      <c r="H376" s="22" t="e">
        <f>SUM(H377)</f>
        <v>#REF!</v>
      </c>
      <c r="I376" s="22" t="e">
        <f aca="true" t="shared" si="7" ref="I376:I383">SUM(H376/G390*100)</f>
        <v>#REF!</v>
      </c>
    </row>
    <row r="377" spans="1:9" ht="15" hidden="1">
      <c r="A377" s="187" t="s">
        <v>288</v>
      </c>
      <c r="B377" s="188"/>
      <c r="C377" s="192" t="s">
        <v>109</v>
      </c>
      <c r="D377" s="192" t="s">
        <v>416</v>
      </c>
      <c r="E377" s="192" t="s">
        <v>289</v>
      </c>
      <c r="F377" s="242"/>
      <c r="G377" s="161">
        <f>SUM(G378)</f>
        <v>0</v>
      </c>
      <c r="H377" s="22" t="e">
        <f>SUM(#REF!+H380+H382)</f>
        <v>#REF!</v>
      </c>
      <c r="I377" s="22" t="e">
        <f t="shared" si="7"/>
        <v>#REF!</v>
      </c>
    </row>
    <row r="378" spans="1:9" ht="28.5" hidden="1">
      <c r="A378" s="187" t="s">
        <v>51</v>
      </c>
      <c r="B378" s="194"/>
      <c r="C378" s="192" t="s">
        <v>109</v>
      </c>
      <c r="D378" s="192" t="s">
        <v>416</v>
      </c>
      <c r="E378" s="192" t="s">
        <v>290</v>
      </c>
      <c r="F378" s="242"/>
      <c r="G378" s="161">
        <f>SUM(G379)</f>
        <v>0</v>
      </c>
      <c r="H378" s="22">
        <v>25635</v>
      </c>
      <c r="I378" s="22" t="e">
        <f t="shared" si="7"/>
        <v>#DIV/0!</v>
      </c>
    </row>
    <row r="379" spans="1:9" ht="15" hidden="1">
      <c r="A379" s="119" t="s">
        <v>52</v>
      </c>
      <c r="B379" s="207"/>
      <c r="C379" s="192" t="s">
        <v>109</v>
      </c>
      <c r="D379" s="192" t="s">
        <v>416</v>
      </c>
      <c r="E379" s="192" t="s">
        <v>290</v>
      </c>
      <c r="F379" s="243" t="s">
        <v>221</v>
      </c>
      <c r="G379" s="161"/>
      <c r="H379" s="22">
        <f>SUM(H393+H380)</f>
        <v>0</v>
      </c>
      <c r="I379" s="22" t="e">
        <f t="shared" si="7"/>
        <v>#DIV/0!</v>
      </c>
    </row>
    <row r="380" spans="1:9" ht="32.25" customHeight="1">
      <c r="A380" s="187" t="s">
        <v>594</v>
      </c>
      <c r="B380" s="188"/>
      <c r="C380" s="192" t="s">
        <v>109</v>
      </c>
      <c r="D380" s="192" t="s">
        <v>416</v>
      </c>
      <c r="E380" s="192" t="s">
        <v>595</v>
      </c>
      <c r="F380" s="241"/>
      <c r="G380" s="161">
        <f>SUM(G381)</f>
        <v>61578.4</v>
      </c>
      <c r="H380" s="22">
        <f>SUM(H381)</f>
        <v>0</v>
      </c>
      <c r="I380" s="22" t="e">
        <f t="shared" si="7"/>
        <v>#DIV/0!</v>
      </c>
    </row>
    <row r="381" spans="1:9" ht="28.5">
      <c r="A381" s="187" t="s">
        <v>51</v>
      </c>
      <c r="B381" s="188"/>
      <c r="C381" s="192" t="s">
        <v>109</v>
      </c>
      <c r="D381" s="192" t="s">
        <v>416</v>
      </c>
      <c r="E381" s="192" t="s">
        <v>596</v>
      </c>
      <c r="F381" s="241"/>
      <c r="G381" s="161">
        <f>SUM(G385+G383+G382)</f>
        <v>61578.4</v>
      </c>
      <c r="H381" s="22">
        <f>SUM(H382)</f>
        <v>0</v>
      </c>
      <c r="I381" s="22" t="e">
        <f t="shared" si="7"/>
        <v>#DIV/0!</v>
      </c>
    </row>
    <row r="382" spans="1:9" ht="15" hidden="1">
      <c r="A382" s="119" t="s">
        <v>52</v>
      </c>
      <c r="B382" s="188"/>
      <c r="C382" s="192" t="s">
        <v>109</v>
      </c>
      <c r="D382" s="192" t="s">
        <v>416</v>
      </c>
      <c r="E382" s="189" t="s">
        <v>291</v>
      </c>
      <c r="F382" s="242" t="s">
        <v>221</v>
      </c>
      <c r="G382" s="161"/>
      <c r="H382" s="22"/>
      <c r="I382" s="22" t="e">
        <f t="shared" si="7"/>
        <v>#DIV/0!</v>
      </c>
    </row>
    <row r="383" spans="1:9" ht="42.75" hidden="1">
      <c r="A383" s="119" t="s">
        <v>57</v>
      </c>
      <c r="B383" s="207"/>
      <c r="C383" s="192" t="s">
        <v>109</v>
      </c>
      <c r="D383" s="192" t="s">
        <v>416</v>
      </c>
      <c r="E383" s="192" t="s">
        <v>292</v>
      </c>
      <c r="F383" s="243"/>
      <c r="G383" s="161">
        <f>SUM(G384)</f>
        <v>0</v>
      </c>
      <c r="H383" s="22" t="e">
        <f>SUM(#REF!)</f>
        <v>#REF!</v>
      </c>
      <c r="I383" s="22" t="e">
        <f t="shared" si="7"/>
        <v>#REF!</v>
      </c>
    </row>
    <row r="384" spans="1:9" ht="15" hidden="1">
      <c r="A384" s="119" t="s">
        <v>52</v>
      </c>
      <c r="B384" s="207"/>
      <c r="C384" s="192" t="s">
        <v>109</v>
      </c>
      <c r="D384" s="192" t="s">
        <v>416</v>
      </c>
      <c r="E384" s="192" t="s">
        <v>292</v>
      </c>
      <c r="F384" s="243" t="s">
        <v>221</v>
      </c>
      <c r="G384" s="161"/>
      <c r="H384" s="22"/>
      <c r="I384" s="22"/>
    </row>
    <row r="385" spans="1:9" ht="57">
      <c r="A385" s="187" t="s">
        <v>421</v>
      </c>
      <c r="B385" s="188"/>
      <c r="C385" s="192" t="s">
        <v>109</v>
      </c>
      <c r="D385" s="192" t="s">
        <v>416</v>
      </c>
      <c r="E385" s="192" t="s">
        <v>597</v>
      </c>
      <c r="F385" s="241"/>
      <c r="G385" s="161">
        <f>SUM(G386:G389)</f>
        <v>61578.4</v>
      </c>
      <c r="H385" s="22"/>
      <c r="I385" s="22"/>
    </row>
    <row r="386" spans="1:9" ht="28.5">
      <c r="A386" s="187" t="s">
        <v>444</v>
      </c>
      <c r="B386" s="188"/>
      <c r="C386" s="192" t="s">
        <v>109</v>
      </c>
      <c r="D386" s="192" t="s">
        <v>416</v>
      </c>
      <c r="E386" s="192" t="s">
        <v>597</v>
      </c>
      <c r="F386" s="241" t="s">
        <v>445</v>
      </c>
      <c r="G386" s="161">
        <v>43388.7</v>
      </c>
      <c r="H386" s="22" t="e">
        <f>SUM(H393+H397+#REF!+#REF!+H390)</f>
        <v>#REF!</v>
      </c>
      <c r="I386" s="22" t="e">
        <f>SUM(H386/#REF!*100)</f>
        <v>#REF!</v>
      </c>
    </row>
    <row r="387" spans="1:9" ht="35.25" customHeight="1">
      <c r="A387" s="187" t="s">
        <v>697</v>
      </c>
      <c r="B387" s="188"/>
      <c r="C387" s="192" t="s">
        <v>109</v>
      </c>
      <c r="D387" s="192" t="s">
        <v>416</v>
      </c>
      <c r="E387" s="192" t="s">
        <v>597</v>
      </c>
      <c r="F387" s="241" t="s">
        <v>112</v>
      </c>
      <c r="G387" s="161">
        <v>17829.5</v>
      </c>
      <c r="H387" s="22"/>
      <c r="I387" s="22"/>
    </row>
    <row r="388" spans="1:9" ht="21" customHeight="1">
      <c r="A388" s="187" t="s">
        <v>454</v>
      </c>
      <c r="B388" s="188"/>
      <c r="C388" s="192" t="s">
        <v>109</v>
      </c>
      <c r="D388" s="192" t="s">
        <v>416</v>
      </c>
      <c r="E388" s="192" t="s">
        <v>597</v>
      </c>
      <c r="F388" s="241" t="s">
        <v>455</v>
      </c>
      <c r="G388" s="161">
        <v>37.3</v>
      </c>
      <c r="H388" s="22"/>
      <c r="I388" s="22"/>
    </row>
    <row r="389" spans="1:9" ht="21" customHeight="1">
      <c r="A389" s="187" t="s">
        <v>450</v>
      </c>
      <c r="B389" s="188"/>
      <c r="C389" s="192" t="s">
        <v>109</v>
      </c>
      <c r="D389" s="192" t="s">
        <v>416</v>
      </c>
      <c r="E389" s="192" t="s">
        <v>597</v>
      </c>
      <c r="F389" s="241" t="s">
        <v>160</v>
      </c>
      <c r="G389" s="161">
        <v>322.9</v>
      </c>
      <c r="H389" s="22"/>
      <c r="I389" s="22"/>
    </row>
    <row r="390" spans="1:9" ht="15" hidden="1">
      <c r="A390" s="187" t="s">
        <v>295</v>
      </c>
      <c r="B390" s="196"/>
      <c r="C390" s="192" t="s">
        <v>109</v>
      </c>
      <c r="D390" s="192" t="s">
        <v>416</v>
      </c>
      <c r="E390" s="192" t="s">
        <v>296</v>
      </c>
      <c r="F390" s="242"/>
      <c r="G390" s="161">
        <f>SUM(G391)</f>
        <v>0</v>
      </c>
      <c r="H390" s="22">
        <f>SUM(H391)</f>
        <v>17823.6</v>
      </c>
      <c r="I390" s="22" t="e">
        <f>SUM(H390/#REF!*100)</f>
        <v>#REF!</v>
      </c>
    </row>
    <row r="391" spans="1:9" ht="28.5" hidden="1">
      <c r="A391" s="187" t="s">
        <v>51</v>
      </c>
      <c r="B391" s="194"/>
      <c r="C391" s="192" t="s">
        <v>109</v>
      </c>
      <c r="D391" s="192" t="s">
        <v>416</v>
      </c>
      <c r="E391" s="192" t="s">
        <v>297</v>
      </c>
      <c r="F391" s="242"/>
      <c r="G391" s="161">
        <f>SUM(G392)</f>
        <v>0</v>
      </c>
      <c r="H391" s="22">
        <f>SUM(H392+H393+H395)</f>
        <v>17823.6</v>
      </c>
      <c r="I391" s="22" t="e">
        <f>SUM(H391/#REF!*100)</f>
        <v>#REF!</v>
      </c>
    </row>
    <row r="392" spans="1:9" ht="15" hidden="1">
      <c r="A392" s="119" t="s">
        <v>52</v>
      </c>
      <c r="B392" s="188"/>
      <c r="C392" s="192" t="s">
        <v>109</v>
      </c>
      <c r="D392" s="192" t="s">
        <v>416</v>
      </c>
      <c r="E392" s="192" t="s">
        <v>297</v>
      </c>
      <c r="F392" s="241" t="s">
        <v>221</v>
      </c>
      <c r="G392" s="161"/>
      <c r="H392" s="22">
        <v>17823.6</v>
      </c>
      <c r="I392" s="22" t="e">
        <f>SUM(H392/#REF!*100)</f>
        <v>#REF!</v>
      </c>
    </row>
    <row r="393" spans="1:9" ht="15" hidden="1">
      <c r="A393" s="187" t="s">
        <v>110</v>
      </c>
      <c r="B393" s="188"/>
      <c r="C393" s="189" t="s">
        <v>109</v>
      </c>
      <c r="D393" s="189" t="s">
        <v>109</v>
      </c>
      <c r="E393" s="192"/>
      <c r="F393" s="241"/>
      <c r="G393" s="161">
        <f>SUM(G394+G397)</f>
        <v>0</v>
      </c>
      <c r="H393" s="22">
        <f>SUM(H394)</f>
        <v>0</v>
      </c>
      <c r="I393" s="22" t="e">
        <f>SUM(H393/#REF!*100)</f>
        <v>#REF!</v>
      </c>
    </row>
    <row r="394" spans="1:9" ht="15" hidden="1">
      <c r="A394" s="149" t="s">
        <v>202</v>
      </c>
      <c r="B394" s="196"/>
      <c r="C394" s="192" t="s">
        <v>109</v>
      </c>
      <c r="D394" s="192" t="s">
        <v>109</v>
      </c>
      <c r="E394" s="192" t="s">
        <v>203</v>
      </c>
      <c r="F394" s="242"/>
      <c r="G394" s="161">
        <f>SUM(G395)</f>
        <v>0</v>
      </c>
      <c r="H394" s="22">
        <f>SUM(H395)</f>
        <v>0</v>
      </c>
      <c r="I394" s="22" t="e">
        <f>SUM(H394/#REF!*100)</f>
        <v>#REF!</v>
      </c>
    </row>
    <row r="395" spans="1:9" s="113" customFormat="1" ht="28.5" hidden="1">
      <c r="A395" s="187" t="s">
        <v>51</v>
      </c>
      <c r="B395" s="196"/>
      <c r="C395" s="192" t="s">
        <v>109</v>
      </c>
      <c r="D395" s="192" t="s">
        <v>109</v>
      </c>
      <c r="E395" s="192" t="s">
        <v>206</v>
      </c>
      <c r="F395" s="242"/>
      <c r="G395" s="161">
        <f>SUM(G396)</f>
        <v>0</v>
      </c>
      <c r="H395" s="22"/>
      <c r="I395" s="22" t="e">
        <f>SUM(H395/#REF!*100)</f>
        <v>#REF!</v>
      </c>
    </row>
    <row r="396" spans="1:9" s="113" customFormat="1" ht="15" hidden="1">
      <c r="A396" s="119" t="s">
        <v>52</v>
      </c>
      <c r="B396" s="196"/>
      <c r="C396" s="192" t="s">
        <v>109</v>
      </c>
      <c r="D396" s="192" t="s">
        <v>109</v>
      </c>
      <c r="E396" s="192" t="s">
        <v>206</v>
      </c>
      <c r="F396" s="242" t="s">
        <v>221</v>
      </c>
      <c r="G396" s="161"/>
      <c r="H396" s="22">
        <f>SUM(H397)</f>
        <v>119.8</v>
      </c>
      <c r="I396" s="22" t="e">
        <f>SUM(H396/#REF!*100)</f>
        <v>#REF!</v>
      </c>
    </row>
    <row r="397" spans="1:9" s="113" customFormat="1" ht="15" hidden="1">
      <c r="A397" s="119" t="s">
        <v>120</v>
      </c>
      <c r="B397" s="208"/>
      <c r="C397" s="192" t="s">
        <v>109</v>
      </c>
      <c r="D397" s="192" t="s">
        <v>109</v>
      </c>
      <c r="E397" s="192" t="s">
        <v>121</v>
      </c>
      <c r="F397" s="243"/>
      <c r="G397" s="161">
        <f>SUM(G398)</f>
        <v>0</v>
      </c>
      <c r="H397" s="22">
        <f>SUM(H398)</f>
        <v>119.8</v>
      </c>
      <c r="I397" s="22" t="e">
        <f>SUM(H397/#REF!*100)</f>
        <v>#REF!</v>
      </c>
    </row>
    <row r="398" spans="1:9" s="113" customFormat="1" ht="42.75" hidden="1">
      <c r="A398" s="200" t="s">
        <v>328</v>
      </c>
      <c r="B398" s="208"/>
      <c r="C398" s="192" t="s">
        <v>109</v>
      </c>
      <c r="D398" s="192" t="s">
        <v>109</v>
      </c>
      <c r="E398" s="192" t="s">
        <v>327</v>
      </c>
      <c r="F398" s="243"/>
      <c r="G398" s="161">
        <f>SUM(G399)</f>
        <v>0</v>
      </c>
      <c r="H398" s="22">
        <v>119.8</v>
      </c>
      <c r="I398" s="22" t="e">
        <f>SUM(H398/#REF!*100)</f>
        <v>#REF!</v>
      </c>
    </row>
    <row r="399" spans="1:9" ht="15" hidden="1">
      <c r="A399" s="119" t="s">
        <v>200</v>
      </c>
      <c r="B399" s="208"/>
      <c r="C399" s="192" t="s">
        <v>109</v>
      </c>
      <c r="D399" s="192" t="s">
        <v>109</v>
      </c>
      <c r="E399" s="192" t="s">
        <v>327</v>
      </c>
      <c r="F399" s="243" t="s">
        <v>201</v>
      </c>
      <c r="G399" s="161"/>
      <c r="H399" s="22" t="e">
        <f>SUM(#REF!+H406)</f>
        <v>#REF!</v>
      </c>
      <c r="I399" s="22" t="e">
        <f>SUM(H399/#REF!*100)</f>
        <v>#REF!</v>
      </c>
    </row>
    <row r="400" spans="1:9" ht="15" hidden="1">
      <c r="A400" s="119"/>
      <c r="B400" s="208"/>
      <c r="C400" s="192"/>
      <c r="D400" s="192"/>
      <c r="E400" s="192"/>
      <c r="F400" s="243"/>
      <c r="G400" s="161"/>
      <c r="H400" s="22"/>
      <c r="I400" s="22"/>
    </row>
    <row r="401" spans="1:9" ht="18.75" customHeight="1">
      <c r="A401" s="187" t="s">
        <v>167</v>
      </c>
      <c r="B401" s="188"/>
      <c r="C401" s="189" t="s">
        <v>5</v>
      </c>
      <c r="D401" s="189"/>
      <c r="E401" s="189"/>
      <c r="F401" s="241"/>
      <c r="G401" s="161">
        <f>SUM(G402+G406+G420+G507+G522)</f>
        <v>856242.9</v>
      </c>
      <c r="H401" s="22" t="e">
        <f>SUM(H402+H404)</f>
        <v>#REF!</v>
      </c>
      <c r="I401" s="22" t="e">
        <f>SUM(H401/G412*100)</f>
        <v>#REF!</v>
      </c>
    </row>
    <row r="402" spans="1:9" ht="15">
      <c r="A402" s="187" t="s">
        <v>169</v>
      </c>
      <c r="B402" s="188"/>
      <c r="C402" s="189" t="s">
        <v>5</v>
      </c>
      <c r="D402" s="189" t="s">
        <v>414</v>
      </c>
      <c r="E402" s="189"/>
      <c r="F402" s="241"/>
      <c r="G402" s="161">
        <f>SUM(G403)</f>
        <v>4100.5</v>
      </c>
      <c r="H402" s="22" t="e">
        <f>SUM(#REF!)</f>
        <v>#REF!</v>
      </c>
      <c r="I402" s="22" t="e">
        <f>SUM(H402/G413*100)</f>
        <v>#REF!</v>
      </c>
    </row>
    <row r="403" spans="1:9" ht="15">
      <c r="A403" s="187" t="s">
        <v>170</v>
      </c>
      <c r="B403" s="188"/>
      <c r="C403" s="189" t="s">
        <v>5</v>
      </c>
      <c r="D403" s="189" t="s">
        <v>414</v>
      </c>
      <c r="E403" s="189" t="s">
        <v>171</v>
      </c>
      <c r="F403" s="241"/>
      <c r="G403" s="161">
        <f>SUM(G404)</f>
        <v>4100.5</v>
      </c>
      <c r="H403" s="22"/>
      <c r="I403" s="22"/>
    </row>
    <row r="404" spans="1:9" ht="28.5">
      <c r="A404" s="187" t="s">
        <v>172</v>
      </c>
      <c r="B404" s="188"/>
      <c r="C404" s="189" t="s">
        <v>5</v>
      </c>
      <c r="D404" s="189" t="s">
        <v>414</v>
      </c>
      <c r="E404" s="189" t="s">
        <v>173</v>
      </c>
      <c r="F404" s="241"/>
      <c r="G404" s="161">
        <f>SUM(G405)</f>
        <v>4100.5</v>
      </c>
      <c r="H404" s="22">
        <f>SUM(H405)</f>
        <v>16618.3</v>
      </c>
      <c r="I404" s="22">
        <f>SUM(H404/G416*100)</f>
        <v>34.237287437214924</v>
      </c>
    </row>
    <row r="405" spans="1:9" ht="15">
      <c r="A405" s="187" t="s">
        <v>454</v>
      </c>
      <c r="B405" s="188"/>
      <c r="C405" s="189" t="s">
        <v>5</v>
      </c>
      <c r="D405" s="189" t="s">
        <v>414</v>
      </c>
      <c r="E405" s="189" t="s">
        <v>173</v>
      </c>
      <c r="F405" s="241" t="s">
        <v>455</v>
      </c>
      <c r="G405" s="161">
        <v>4100.5</v>
      </c>
      <c r="H405" s="22">
        <v>16618.3</v>
      </c>
      <c r="I405" s="22" t="e">
        <f>SUM(H405/#REF!*100)</f>
        <v>#REF!</v>
      </c>
    </row>
    <row r="406" spans="1:9" ht="15">
      <c r="A406" s="187" t="s">
        <v>174</v>
      </c>
      <c r="B406" s="188"/>
      <c r="C406" s="192" t="s">
        <v>5</v>
      </c>
      <c r="D406" s="192" t="s">
        <v>416</v>
      </c>
      <c r="E406" s="189"/>
      <c r="F406" s="241"/>
      <c r="G406" s="161">
        <f>SUM(G407+G412)</f>
        <v>50356.19999999999</v>
      </c>
      <c r="H406" s="22" t="e">
        <f>SUM(H410+H449+H453+H407)</f>
        <v>#REF!</v>
      </c>
      <c r="I406" s="22" t="e">
        <f>SUM(H406/G420*100)</f>
        <v>#REF!</v>
      </c>
    </row>
    <row r="407" spans="1:9" ht="15" hidden="1">
      <c r="A407" s="209" t="s">
        <v>69</v>
      </c>
      <c r="B407" s="188"/>
      <c r="C407" s="192" t="s">
        <v>5</v>
      </c>
      <c r="D407" s="192" t="s">
        <v>416</v>
      </c>
      <c r="E407" s="192" t="s">
        <v>70</v>
      </c>
      <c r="F407" s="242"/>
      <c r="G407" s="161"/>
      <c r="H407" s="22">
        <f>SUM(H409)</f>
        <v>200</v>
      </c>
      <c r="I407" s="22" t="e">
        <f>SUM(H407/G421*100)</f>
        <v>#DIV/0!</v>
      </c>
    </row>
    <row r="408" spans="1:9" ht="28.5" hidden="1">
      <c r="A408" s="209" t="s">
        <v>16</v>
      </c>
      <c r="B408" s="188"/>
      <c r="C408" s="192" t="s">
        <v>5</v>
      </c>
      <c r="D408" s="192" t="s">
        <v>416</v>
      </c>
      <c r="E408" s="192" t="s">
        <v>17</v>
      </c>
      <c r="F408" s="242"/>
      <c r="G408" s="161">
        <f>SUM(G409+G410)</f>
        <v>0</v>
      </c>
      <c r="H408" s="22">
        <f>SUM(H409)</f>
        <v>200</v>
      </c>
      <c r="I408" s="22" t="e">
        <f>SUM(H408/G422*100)</f>
        <v>#DIV/0!</v>
      </c>
    </row>
    <row r="409" spans="1:9" ht="15" hidden="1">
      <c r="A409" s="149" t="s">
        <v>220</v>
      </c>
      <c r="B409" s="188"/>
      <c r="C409" s="192" t="s">
        <v>5</v>
      </c>
      <c r="D409" s="192" t="s">
        <v>416</v>
      </c>
      <c r="E409" s="192" t="s">
        <v>17</v>
      </c>
      <c r="F409" s="242" t="s">
        <v>221</v>
      </c>
      <c r="G409" s="161"/>
      <c r="H409" s="22">
        <v>200</v>
      </c>
      <c r="I409" s="22" t="e">
        <f>SUM(H409/G423*100)</f>
        <v>#DIV/0!</v>
      </c>
    </row>
    <row r="410" spans="1:9" ht="28.5" hidden="1">
      <c r="A410" s="209" t="s">
        <v>18</v>
      </c>
      <c r="B410" s="188"/>
      <c r="C410" s="192" t="s">
        <v>5</v>
      </c>
      <c r="D410" s="192" t="s">
        <v>416</v>
      </c>
      <c r="E410" s="192" t="s">
        <v>19</v>
      </c>
      <c r="F410" s="242"/>
      <c r="G410" s="161">
        <f>SUM(G411)</f>
        <v>0</v>
      </c>
      <c r="H410" s="22" t="e">
        <f>SUM(H411+H413+H415+H421+H423+#REF!+#REF!+#REF!+#REF!+#REF!+#REF!+#REF!+#REF!+#REF!+#REF!+#REF!+#REF!+#REF!+#REF!+#REF!+H418)</f>
        <v>#REF!</v>
      </c>
      <c r="I410" s="22" t="e">
        <f>SUM(H410/G424*100)</f>
        <v>#REF!</v>
      </c>
    </row>
    <row r="411" spans="1:9" ht="15" hidden="1">
      <c r="A411" s="149" t="s">
        <v>220</v>
      </c>
      <c r="B411" s="188"/>
      <c r="C411" s="192" t="s">
        <v>5</v>
      </c>
      <c r="D411" s="192" t="s">
        <v>416</v>
      </c>
      <c r="E411" s="192" t="s">
        <v>19</v>
      </c>
      <c r="F411" s="242" t="s">
        <v>221</v>
      </c>
      <c r="G411" s="161"/>
      <c r="H411" s="22">
        <f>SUM(H412:H412)</f>
        <v>0</v>
      </c>
      <c r="I411" s="22" t="e">
        <f>SUM(H411/#REF!*100)</f>
        <v>#REF!</v>
      </c>
    </row>
    <row r="412" spans="1:9" ht="15">
      <c r="A412" s="209" t="s">
        <v>69</v>
      </c>
      <c r="B412" s="188"/>
      <c r="C412" s="192" t="s">
        <v>5</v>
      </c>
      <c r="D412" s="192" t="s">
        <v>416</v>
      </c>
      <c r="E412" s="192" t="s">
        <v>20</v>
      </c>
      <c r="F412" s="242"/>
      <c r="G412" s="161">
        <f>SUM(G413+G416)</f>
        <v>50356.19999999999</v>
      </c>
      <c r="H412" s="22"/>
      <c r="I412" s="22" t="e">
        <f>SUM(H412/#REF!*100)</f>
        <v>#REF!</v>
      </c>
    </row>
    <row r="413" spans="1:9" ht="28.5">
      <c r="A413" s="149" t="s">
        <v>51</v>
      </c>
      <c r="B413" s="188"/>
      <c r="C413" s="192" t="s">
        <v>5</v>
      </c>
      <c r="D413" s="192" t="s">
        <v>416</v>
      </c>
      <c r="E413" s="192" t="s">
        <v>21</v>
      </c>
      <c r="F413" s="242"/>
      <c r="G413" s="161">
        <f>SUM(G414:G415)</f>
        <v>1817.6000000000001</v>
      </c>
      <c r="H413" s="22">
        <f>SUM(H414:H414)</f>
        <v>0</v>
      </c>
      <c r="I413" s="22" t="e">
        <f>SUM(H413/#REF!*100)</f>
        <v>#REF!</v>
      </c>
    </row>
    <row r="414" spans="1:9" ht="28.5">
      <c r="A414" s="187" t="s">
        <v>444</v>
      </c>
      <c r="B414" s="188"/>
      <c r="C414" s="192" t="s">
        <v>5</v>
      </c>
      <c r="D414" s="192" t="s">
        <v>416</v>
      </c>
      <c r="E414" s="192" t="s">
        <v>21</v>
      </c>
      <c r="F414" s="241" t="s">
        <v>445</v>
      </c>
      <c r="G414" s="161">
        <v>633.7</v>
      </c>
      <c r="H414" s="22"/>
      <c r="I414" s="22" t="e">
        <f>SUM(H414/#REF!*100)</f>
        <v>#REF!</v>
      </c>
    </row>
    <row r="415" spans="1:9" ht="28.5">
      <c r="A415" s="187" t="s">
        <v>697</v>
      </c>
      <c r="B415" s="188"/>
      <c r="C415" s="192" t="s">
        <v>5</v>
      </c>
      <c r="D415" s="192" t="s">
        <v>416</v>
      </c>
      <c r="E415" s="192" t="s">
        <v>21</v>
      </c>
      <c r="F415" s="241" t="s">
        <v>112</v>
      </c>
      <c r="G415" s="161">
        <v>1183.9</v>
      </c>
      <c r="H415" s="22" t="e">
        <f>SUM(#REF!)</f>
        <v>#REF!</v>
      </c>
      <c r="I415" s="22" t="e">
        <f>SUM(H415/#REF!*100)</f>
        <v>#REF!</v>
      </c>
    </row>
    <row r="416" spans="1:9" ht="28.5">
      <c r="A416" s="149" t="s">
        <v>22</v>
      </c>
      <c r="B416" s="188"/>
      <c r="C416" s="192" t="s">
        <v>5</v>
      </c>
      <c r="D416" s="192" t="s">
        <v>416</v>
      </c>
      <c r="E416" s="192" t="s">
        <v>23</v>
      </c>
      <c r="F416" s="242"/>
      <c r="G416" s="161">
        <f>SUM(G417:G419)</f>
        <v>48538.59999999999</v>
      </c>
      <c r="H416" s="22">
        <v>634.3</v>
      </c>
      <c r="I416" s="22" t="e">
        <f>SUM(H416/#REF!*100)</f>
        <v>#REF!</v>
      </c>
    </row>
    <row r="417" spans="1:9" ht="28.5">
      <c r="A417" s="187" t="s">
        <v>444</v>
      </c>
      <c r="B417" s="188"/>
      <c r="C417" s="192" t="s">
        <v>5</v>
      </c>
      <c r="D417" s="192" t="s">
        <v>416</v>
      </c>
      <c r="E417" s="192" t="s">
        <v>23</v>
      </c>
      <c r="F417" s="241" t="s">
        <v>445</v>
      </c>
      <c r="G417" s="161">
        <v>40795.7</v>
      </c>
      <c r="H417" s="22"/>
      <c r="I417" s="22"/>
    </row>
    <row r="418" spans="1:9" ht="28.5">
      <c r="A418" s="187" t="s">
        <v>697</v>
      </c>
      <c r="B418" s="188"/>
      <c r="C418" s="192" t="s">
        <v>5</v>
      </c>
      <c r="D418" s="192" t="s">
        <v>416</v>
      </c>
      <c r="E418" s="192" t="s">
        <v>23</v>
      </c>
      <c r="F418" s="241" t="s">
        <v>112</v>
      </c>
      <c r="G418" s="161">
        <v>7595.2</v>
      </c>
      <c r="H418" s="22">
        <f>SUM(H419)</f>
        <v>542.8</v>
      </c>
      <c r="I418" s="22" t="e">
        <f>SUM(H418/#REF!*100)</f>
        <v>#REF!</v>
      </c>
    </row>
    <row r="419" spans="1:9" ht="15">
      <c r="A419" s="187" t="s">
        <v>450</v>
      </c>
      <c r="B419" s="188"/>
      <c r="C419" s="192" t="s">
        <v>5</v>
      </c>
      <c r="D419" s="192" t="s">
        <v>416</v>
      </c>
      <c r="E419" s="192" t="s">
        <v>23</v>
      </c>
      <c r="F419" s="241" t="s">
        <v>160</v>
      </c>
      <c r="G419" s="161">
        <v>147.7</v>
      </c>
      <c r="H419" s="22">
        <v>542.8</v>
      </c>
      <c r="I419" s="22" t="e">
        <f>SUM(H419/#REF!*100)</f>
        <v>#REF!</v>
      </c>
    </row>
    <row r="420" spans="1:9" ht="15">
      <c r="A420" s="187" t="s">
        <v>24</v>
      </c>
      <c r="B420" s="188"/>
      <c r="C420" s="189" t="s">
        <v>5</v>
      </c>
      <c r="D420" s="189" t="s">
        <v>98</v>
      </c>
      <c r="E420" s="189"/>
      <c r="F420" s="241"/>
      <c r="G420" s="161">
        <f>SUM(G424+G460+G504)+G464+G487</f>
        <v>735779.8</v>
      </c>
      <c r="H420" s="22">
        <v>542.8</v>
      </c>
      <c r="I420" s="22" t="e">
        <f>SUM(H420/#REF!*100)</f>
        <v>#REF!</v>
      </c>
    </row>
    <row r="421" spans="1:9" s="110" customFormat="1" ht="15.75" hidden="1">
      <c r="A421" s="187" t="s">
        <v>363</v>
      </c>
      <c r="B421" s="188"/>
      <c r="C421" s="189" t="s">
        <v>5</v>
      </c>
      <c r="D421" s="189" t="s">
        <v>98</v>
      </c>
      <c r="E421" s="189" t="s">
        <v>365</v>
      </c>
      <c r="F421" s="241"/>
      <c r="G421" s="161">
        <f>SUM(G423)</f>
        <v>0</v>
      </c>
      <c r="H421" s="22">
        <f>SUM(H422)</f>
        <v>1313.1</v>
      </c>
      <c r="I421" s="22" t="e">
        <f>SUM(H421/#REF!*100)</f>
        <v>#REF!</v>
      </c>
    </row>
    <row r="422" spans="1:9" s="110" customFormat="1" ht="15.75" hidden="1">
      <c r="A422" s="187" t="s">
        <v>345</v>
      </c>
      <c r="B422" s="188"/>
      <c r="C422" s="189" t="s">
        <v>5</v>
      </c>
      <c r="D422" s="189" t="s">
        <v>98</v>
      </c>
      <c r="E422" s="189" t="s">
        <v>346</v>
      </c>
      <c r="F422" s="241"/>
      <c r="G422" s="161">
        <f>SUM(G423)</f>
        <v>0</v>
      </c>
      <c r="H422" s="22">
        <v>1313.1</v>
      </c>
      <c r="I422" s="22" t="e">
        <f>SUM(H422/#REF!*100)</f>
        <v>#REF!</v>
      </c>
    </row>
    <row r="423" spans="1:9" s="110" customFormat="1" ht="15.75" hidden="1">
      <c r="A423" s="187" t="s">
        <v>268</v>
      </c>
      <c r="B423" s="196"/>
      <c r="C423" s="189" t="s">
        <v>5</v>
      </c>
      <c r="D423" s="189" t="s">
        <v>98</v>
      </c>
      <c r="E423" s="189" t="s">
        <v>346</v>
      </c>
      <c r="F423" s="242" t="s">
        <v>269</v>
      </c>
      <c r="G423" s="161"/>
      <c r="H423" s="22">
        <f>SUM(H424)</f>
        <v>6301</v>
      </c>
      <c r="I423" s="22" t="e">
        <f>SUM(H423/#REF!*100)</f>
        <v>#REF!</v>
      </c>
    </row>
    <row r="424" spans="1:9" s="110" customFormat="1" ht="15.75">
      <c r="A424" s="187" t="s">
        <v>25</v>
      </c>
      <c r="B424" s="188"/>
      <c r="C424" s="189" t="s">
        <v>5</v>
      </c>
      <c r="D424" s="189" t="s">
        <v>98</v>
      </c>
      <c r="E424" s="189" t="s">
        <v>26</v>
      </c>
      <c r="F424" s="241"/>
      <c r="G424" s="161">
        <f>SUM(G425+G434+G437+G440+G443+G446)+G428+G431</f>
        <v>283727.2</v>
      </c>
      <c r="H424" s="22">
        <v>6301</v>
      </c>
      <c r="I424" s="22" t="e">
        <f>SUM(H424/#REF!*100)</f>
        <v>#REF!</v>
      </c>
    </row>
    <row r="425" spans="1:9" ht="28.5">
      <c r="A425" s="187" t="s">
        <v>259</v>
      </c>
      <c r="B425" s="188"/>
      <c r="C425" s="192" t="s">
        <v>5</v>
      </c>
      <c r="D425" s="192" t="s">
        <v>98</v>
      </c>
      <c r="E425" s="192" t="s">
        <v>260</v>
      </c>
      <c r="F425" s="242"/>
      <c r="G425" s="161">
        <f>SUM(G426:G427)</f>
        <v>100501.3</v>
      </c>
      <c r="H425" s="22">
        <f>SUM(H427)</f>
        <v>8082.5</v>
      </c>
      <c r="I425" s="22" t="e">
        <f>SUM(H425/#REF!*100)</f>
        <v>#REF!</v>
      </c>
    </row>
    <row r="426" spans="1:9" ht="28.5">
      <c r="A426" s="187" t="s">
        <v>697</v>
      </c>
      <c r="B426" s="188"/>
      <c r="C426" s="192" t="s">
        <v>5</v>
      </c>
      <c r="D426" s="192" t="s">
        <v>98</v>
      </c>
      <c r="E426" s="192" t="s">
        <v>260</v>
      </c>
      <c r="F426" s="242" t="s">
        <v>112</v>
      </c>
      <c r="G426" s="161">
        <v>1970.6</v>
      </c>
      <c r="H426" s="22"/>
      <c r="I426" s="22"/>
    </row>
    <row r="427" spans="1:9" ht="15">
      <c r="A427" s="187" t="s">
        <v>454</v>
      </c>
      <c r="B427" s="188"/>
      <c r="C427" s="192" t="s">
        <v>5</v>
      </c>
      <c r="D427" s="192" t="s">
        <v>98</v>
      </c>
      <c r="E427" s="192" t="s">
        <v>260</v>
      </c>
      <c r="F427" s="242" t="s">
        <v>455</v>
      </c>
      <c r="G427" s="161">
        <v>98530.7</v>
      </c>
      <c r="H427" s="22">
        <v>8082.5</v>
      </c>
      <c r="I427" s="22" t="e">
        <f>SUM(H427/#REF!*100)</f>
        <v>#REF!</v>
      </c>
    </row>
    <row r="428" spans="1:9" ht="42.75">
      <c r="A428" s="263" t="s">
        <v>599</v>
      </c>
      <c r="B428" s="254"/>
      <c r="C428" s="228" t="s">
        <v>5</v>
      </c>
      <c r="D428" s="228" t="s">
        <v>98</v>
      </c>
      <c r="E428" s="228" t="s">
        <v>600</v>
      </c>
      <c r="F428" s="255"/>
      <c r="G428" s="234">
        <f>G429+G430</f>
        <v>2047.3999999999999</v>
      </c>
      <c r="H428" s="22"/>
      <c r="I428" s="22"/>
    </row>
    <row r="429" spans="1:9" ht="28.5">
      <c r="A429" s="187" t="s">
        <v>697</v>
      </c>
      <c r="B429" s="254"/>
      <c r="C429" s="228" t="s">
        <v>5</v>
      </c>
      <c r="D429" s="228" t="s">
        <v>98</v>
      </c>
      <c r="E429" s="228" t="s">
        <v>600</v>
      </c>
      <c r="F429" s="255" t="s">
        <v>112</v>
      </c>
      <c r="G429" s="234">
        <v>30.3</v>
      </c>
      <c r="H429" s="22"/>
      <c r="I429" s="22"/>
    </row>
    <row r="430" spans="1:9" ht="15">
      <c r="A430" s="263" t="s">
        <v>454</v>
      </c>
      <c r="B430" s="254"/>
      <c r="C430" s="228" t="s">
        <v>5</v>
      </c>
      <c r="D430" s="228" t="s">
        <v>98</v>
      </c>
      <c r="E430" s="228" t="s">
        <v>600</v>
      </c>
      <c r="F430" s="255" t="s">
        <v>455</v>
      </c>
      <c r="G430" s="234">
        <v>2017.1</v>
      </c>
      <c r="H430" s="22"/>
      <c r="I430" s="22"/>
    </row>
    <row r="431" spans="1:9" ht="42.75">
      <c r="A431" s="263" t="s">
        <v>601</v>
      </c>
      <c r="B431" s="254"/>
      <c r="C431" s="228" t="s">
        <v>5</v>
      </c>
      <c r="D431" s="228" t="s">
        <v>98</v>
      </c>
      <c r="E431" s="228" t="s">
        <v>602</v>
      </c>
      <c r="F431" s="255"/>
      <c r="G431" s="234">
        <f>G432+G433</f>
        <v>11566.5</v>
      </c>
      <c r="H431" s="22"/>
      <c r="I431" s="22"/>
    </row>
    <row r="432" spans="1:9" ht="28.5">
      <c r="A432" s="187" t="s">
        <v>697</v>
      </c>
      <c r="B432" s="254"/>
      <c r="C432" s="228" t="s">
        <v>5</v>
      </c>
      <c r="D432" s="228" t="s">
        <v>98</v>
      </c>
      <c r="E432" s="228" t="s">
        <v>602</v>
      </c>
      <c r="F432" s="255" t="s">
        <v>112</v>
      </c>
      <c r="G432" s="234">
        <v>170.9</v>
      </c>
      <c r="H432" s="22"/>
      <c r="I432" s="22"/>
    </row>
    <row r="433" spans="1:9" ht="15">
      <c r="A433" s="263" t="s">
        <v>454</v>
      </c>
      <c r="B433" s="254"/>
      <c r="C433" s="228" t="s">
        <v>5</v>
      </c>
      <c r="D433" s="228" t="s">
        <v>98</v>
      </c>
      <c r="E433" s="228" t="s">
        <v>602</v>
      </c>
      <c r="F433" s="255" t="s">
        <v>455</v>
      </c>
      <c r="G433" s="234">
        <v>11395.6</v>
      </c>
      <c r="H433" s="22"/>
      <c r="I433" s="22"/>
    </row>
    <row r="434" spans="1:9" ht="15">
      <c r="A434" s="187" t="s">
        <v>258</v>
      </c>
      <c r="B434" s="188"/>
      <c r="C434" s="192" t="s">
        <v>5</v>
      </c>
      <c r="D434" s="192" t="s">
        <v>98</v>
      </c>
      <c r="E434" s="192" t="s">
        <v>517</v>
      </c>
      <c r="F434" s="242"/>
      <c r="G434" s="161">
        <f>SUM(G435:G436)</f>
        <v>159864</v>
      </c>
      <c r="H434" s="22">
        <f>SUM(H436)</f>
        <v>70381.4</v>
      </c>
      <c r="I434" s="22" t="e">
        <f>SUM(H434/#REF!*100)</f>
        <v>#REF!</v>
      </c>
    </row>
    <row r="435" spans="1:9" ht="28.5">
      <c r="A435" s="187" t="s">
        <v>697</v>
      </c>
      <c r="B435" s="188"/>
      <c r="C435" s="192" t="s">
        <v>5</v>
      </c>
      <c r="D435" s="192" t="s">
        <v>98</v>
      </c>
      <c r="E435" s="192" t="s">
        <v>517</v>
      </c>
      <c r="F435" s="242" t="s">
        <v>112</v>
      </c>
      <c r="G435" s="161">
        <v>2362.5</v>
      </c>
      <c r="H435" s="22"/>
      <c r="I435" s="22"/>
    </row>
    <row r="436" spans="1:9" ht="15">
      <c r="A436" s="187" t="s">
        <v>454</v>
      </c>
      <c r="B436" s="196"/>
      <c r="C436" s="192" t="s">
        <v>5</v>
      </c>
      <c r="D436" s="192" t="s">
        <v>98</v>
      </c>
      <c r="E436" s="192" t="s">
        <v>517</v>
      </c>
      <c r="F436" s="242" t="s">
        <v>455</v>
      </c>
      <c r="G436" s="161">
        <v>157501.5</v>
      </c>
      <c r="H436" s="22">
        <v>70381.4</v>
      </c>
      <c r="I436" s="22" t="e">
        <f>SUM(H436/#REF!*100)</f>
        <v>#REF!</v>
      </c>
    </row>
    <row r="437" spans="1:9" ht="42.75">
      <c r="A437" s="152" t="s">
        <v>257</v>
      </c>
      <c r="B437" s="188"/>
      <c r="C437" s="192" t="s">
        <v>5</v>
      </c>
      <c r="D437" s="192" t="s">
        <v>98</v>
      </c>
      <c r="E437" s="192" t="s">
        <v>518</v>
      </c>
      <c r="F437" s="242"/>
      <c r="G437" s="161">
        <f>SUM(G438:G439)</f>
        <v>77.10000000000001</v>
      </c>
      <c r="H437" s="22"/>
      <c r="I437" s="22"/>
    </row>
    <row r="438" spans="1:9" ht="28.5">
      <c r="A438" s="187" t="s">
        <v>697</v>
      </c>
      <c r="B438" s="188"/>
      <c r="C438" s="192" t="s">
        <v>5</v>
      </c>
      <c r="D438" s="192" t="s">
        <v>98</v>
      </c>
      <c r="E438" s="192" t="s">
        <v>518</v>
      </c>
      <c r="F438" s="242" t="s">
        <v>112</v>
      </c>
      <c r="G438" s="161">
        <v>1.2</v>
      </c>
      <c r="H438" s="22"/>
      <c r="I438" s="22"/>
    </row>
    <row r="439" spans="1:9" ht="13.5" customHeight="1">
      <c r="A439" s="187" t="s">
        <v>454</v>
      </c>
      <c r="B439" s="188"/>
      <c r="C439" s="192" t="s">
        <v>5</v>
      </c>
      <c r="D439" s="192" t="s">
        <v>98</v>
      </c>
      <c r="E439" s="192" t="s">
        <v>518</v>
      </c>
      <c r="F439" s="242" t="s">
        <v>455</v>
      </c>
      <c r="G439" s="161">
        <v>75.9</v>
      </c>
      <c r="H439" s="22"/>
      <c r="I439" s="22"/>
    </row>
    <row r="440" spans="1:9" ht="59.25" customHeight="1" hidden="1">
      <c r="A440" s="119" t="s">
        <v>520</v>
      </c>
      <c r="B440" s="223"/>
      <c r="C440" s="224" t="s">
        <v>5</v>
      </c>
      <c r="D440" s="224" t="s">
        <v>98</v>
      </c>
      <c r="E440" s="224" t="s">
        <v>519</v>
      </c>
      <c r="F440" s="248"/>
      <c r="G440" s="175">
        <f>SUM(G441:G442)</f>
        <v>0</v>
      </c>
      <c r="H440" s="22"/>
      <c r="I440" s="22"/>
    </row>
    <row r="441" spans="1:9" ht="21" customHeight="1" hidden="1">
      <c r="A441" s="187" t="s">
        <v>449</v>
      </c>
      <c r="B441" s="188"/>
      <c r="C441" s="192" t="s">
        <v>5</v>
      </c>
      <c r="D441" s="192" t="s">
        <v>98</v>
      </c>
      <c r="E441" s="224" t="s">
        <v>519</v>
      </c>
      <c r="F441" s="242" t="s">
        <v>112</v>
      </c>
      <c r="G441" s="175"/>
      <c r="H441" s="22"/>
      <c r="I441" s="22"/>
    </row>
    <row r="442" spans="1:9" ht="15" hidden="1">
      <c r="A442" s="119" t="s">
        <v>454</v>
      </c>
      <c r="B442" s="223"/>
      <c r="C442" s="224" t="s">
        <v>5</v>
      </c>
      <c r="D442" s="224" t="s">
        <v>98</v>
      </c>
      <c r="E442" s="224" t="s">
        <v>519</v>
      </c>
      <c r="F442" s="248" t="s">
        <v>455</v>
      </c>
      <c r="G442" s="175"/>
      <c r="H442" s="22"/>
      <c r="I442" s="22"/>
    </row>
    <row r="443" spans="1:9" ht="15">
      <c r="A443" s="119" t="s">
        <v>199</v>
      </c>
      <c r="B443" s="223"/>
      <c r="C443" s="224" t="s">
        <v>5</v>
      </c>
      <c r="D443" s="224" t="s">
        <v>98</v>
      </c>
      <c r="E443" s="224" t="s">
        <v>521</v>
      </c>
      <c r="F443" s="248"/>
      <c r="G443" s="175">
        <f>G444+G445</f>
        <v>2831.3</v>
      </c>
      <c r="H443" s="22">
        <f>SUM(H444)</f>
        <v>1365.8</v>
      </c>
      <c r="I443" s="22" t="e">
        <f>SUM(H443/#REF!*100)</f>
        <v>#REF!</v>
      </c>
    </row>
    <row r="444" spans="1:9" ht="28.5">
      <c r="A444" s="187" t="s">
        <v>697</v>
      </c>
      <c r="B444" s="223"/>
      <c r="C444" s="224" t="s">
        <v>5</v>
      </c>
      <c r="D444" s="224" t="s">
        <v>98</v>
      </c>
      <c r="E444" s="224" t="s">
        <v>521</v>
      </c>
      <c r="F444" s="248" t="s">
        <v>112</v>
      </c>
      <c r="G444" s="175">
        <v>1200</v>
      </c>
      <c r="H444" s="22">
        <v>1365.8</v>
      </c>
      <c r="I444" s="22" t="e">
        <f>SUM(H444/#REF!*100)</f>
        <v>#REF!</v>
      </c>
    </row>
    <row r="445" spans="1:9" ht="15">
      <c r="A445" s="119" t="s">
        <v>454</v>
      </c>
      <c r="B445" s="223"/>
      <c r="C445" s="224" t="s">
        <v>5</v>
      </c>
      <c r="D445" s="224" t="s">
        <v>98</v>
      </c>
      <c r="E445" s="224" t="s">
        <v>521</v>
      </c>
      <c r="F445" s="248" t="s">
        <v>455</v>
      </c>
      <c r="G445" s="175">
        <v>1631.3</v>
      </c>
      <c r="H445" s="22">
        <f>SUM(H446)</f>
        <v>1324.9</v>
      </c>
      <c r="I445" s="22" t="e">
        <f>SUM(H445/#REF!*100)</f>
        <v>#REF!</v>
      </c>
    </row>
    <row r="446" spans="1:9" ht="15">
      <c r="A446" s="119" t="s">
        <v>262</v>
      </c>
      <c r="B446" s="223"/>
      <c r="C446" s="224" t="s">
        <v>5</v>
      </c>
      <c r="D446" s="224" t="s">
        <v>98</v>
      </c>
      <c r="E446" s="224" t="s">
        <v>522</v>
      </c>
      <c r="F446" s="248"/>
      <c r="G446" s="175">
        <f>SUM(G447+G450+G453)</f>
        <v>6839.6</v>
      </c>
      <c r="H446" s="22">
        <v>1324.9</v>
      </c>
      <c r="I446" s="22" t="e">
        <f>SUM(H446/#REF!*100)</f>
        <v>#REF!</v>
      </c>
    </row>
    <row r="447" spans="1:9" ht="42.75">
      <c r="A447" s="119" t="s">
        <v>429</v>
      </c>
      <c r="B447" s="223"/>
      <c r="C447" s="224" t="s">
        <v>5</v>
      </c>
      <c r="D447" s="224" t="s">
        <v>98</v>
      </c>
      <c r="E447" s="224" t="s">
        <v>525</v>
      </c>
      <c r="F447" s="248"/>
      <c r="G447" s="175">
        <f>SUM(G448:G449)</f>
        <v>5118.400000000001</v>
      </c>
      <c r="H447" s="22"/>
      <c r="I447" s="22"/>
    </row>
    <row r="448" spans="1:9" ht="28.5">
      <c r="A448" s="187" t="s">
        <v>697</v>
      </c>
      <c r="B448" s="223"/>
      <c r="C448" s="224" t="s">
        <v>5</v>
      </c>
      <c r="D448" s="224" t="s">
        <v>98</v>
      </c>
      <c r="E448" s="224" t="s">
        <v>525</v>
      </c>
      <c r="F448" s="248" t="s">
        <v>112</v>
      </c>
      <c r="G448" s="175">
        <v>183.3</v>
      </c>
      <c r="H448" s="22"/>
      <c r="I448" s="22"/>
    </row>
    <row r="449" spans="1:9" ht="14.25" customHeight="1">
      <c r="A449" s="119" t="s">
        <v>454</v>
      </c>
      <c r="B449" s="223"/>
      <c r="C449" s="224" t="s">
        <v>5</v>
      </c>
      <c r="D449" s="224" t="s">
        <v>98</v>
      </c>
      <c r="E449" s="224" t="s">
        <v>525</v>
      </c>
      <c r="F449" s="248" t="s">
        <v>455</v>
      </c>
      <c r="G449" s="175">
        <v>4935.1</v>
      </c>
      <c r="H449" s="22">
        <f>SUM(H450)</f>
        <v>927.6</v>
      </c>
      <c r="I449" s="22">
        <f>SUM(H449/G513*100)</f>
        <v>16.089083151212407</v>
      </c>
    </row>
    <row r="450" spans="1:9" ht="28.5" hidden="1">
      <c r="A450" s="119" t="s">
        <v>430</v>
      </c>
      <c r="B450" s="223"/>
      <c r="C450" s="224" t="s">
        <v>5</v>
      </c>
      <c r="D450" s="224" t="s">
        <v>98</v>
      </c>
      <c r="E450" s="224" t="s">
        <v>526</v>
      </c>
      <c r="F450" s="248"/>
      <c r="G450" s="175">
        <f>SUM(G451:G452)</f>
        <v>0</v>
      </c>
      <c r="H450" s="22">
        <f>SUM(H452:H452)</f>
        <v>927.6</v>
      </c>
      <c r="I450" s="22">
        <f>SUM(H450/G515*100)</f>
        <v>16.331560970456707</v>
      </c>
    </row>
    <row r="451" spans="1:9" ht="15" hidden="1">
      <c r="A451" s="187" t="s">
        <v>449</v>
      </c>
      <c r="B451" s="223"/>
      <c r="C451" s="224" t="s">
        <v>5</v>
      </c>
      <c r="D451" s="224" t="s">
        <v>98</v>
      </c>
      <c r="E451" s="224" t="s">
        <v>526</v>
      </c>
      <c r="F451" s="248" t="s">
        <v>112</v>
      </c>
      <c r="G451" s="175"/>
      <c r="H451" s="22"/>
      <c r="I451" s="22"/>
    </row>
    <row r="452" spans="1:9" ht="15" hidden="1">
      <c r="A452" s="119" t="s">
        <v>454</v>
      </c>
      <c r="B452" s="223"/>
      <c r="C452" s="224" t="s">
        <v>5</v>
      </c>
      <c r="D452" s="224" t="s">
        <v>98</v>
      </c>
      <c r="E452" s="224" t="s">
        <v>526</v>
      </c>
      <c r="F452" s="248" t="s">
        <v>455</v>
      </c>
      <c r="G452" s="175"/>
      <c r="H452" s="22">
        <v>927.6</v>
      </c>
      <c r="I452" s="22">
        <f>SUM(H452/G516*100)</f>
        <v>19.435132417029834</v>
      </c>
    </row>
    <row r="453" spans="1:9" ht="42.75">
      <c r="A453" s="120" t="s">
        <v>431</v>
      </c>
      <c r="B453" s="223"/>
      <c r="C453" s="224" t="s">
        <v>5</v>
      </c>
      <c r="D453" s="224" t="s">
        <v>98</v>
      </c>
      <c r="E453" s="224" t="s">
        <v>527</v>
      </c>
      <c r="F453" s="248"/>
      <c r="G453" s="175">
        <f>SUM(G454:G456)</f>
        <v>1721.2</v>
      </c>
      <c r="H453" s="22">
        <f>SUM(H455)</f>
        <v>3319.1</v>
      </c>
      <c r="I453" s="22">
        <f>SUM(H453/G517*100)</f>
        <v>6664.8594377510035</v>
      </c>
    </row>
    <row r="454" spans="1:9" ht="28.5">
      <c r="A454" s="187" t="s">
        <v>697</v>
      </c>
      <c r="B454" s="223"/>
      <c r="C454" s="224" t="s">
        <v>5</v>
      </c>
      <c r="D454" s="224" t="s">
        <v>98</v>
      </c>
      <c r="E454" s="224" t="s">
        <v>527</v>
      </c>
      <c r="F454" s="248" t="s">
        <v>112</v>
      </c>
      <c r="G454" s="175">
        <v>28.8</v>
      </c>
      <c r="H454" s="22"/>
      <c r="I454" s="22"/>
    </row>
    <row r="455" spans="1:9" ht="14.25" customHeight="1">
      <c r="A455" s="119" t="s">
        <v>454</v>
      </c>
      <c r="B455" s="223"/>
      <c r="C455" s="224" t="s">
        <v>5</v>
      </c>
      <c r="D455" s="224" t="s">
        <v>98</v>
      </c>
      <c r="E455" s="224" t="s">
        <v>527</v>
      </c>
      <c r="F455" s="248" t="s">
        <v>455</v>
      </c>
      <c r="G455" s="175">
        <v>1692.4</v>
      </c>
      <c r="H455" s="22">
        <f>SUM(H456)</f>
        <v>3319.1</v>
      </c>
      <c r="I455" s="22">
        <f>SUM(H455/G518*100)</f>
        <v>70.27524878255346</v>
      </c>
    </row>
    <row r="456" spans="1:9" ht="28.5" hidden="1">
      <c r="A456" s="119" t="s">
        <v>528</v>
      </c>
      <c r="B456" s="223"/>
      <c r="C456" s="224" t="s">
        <v>5</v>
      </c>
      <c r="D456" s="224" t="s">
        <v>98</v>
      </c>
      <c r="E456" s="224" t="s">
        <v>527</v>
      </c>
      <c r="F456" s="248" t="s">
        <v>461</v>
      </c>
      <c r="G456" s="175"/>
      <c r="H456" s="22">
        <v>3319.1</v>
      </c>
      <c r="I456" s="22">
        <f>SUM(H456/G520*100)</f>
        <v>1053.3481434465248</v>
      </c>
    </row>
    <row r="457" spans="1:9" s="96" customFormat="1" ht="42.75" hidden="1">
      <c r="A457" s="119" t="s">
        <v>432</v>
      </c>
      <c r="B457" s="223"/>
      <c r="C457" s="224" t="s">
        <v>5</v>
      </c>
      <c r="D457" s="224" t="s">
        <v>98</v>
      </c>
      <c r="E457" s="224" t="s">
        <v>529</v>
      </c>
      <c r="F457" s="248"/>
      <c r="G457" s="175">
        <f>SUM(G458:G459)</f>
        <v>0</v>
      </c>
      <c r="H457" s="22">
        <f>SUM(H459)</f>
        <v>3319.1</v>
      </c>
      <c r="I457" s="22">
        <f>SUM(H457/G522*100)</f>
        <v>11.005046452562684</v>
      </c>
    </row>
    <row r="458" spans="1:9" s="96" customFormat="1" ht="15" hidden="1">
      <c r="A458" s="187" t="s">
        <v>449</v>
      </c>
      <c r="B458" s="223"/>
      <c r="C458" s="224" t="s">
        <v>5</v>
      </c>
      <c r="D458" s="224" t="s">
        <v>98</v>
      </c>
      <c r="E458" s="224" t="s">
        <v>529</v>
      </c>
      <c r="F458" s="248" t="s">
        <v>112</v>
      </c>
      <c r="G458" s="175"/>
      <c r="H458" s="22"/>
      <c r="I458" s="22"/>
    </row>
    <row r="459" spans="1:9" s="96" customFormat="1" ht="15" hidden="1">
      <c r="A459" s="119" t="s">
        <v>454</v>
      </c>
      <c r="B459" s="223"/>
      <c r="C459" s="224" t="s">
        <v>5</v>
      </c>
      <c r="D459" s="224" t="s">
        <v>98</v>
      </c>
      <c r="E459" s="224" t="s">
        <v>529</v>
      </c>
      <c r="F459" s="248" t="s">
        <v>455</v>
      </c>
      <c r="G459" s="175"/>
      <c r="H459" s="22">
        <v>3319.1</v>
      </c>
      <c r="I459" s="22">
        <f>SUM(H459/G523*100)</f>
        <v>15.129524703823064</v>
      </c>
    </row>
    <row r="460" spans="1:9" ht="15">
      <c r="A460" s="119" t="s">
        <v>163</v>
      </c>
      <c r="B460" s="223"/>
      <c r="C460" s="224" t="s">
        <v>5</v>
      </c>
      <c r="D460" s="224" t="s">
        <v>98</v>
      </c>
      <c r="E460" s="224" t="s">
        <v>164</v>
      </c>
      <c r="F460" s="248"/>
      <c r="G460" s="175">
        <f>SUM(G461)</f>
        <v>538</v>
      </c>
      <c r="H460" s="22">
        <f>SUM(H461+H505)</f>
        <v>17205.399999999998</v>
      </c>
      <c r="I460" s="22">
        <f>SUM(H460/G524*100)</f>
        <v>549.3773548757902</v>
      </c>
    </row>
    <row r="461" spans="1:9" ht="15">
      <c r="A461" s="119" t="s">
        <v>165</v>
      </c>
      <c r="B461" s="223"/>
      <c r="C461" s="224" t="s">
        <v>5</v>
      </c>
      <c r="D461" s="224" t="s">
        <v>98</v>
      </c>
      <c r="E461" s="224" t="s">
        <v>166</v>
      </c>
      <c r="F461" s="248"/>
      <c r="G461" s="175">
        <f>SUM(G462:G463)</f>
        <v>538</v>
      </c>
      <c r="H461" s="22">
        <f>SUM(H463)</f>
        <v>0</v>
      </c>
      <c r="I461" s="22">
        <f>SUM(H461/G525*100)</f>
        <v>0</v>
      </c>
    </row>
    <row r="462" spans="1:9" ht="28.5">
      <c r="A462" s="187" t="s">
        <v>697</v>
      </c>
      <c r="B462" s="223"/>
      <c r="C462" s="224" t="s">
        <v>5</v>
      </c>
      <c r="D462" s="224" t="s">
        <v>98</v>
      </c>
      <c r="E462" s="224" t="s">
        <v>166</v>
      </c>
      <c r="F462" s="248" t="s">
        <v>112</v>
      </c>
      <c r="G462" s="175">
        <v>475</v>
      </c>
      <c r="H462" s="22"/>
      <c r="I462" s="22"/>
    </row>
    <row r="463" spans="1:9" ht="15">
      <c r="A463" s="119" t="s">
        <v>454</v>
      </c>
      <c r="B463" s="223"/>
      <c r="C463" s="224" t="s">
        <v>5</v>
      </c>
      <c r="D463" s="224" t="s">
        <v>98</v>
      </c>
      <c r="E463" s="224" t="s">
        <v>166</v>
      </c>
      <c r="F463" s="248" t="s">
        <v>455</v>
      </c>
      <c r="G463" s="175">
        <v>63</v>
      </c>
      <c r="H463" s="22">
        <f>SUM(H504)</f>
        <v>0</v>
      </c>
      <c r="I463" s="22">
        <f>SUM(H463/G526*100)</f>
        <v>0</v>
      </c>
    </row>
    <row r="464" spans="1:9" ht="42.75">
      <c r="A464" s="263" t="s">
        <v>603</v>
      </c>
      <c r="B464" s="254"/>
      <c r="C464" s="228" t="s">
        <v>5</v>
      </c>
      <c r="D464" s="228" t="s">
        <v>98</v>
      </c>
      <c r="E464" s="228" t="s">
        <v>604</v>
      </c>
      <c r="F464" s="255"/>
      <c r="G464" s="234">
        <f>G465</f>
        <v>317423.9</v>
      </c>
      <c r="H464" s="22"/>
      <c r="I464" s="22"/>
    </row>
    <row r="465" spans="1:9" ht="99.75">
      <c r="A465" s="263" t="s">
        <v>605</v>
      </c>
      <c r="B465" s="254"/>
      <c r="C465" s="228" t="s">
        <v>5</v>
      </c>
      <c r="D465" s="228" t="s">
        <v>98</v>
      </c>
      <c r="E465" s="228" t="s">
        <v>606</v>
      </c>
      <c r="F465" s="255"/>
      <c r="G465" s="234">
        <f>G466+G469+G472+G475+G478+G481+G484</f>
        <v>317423.9</v>
      </c>
      <c r="H465" s="22"/>
      <c r="I465" s="22"/>
    </row>
    <row r="466" spans="1:9" ht="57">
      <c r="A466" s="264" t="s">
        <v>424</v>
      </c>
      <c r="B466" s="254"/>
      <c r="C466" s="228" t="s">
        <v>5</v>
      </c>
      <c r="D466" s="228" t="s">
        <v>98</v>
      </c>
      <c r="E466" s="228" t="s">
        <v>607</v>
      </c>
      <c r="F466" s="255"/>
      <c r="G466" s="234">
        <f>G467+G468</f>
        <v>92581.2</v>
      </c>
      <c r="H466" s="22"/>
      <c r="I466" s="22"/>
    </row>
    <row r="467" spans="1:9" ht="28.5">
      <c r="A467" s="187" t="s">
        <v>697</v>
      </c>
      <c r="B467" s="254"/>
      <c r="C467" s="228" t="s">
        <v>5</v>
      </c>
      <c r="D467" s="228" t="s">
        <v>98</v>
      </c>
      <c r="E467" s="228" t="s">
        <v>607</v>
      </c>
      <c r="F467" s="255" t="s">
        <v>112</v>
      </c>
      <c r="G467" s="234">
        <v>1424.9</v>
      </c>
      <c r="H467" s="22"/>
      <c r="I467" s="22"/>
    </row>
    <row r="468" spans="1:9" ht="15">
      <c r="A468" s="263" t="s">
        <v>454</v>
      </c>
      <c r="B468" s="254"/>
      <c r="C468" s="228" t="s">
        <v>5</v>
      </c>
      <c r="D468" s="228" t="s">
        <v>98</v>
      </c>
      <c r="E468" s="228" t="s">
        <v>607</v>
      </c>
      <c r="F468" s="255" t="s">
        <v>455</v>
      </c>
      <c r="G468" s="234">
        <v>91156.3</v>
      </c>
      <c r="H468" s="22"/>
      <c r="I468" s="22"/>
    </row>
    <row r="469" spans="1:9" ht="71.25">
      <c r="A469" s="264" t="s">
        <v>523</v>
      </c>
      <c r="B469" s="254"/>
      <c r="C469" s="228" t="s">
        <v>5</v>
      </c>
      <c r="D469" s="228" t="s">
        <v>98</v>
      </c>
      <c r="E469" s="228" t="s">
        <v>608</v>
      </c>
      <c r="F469" s="255"/>
      <c r="G469" s="234">
        <f>G470+G471</f>
        <v>97707.6</v>
      </c>
      <c r="H469" s="22"/>
      <c r="I469" s="22"/>
    </row>
    <row r="470" spans="1:9" ht="28.5">
      <c r="A470" s="187" t="s">
        <v>697</v>
      </c>
      <c r="B470" s="254"/>
      <c r="C470" s="228" t="s">
        <v>5</v>
      </c>
      <c r="D470" s="228" t="s">
        <v>98</v>
      </c>
      <c r="E470" s="228" t="s">
        <v>608</v>
      </c>
      <c r="F470" s="255" t="s">
        <v>112</v>
      </c>
      <c r="G470" s="234">
        <v>3968.1</v>
      </c>
      <c r="H470" s="22"/>
      <c r="I470" s="22"/>
    </row>
    <row r="471" spans="1:9" ht="15">
      <c r="A471" s="263" t="s">
        <v>454</v>
      </c>
      <c r="B471" s="254"/>
      <c r="C471" s="228" t="s">
        <v>5</v>
      </c>
      <c r="D471" s="228" t="s">
        <v>98</v>
      </c>
      <c r="E471" s="228" t="s">
        <v>608</v>
      </c>
      <c r="F471" s="255" t="s">
        <v>455</v>
      </c>
      <c r="G471" s="234">
        <v>93739.5</v>
      </c>
      <c r="H471" s="22"/>
      <c r="I471" s="22"/>
    </row>
    <row r="472" spans="1:9" ht="71.25">
      <c r="A472" s="120" t="s">
        <v>425</v>
      </c>
      <c r="B472" s="254"/>
      <c r="C472" s="228" t="s">
        <v>5</v>
      </c>
      <c r="D472" s="228" t="s">
        <v>98</v>
      </c>
      <c r="E472" s="228" t="s">
        <v>609</v>
      </c>
      <c r="F472" s="255"/>
      <c r="G472" s="234">
        <f>SUM(G473)+G474</f>
        <v>3669.3999999999996</v>
      </c>
      <c r="H472" s="22"/>
      <c r="I472" s="22"/>
    </row>
    <row r="473" spans="1:9" ht="28.5">
      <c r="A473" s="187" t="s">
        <v>697</v>
      </c>
      <c r="B473" s="254"/>
      <c r="C473" s="228" t="s">
        <v>5</v>
      </c>
      <c r="D473" s="228" t="s">
        <v>98</v>
      </c>
      <c r="E473" s="228" t="s">
        <v>609</v>
      </c>
      <c r="F473" s="255" t="s">
        <v>112</v>
      </c>
      <c r="G473" s="234">
        <v>58.2</v>
      </c>
      <c r="H473" s="22"/>
      <c r="I473" s="22"/>
    </row>
    <row r="474" spans="1:9" ht="15">
      <c r="A474" s="263" t="s">
        <v>454</v>
      </c>
      <c r="B474" s="254"/>
      <c r="C474" s="228" t="s">
        <v>5</v>
      </c>
      <c r="D474" s="228" t="s">
        <v>98</v>
      </c>
      <c r="E474" s="228" t="s">
        <v>609</v>
      </c>
      <c r="F474" s="255" t="s">
        <v>455</v>
      </c>
      <c r="G474" s="234">
        <v>3611.2</v>
      </c>
      <c r="H474" s="22"/>
      <c r="I474" s="22"/>
    </row>
    <row r="475" spans="1:9" ht="85.5">
      <c r="A475" s="120" t="s">
        <v>426</v>
      </c>
      <c r="B475" s="254"/>
      <c r="C475" s="228" t="s">
        <v>5</v>
      </c>
      <c r="D475" s="228" t="s">
        <v>98</v>
      </c>
      <c r="E475" s="228" t="s">
        <v>610</v>
      </c>
      <c r="F475" s="255"/>
      <c r="G475" s="234">
        <f>G476+G477</f>
        <v>5327.200000000001</v>
      </c>
      <c r="H475" s="22"/>
      <c r="I475" s="22"/>
    </row>
    <row r="476" spans="1:9" ht="28.5">
      <c r="A476" s="187" t="s">
        <v>697</v>
      </c>
      <c r="B476" s="254"/>
      <c r="C476" s="228" t="s">
        <v>5</v>
      </c>
      <c r="D476" s="228" t="s">
        <v>98</v>
      </c>
      <c r="E476" s="228" t="s">
        <v>610</v>
      </c>
      <c r="F476" s="255" t="s">
        <v>112</v>
      </c>
      <c r="G476" s="234">
        <v>193.1</v>
      </c>
      <c r="H476" s="22"/>
      <c r="I476" s="22"/>
    </row>
    <row r="477" spans="1:9" ht="15">
      <c r="A477" s="263" t="s">
        <v>454</v>
      </c>
      <c r="B477" s="254"/>
      <c r="C477" s="228" t="s">
        <v>5</v>
      </c>
      <c r="D477" s="228" t="s">
        <v>98</v>
      </c>
      <c r="E477" s="228" t="s">
        <v>610</v>
      </c>
      <c r="F477" s="255" t="s">
        <v>455</v>
      </c>
      <c r="G477" s="234">
        <v>5134.1</v>
      </c>
      <c r="H477" s="22"/>
      <c r="I477" s="22"/>
    </row>
    <row r="478" spans="1:9" ht="42.75">
      <c r="A478" s="263" t="s">
        <v>427</v>
      </c>
      <c r="B478" s="254"/>
      <c r="C478" s="228" t="s">
        <v>5</v>
      </c>
      <c r="D478" s="228" t="s">
        <v>98</v>
      </c>
      <c r="E478" s="228" t="s">
        <v>611</v>
      </c>
      <c r="F478" s="255"/>
      <c r="G478" s="234">
        <f>SUM(G480)+G479</f>
        <v>117203.1</v>
      </c>
      <c r="H478" s="22"/>
      <c r="I478" s="22"/>
    </row>
    <row r="479" spans="1:9" ht="28.5">
      <c r="A479" s="187" t="s">
        <v>697</v>
      </c>
      <c r="B479" s="254"/>
      <c r="C479" s="228" t="s">
        <v>5</v>
      </c>
      <c r="D479" s="228" t="s">
        <v>98</v>
      </c>
      <c r="E479" s="228" t="s">
        <v>611</v>
      </c>
      <c r="F479" s="255" t="s">
        <v>112</v>
      </c>
      <c r="G479" s="234">
        <v>1732.1</v>
      </c>
      <c r="H479" s="22"/>
      <c r="I479" s="22"/>
    </row>
    <row r="480" spans="1:9" ht="15">
      <c r="A480" s="263" t="s">
        <v>454</v>
      </c>
      <c r="B480" s="254"/>
      <c r="C480" s="228" t="s">
        <v>5</v>
      </c>
      <c r="D480" s="228" t="s">
        <v>98</v>
      </c>
      <c r="E480" s="228" t="s">
        <v>611</v>
      </c>
      <c r="F480" s="255" t="s">
        <v>455</v>
      </c>
      <c r="G480" s="234">
        <v>115471</v>
      </c>
      <c r="H480" s="22"/>
      <c r="I480" s="22"/>
    </row>
    <row r="481" spans="1:9" ht="71.25">
      <c r="A481" s="263" t="s">
        <v>428</v>
      </c>
      <c r="B481" s="254"/>
      <c r="C481" s="228" t="s">
        <v>5</v>
      </c>
      <c r="D481" s="228" t="s">
        <v>98</v>
      </c>
      <c r="E481" s="228" t="s">
        <v>612</v>
      </c>
      <c r="F481" s="255"/>
      <c r="G481" s="234">
        <f>G483+G482</f>
        <v>774.2</v>
      </c>
      <c r="H481" s="22"/>
      <c r="I481" s="22"/>
    </row>
    <row r="482" spans="1:9" ht="28.5">
      <c r="A482" s="187" t="s">
        <v>697</v>
      </c>
      <c r="B482" s="254"/>
      <c r="C482" s="228" t="s">
        <v>5</v>
      </c>
      <c r="D482" s="228" t="s">
        <v>98</v>
      </c>
      <c r="E482" s="228" t="s">
        <v>612</v>
      </c>
      <c r="F482" s="255" t="s">
        <v>112</v>
      </c>
      <c r="G482" s="234">
        <v>29.1</v>
      </c>
      <c r="H482" s="22"/>
      <c r="I482" s="22"/>
    </row>
    <row r="483" spans="1:9" ht="15">
      <c r="A483" s="263" t="s">
        <v>454</v>
      </c>
      <c r="B483" s="254"/>
      <c r="C483" s="228" t="s">
        <v>5</v>
      </c>
      <c r="D483" s="228" t="s">
        <v>98</v>
      </c>
      <c r="E483" s="228" t="s">
        <v>612</v>
      </c>
      <c r="F483" s="255" t="s">
        <v>455</v>
      </c>
      <c r="G483" s="234">
        <v>745.1</v>
      </c>
      <c r="H483" s="22"/>
      <c r="I483" s="22"/>
    </row>
    <row r="484" spans="1:9" ht="57">
      <c r="A484" s="263" t="s">
        <v>524</v>
      </c>
      <c r="B484" s="254"/>
      <c r="C484" s="228" t="s">
        <v>5</v>
      </c>
      <c r="D484" s="228" t="s">
        <v>98</v>
      </c>
      <c r="E484" s="228" t="s">
        <v>613</v>
      </c>
      <c r="F484" s="255"/>
      <c r="G484" s="234">
        <f>SUM(G486)+G485</f>
        <v>161.20000000000002</v>
      </c>
      <c r="H484" s="22"/>
      <c r="I484" s="22"/>
    </row>
    <row r="485" spans="1:9" ht="28.5">
      <c r="A485" s="187" t="s">
        <v>697</v>
      </c>
      <c r="B485" s="254"/>
      <c r="C485" s="228" t="s">
        <v>5</v>
      </c>
      <c r="D485" s="228" t="s">
        <v>98</v>
      </c>
      <c r="E485" s="228" t="s">
        <v>613</v>
      </c>
      <c r="F485" s="255" t="s">
        <v>112</v>
      </c>
      <c r="G485" s="234">
        <v>2.4</v>
      </c>
      <c r="H485" s="22"/>
      <c r="I485" s="22"/>
    </row>
    <row r="486" spans="1:9" ht="15">
      <c r="A486" s="263" t="s">
        <v>454</v>
      </c>
      <c r="B486" s="254"/>
      <c r="C486" s="228" t="s">
        <v>5</v>
      </c>
      <c r="D486" s="228" t="s">
        <v>98</v>
      </c>
      <c r="E486" s="228" t="s">
        <v>613</v>
      </c>
      <c r="F486" s="255" t="s">
        <v>455</v>
      </c>
      <c r="G486" s="234">
        <v>158.8</v>
      </c>
      <c r="H486" s="22"/>
      <c r="I486" s="22"/>
    </row>
    <row r="487" spans="1:9" ht="28.5">
      <c r="A487" s="263" t="s">
        <v>614</v>
      </c>
      <c r="B487" s="254"/>
      <c r="C487" s="228" t="s">
        <v>5</v>
      </c>
      <c r="D487" s="228" t="s">
        <v>98</v>
      </c>
      <c r="E487" s="228" t="s">
        <v>595</v>
      </c>
      <c r="F487" s="255"/>
      <c r="G487" s="234">
        <f>G488+G501</f>
        <v>133990.7</v>
      </c>
      <c r="H487" s="22"/>
      <c r="I487" s="22"/>
    </row>
    <row r="488" spans="1:9" ht="84" customHeight="1">
      <c r="A488" s="263" t="s">
        <v>615</v>
      </c>
      <c r="B488" s="254"/>
      <c r="C488" s="228" t="s">
        <v>5</v>
      </c>
      <c r="D488" s="228" t="s">
        <v>98</v>
      </c>
      <c r="E488" s="228" t="s">
        <v>616</v>
      </c>
      <c r="F488" s="255"/>
      <c r="G488" s="234">
        <f>G489+G492+G495+G498</f>
        <v>51800.399999999994</v>
      </c>
      <c r="H488" s="22"/>
      <c r="I488" s="22"/>
    </row>
    <row r="489" spans="1:9" ht="42.75" hidden="1">
      <c r="A489" s="263" t="s">
        <v>422</v>
      </c>
      <c r="B489" s="254"/>
      <c r="C489" s="228" t="s">
        <v>5</v>
      </c>
      <c r="D489" s="228" t="s">
        <v>98</v>
      </c>
      <c r="E489" s="228" t="s">
        <v>617</v>
      </c>
      <c r="F489" s="255"/>
      <c r="G489" s="234">
        <f>G490+G491</f>
        <v>0</v>
      </c>
      <c r="H489" s="22"/>
      <c r="I489" s="22"/>
    </row>
    <row r="490" spans="1:9" ht="28.5" hidden="1">
      <c r="A490" s="187" t="s">
        <v>697</v>
      </c>
      <c r="B490" s="254"/>
      <c r="C490" s="228" t="s">
        <v>5</v>
      </c>
      <c r="D490" s="228" t="s">
        <v>98</v>
      </c>
      <c r="E490" s="228" t="s">
        <v>617</v>
      </c>
      <c r="F490" s="255" t="s">
        <v>112</v>
      </c>
      <c r="G490" s="234"/>
      <c r="H490" s="22"/>
      <c r="I490" s="22"/>
    </row>
    <row r="491" spans="1:9" ht="15" hidden="1">
      <c r="A491" s="263" t="s">
        <v>454</v>
      </c>
      <c r="B491" s="254"/>
      <c r="C491" s="228" t="s">
        <v>5</v>
      </c>
      <c r="D491" s="228" t="s">
        <v>98</v>
      </c>
      <c r="E491" s="228" t="s">
        <v>617</v>
      </c>
      <c r="F491" s="255" t="s">
        <v>455</v>
      </c>
      <c r="G491" s="234"/>
      <c r="H491" s="22"/>
      <c r="I491" s="22"/>
    </row>
    <row r="492" spans="1:9" ht="28.5">
      <c r="A492" s="120" t="s">
        <v>423</v>
      </c>
      <c r="B492" s="254"/>
      <c r="C492" s="228" t="s">
        <v>5</v>
      </c>
      <c r="D492" s="228" t="s">
        <v>98</v>
      </c>
      <c r="E492" s="228" t="s">
        <v>618</v>
      </c>
      <c r="F492" s="255"/>
      <c r="G492" s="234">
        <f>SUM(G493)+G494</f>
        <v>41789.1</v>
      </c>
      <c r="H492" s="22"/>
      <c r="I492" s="22"/>
    </row>
    <row r="493" spans="1:9" ht="28.5">
      <c r="A493" s="187" t="s">
        <v>697</v>
      </c>
      <c r="B493" s="254"/>
      <c r="C493" s="228" t="s">
        <v>5</v>
      </c>
      <c r="D493" s="228" t="s">
        <v>98</v>
      </c>
      <c r="E493" s="228" t="s">
        <v>618</v>
      </c>
      <c r="F493" s="255" t="s">
        <v>112</v>
      </c>
      <c r="G493" s="234">
        <v>617.6</v>
      </c>
      <c r="H493" s="22"/>
      <c r="I493" s="22"/>
    </row>
    <row r="494" spans="1:9" ht="15">
      <c r="A494" s="263" t="s">
        <v>454</v>
      </c>
      <c r="B494" s="254"/>
      <c r="C494" s="228" t="s">
        <v>5</v>
      </c>
      <c r="D494" s="228" t="s">
        <v>98</v>
      </c>
      <c r="E494" s="228" t="s">
        <v>618</v>
      </c>
      <c r="F494" s="255" t="s">
        <v>455</v>
      </c>
      <c r="G494" s="234">
        <v>41171.5</v>
      </c>
      <c r="H494" s="22"/>
      <c r="I494" s="22"/>
    </row>
    <row r="495" spans="1:9" ht="28.5">
      <c r="A495" s="263" t="s">
        <v>430</v>
      </c>
      <c r="B495" s="254"/>
      <c r="C495" s="228" t="s">
        <v>5</v>
      </c>
      <c r="D495" s="228" t="s">
        <v>98</v>
      </c>
      <c r="E495" s="228" t="s">
        <v>619</v>
      </c>
      <c r="F495" s="255"/>
      <c r="G495" s="234">
        <f>SUM(G497)+G496</f>
        <v>5357.2</v>
      </c>
      <c r="H495" s="22"/>
      <c r="I495" s="22"/>
    </row>
    <row r="496" spans="1:9" ht="28.5">
      <c r="A496" s="187" t="s">
        <v>697</v>
      </c>
      <c r="B496" s="254"/>
      <c r="C496" s="228" t="s">
        <v>5</v>
      </c>
      <c r="D496" s="228" t="s">
        <v>98</v>
      </c>
      <c r="E496" s="228" t="s">
        <v>619</v>
      </c>
      <c r="F496" s="255" t="s">
        <v>112</v>
      </c>
      <c r="G496" s="234">
        <v>79.2</v>
      </c>
      <c r="H496" s="22"/>
      <c r="I496" s="22"/>
    </row>
    <row r="497" spans="1:9" ht="15">
      <c r="A497" s="263" t="s">
        <v>454</v>
      </c>
      <c r="B497" s="254"/>
      <c r="C497" s="228" t="s">
        <v>5</v>
      </c>
      <c r="D497" s="228" t="s">
        <v>98</v>
      </c>
      <c r="E497" s="228" t="s">
        <v>619</v>
      </c>
      <c r="F497" s="255" t="s">
        <v>455</v>
      </c>
      <c r="G497" s="234">
        <v>5278</v>
      </c>
      <c r="H497" s="22"/>
      <c r="I497" s="22"/>
    </row>
    <row r="498" spans="1:9" ht="42.75">
      <c r="A498" s="263" t="s">
        <v>432</v>
      </c>
      <c r="B498" s="254"/>
      <c r="C498" s="228" t="s">
        <v>5</v>
      </c>
      <c r="D498" s="228" t="s">
        <v>98</v>
      </c>
      <c r="E498" s="228" t="s">
        <v>620</v>
      </c>
      <c r="F498" s="255"/>
      <c r="G498" s="234">
        <f>SUM(G500)+G499</f>
        <v>4654.1</v>
      </c>
      <c r="H498" s="22"/>
      <c r="I498" s="22"/>
    </row>
    <row r="499" spans="1:9" ht="28.5">
      <c r="A499" s="187" t="s">
        <v>697</v>
      </c>
      <c r="B499" s="254"/>
      <c r="C499" s="228" t="s">
        <v>5</v>
      </c>
      <c r="D499" s="228" t="s">
        <v>98</v>
      </c>
      <c r="E499" s="228" t="s">
        <v>620</v>
      </c>
      <c r="F499" s="255" t="s">
        <v>112</v>
      </c>
      <c r="G499" s="234">
        <v>68.8</v>
      </c>
      <c r="H499" s="22"/>
      <c r="I499" s="22"/>
    </row>
    <row r="500" spans="1:9" ht="15">
      <c r="A500" s="263" t="s">
        <v>454</v>
      </c>
      <c r="B500" s="254"/>
      <c r="C500" s="228" t="s">
        <v>5</v>
      </c>
      <c r="D500" s="228" t="s">
        <v>98</v>
      </c>
      <c r="E500" s="228" t="s">
        <v>620</v>
      </c>
      <c r="F500" s="255" t="s">
        <v>455</v>
      </c>
      <c r="G500" s="234">
        <v>4585.3</v>
      </c>
      <c r="H500" s="22"/>
      <c r="I500" s="22"/>
    </row>
    <row r="501" spans="1:9" ht="99.75">
      <c r="A501" s="119" t="s">
        <v>621</v>
      </c>
      <c r="B501" s="254"/>
      <c r="C501" s="228" t="s">
        <v>5</v>
      </c>
      <c r="D501" s="228" t="s">
        <v>98</v>
      </c>
      <c r="E501" s="228" t="s">
        <v>622</v>
      </c>
      <c r="F501" s="255"/>
      <c r="G501" s="234">
        <f>SUM(G502:G503)</f>
        <v>82190.3</v>
      </c>
      <c r="H501" s="22"/>
      <c r="I501" s="22"/>
    </row>
    <row r="502" spans="1:9" ht="28.5">
      <c r="A502" s="187" t="s">
        <v>697</v>
      </c>
      <c r="B502" s="254"/>
      <c r="C502" s="228" t="s">
        <v>5</v>
      </c>
      <c r="D502" s="228" t="s">
        <v>98</v>
      </c>
      <c r="E502" s="228" t="s">
        <v>622</v>
      </c>
      <c r="F502" s="255" t="s">
        <v>112</v>
      </c>
      <c r="G502" s="234">
        <v>5.2</v>
      </c>
      <c r="H502" s="22"/>
      <c r="I502" s="22"/>
    </row>
    <row r="503" spans="1:9" ht="15">
      <c r="A503" s="263" t="s">
        <v>454</v>
      </c>
      <c r="B503" s="254"/>
      <c r="C503" s="228" t="s">
        <v>5</v>
      </c>
      <c r="D503" s="228" t="s">
        <v>98</v>
      </c>
      <c r="E503" s="228" t="s">
        <v>622</v>
      </c>
      <c r="F503" s="255" t="s">
        <v>455</v>
      </c>
      <c r="G503" s="234">
        <v>82185.1</v>
      </c>
      <c r="H503" s="22"/>
      <c r="I503" s="22"/>
    </row>
    <row r="504" spans="1:9" ht="15">
      <c r="A504" s="119" t="s">
        <v>530</v>
      </c>
      <c r="B504" s="223"/>
      <c r="C504" s="224" t="s">
        <v>5</v>
      </c>
      <c r="D504" s="224" t="s">
        <v>98</v>
      </c>
      <c r="E504" s="224" t="s">
        <v>121</v>
      </c>
      <c r="F504" s="248"/>
      <c r="G504" s="175">
        <f>G505</f>
        <v>100</v>
      </c>
      <c r="H504" s="22"/>
      <c r="I504" s="22">
        <f>SUM(H504/G527*100)</f>
        <v>0</v>
      </c>
    </row>
    <row r="505" spans="1:9" ht="15">
      <c r="A505" s="119" t="s">
        <v>623</v>
      </c>
      <c r="B505" s="223"/>
      <c r="C505" s="224" t="s">
        <v>5</v>
      </c>
      <c r="D505" s="224" t="s">
        <v>98</v>
      </c>
      <c r="E505" s="224" t="s">
        <v>532</v>
      </c>
      <c r="F505" s="248"/>
      <c r="G505" s="175">
        <f>G506</f>
        <v>100</v>
      </c>
      <c r="H505" s="22">
        <f>SUM(H506)</f>
        <v>17205.399999999998</v>
      </c>
      <c r="I505" s="22">
        <f>SUM(H505/G528*100)</f>
        <v>477.6093715300909</v>
      </c>
    </row>
    <row r="506" spans="1:9" ht="28.5">
      <c r="A506" s="119" t="s">
        <v>463</v>
      </c>
      <c r="B506" s="223"/>
      <c r="C506" s="224" t="s">
        <v>5</v>
      </c>
      <c r="D506" s="224" t="s">
        <v>98</v>
      </c>
      <c r="E506" s="224" t="s">
        <v>532</v>
      </c>
      <c r="F506" s="248" t="s">
        <v>461</v>
      </c>
      <c r="G506" s="175">
        <v>100</v>
      </c>
      <c r="H506" s="22">
        <f>SUM(H515)+H516+H520+H507+H509</f>
        <v>17205.399999999998</v>
      </c>
      <c r="I506" s="22">
        <f>SUM(H506/G529*100)</f>
        <v>2837.7700808180766</v>
      </c>
    </row>
    <row r="507" spans="1:9" ht="15">
      <c r="A507" s="120" t="s">
        <v>149</v>
      </c>
      <c r="B507" s="223"/>
      <c r="C507" s="224" t="s">
        <v>5</v>
      </c>
      <c r="D507" s="224" t="s">
        <v>114</v>
      </c>
      <c r="E507" s="224"/>
      <c r="F507" s="248"/>
      <c r="G507" s="175">
        <f>SUM(G508)</f>
        <v>35846.6</v>
      </c>
      <c r="H507" s="22">
        <f>SUM(H508)</f>
        <v>241.8</v>
      </c>
      <c r="I507" s="22">
        <f>SUM(H507/G531*100)</f>
        <v>1.6592442135745116</v>
      </c>
    </row>
    <row r="508" spans="1:9" ht="28.5">
      <c r="A508" s="263" t="s">
        <v>594</v>
      </c>
      <c r="B508" s="254"/>
      <c r="C508" s="229" t="s">
        <v>5</v>
      </c>
      <c r="D508" s="229" t="s">
        <v>114</v>
      </c>
      <c r="E508" s="229" t="s">
        <v>595</v>
      </c>
      <c r="F508" s="256"/>
      <c r="G508" s="235">
        <f>G509</f>
        <v>35846.6</v>
      </c>
      <c r="H508" s="22">
        <v>241.8</v>
      </c>
      <c r="I508" s="22">
        <f>SUM(H508/G532*100)</f>
        <v>1.6592442135745116</v>
      </c>
    </row>
    <row r="509" spans="1:9" ht="85.5">
      <c r="A509" s="263" t="s">
        <v>615</v>
      </c>
      <c r="B509" s="254"/>
      <c r="C509" s="229" t="s">
        <v>5</v>
      </c>
      <c r="D509" s="229" t="s">
        <v>114</v>
      </c>
      <c r="E509" s="229" t="s">
        <v>616</v>
      </c>
      <c r="F509" s="256"/>
      <c r="G509" s="235">
        <f>G513+G516+G519+G510</f>
        <v>35846.6</v>
      </c>
      <c r="H509" s="22">
        <f>SUM(H513)</f>
        <v>252</v>
      </c>
      <c r="I509" s="22" t="e">
        <f>SUM(H509/G533*100)</f>
        <v>#DIV/0!</v>
      </c>
    </row>
    <row r="510" spans="1:9" ht="42.75">
      <c r="A510" s="263" t="s">
        <v>422</v>
      </c>
      <c r="B510" s="254"/>
      <c r="C510" s="229" t="s">
        <v>5</v>
      </c>
      <c r="D510" s="229" t="s">
        <v>114</v>
      </c>
      <c r="E510" s="228" t="s">
        <v>617</v>
      </c>
      <c r="F510" s="255"/>
      <c r="G510" s="234">
        <f>G511+G512</f>
        <v>5000.2</v>
      </c>
      <c r="H510" s="22"/>
      <c r="I510" s="22"/>
    </row>
    <row r="511" spans="1:9" ht="28.5">
      <c r="A511" s="187" t="s">
        <v>697</v>
      </c>
      <c r="B511" s="254"/>
      <c r="C511" s="229" t="s">
        <v>5</v>
      </c>
      <c r="D511" s="229" t="s">
        <v>114</v>
      </c>
      <c r="E511" s="228" t="s">
        <v>617</v>
      </c>
      <c r="F511" s="255" t="s">
        <v>112</v>
      </c>
      <c r="G511" s="234">
        <v>90.9</v>
      </c>
      <c r="H511" s="22"/>
      <c r="I511" s="22"/>
    </row>
    <row r="512" spans="1:9" ht="15">
      <c r="A512" s="263" t="s">
        <v>454</v>
      </c>
      <c r="B512" s="254"/>
      <c r="C512" s="229" t="s">
        <v>5</v>
      </c>
      <c r="D512" s="229" t="s">
        <v>114</v>
      </c>
      <c r="E512" s="228" t="s">
        <v>617</v>
      </c>
      <c r="F512" s="255" t="s">
        <v>455</v>
      </c>
      <c r="G512" s="234">
        <v>4909.3</v>
      </c>
      <c r="H512" s="22"/>
      <c r="I512" s="22"/>
    </row>
    <row r="513" spans="1:9" ht="15">
      <c r="A513" s="263" t="s">
        <v>150</v>
      </c>
      <c r="B513" s="254"/>
      <c r="C513" s="229" t="s">
        <v>5</v>
      </c>
      <c r="D513" s="229" t="s">
        <v>114</v>
      </c>
      <c r="E513" s="229" t="s">
        <v>624</v>
      </c>
      <c r="F513" s="256"/>
      <c r="G513" s="234">
        <f>G514+G515</f>
        <v>5765.400000000001</v>
      </c>
      <c r="H513" s="22">
        <v>252</v>
      </c>
      <c r="I513" s="22" t="e">
        <f>SUM(H513/G534*100)</f>
        <v>#DIV/0!</v>
      </c>
    </row>
    <row r="514" spans="1:9" ht="28.5">
      <c r="A514" s="187" t="s">
        <v>697</v>
      </c>
      <c r="B514" s="254"/>
      <c r="C514" s="229" t="s">
        <v>5</v>
      </c>
      <c r="D514" s="229" t="s">
        <v>114</v>
      </c>
      <c r="E514" s="229" t="s">
        <v>624</v>
      </c>
      <c r="F514" s="256" t="s">
        <v>112</v>
      </c>
      <c r="G514" s="234">
        <v>85.6</v>
      </c>
      <c r="H514" s="22"/>
      <c r="I514" s="22"/>
    </row>
    <row r="515" spans="1:9" ht="15">
      <c r="A515" s="263" t="s">
        <v>454</v>
      </c>
      <c r="B515" s="254"/>
      <c r="C515" s="229" t="s">
        <v>5</v>
      </c>
      <c r="D515" s="229" t="s">
        <v>114</v>
      </c>
      <c r="E515" s="229" t="s">
        <v>624</v>
      </c>
      <c r="F515" s="256" t="s">
        <v>455</v>
      </c>
      <c r="G515" s="234">
        <v>5679.8</v>
      </c>
      <c r="H515" s="22">
        <f>SUM(H518)</f>
        <v>0</v>
      </c>
      <c r="I515" s="22" t="e">
        <f>SUM(H515/G535*100)</f>
        <v>#DIV/0!</v>
      </c>
    </row>
    <row r="516" spans="1:9" ht="15">
      <c r="A516" s="263" t="s">
        <v>433</v>
      </c>
      <c r="B516" s="254"/>
      <c r="C516" s="229" t="s">
        <v>5</v>
      </c>
      <c r="D516" s="229" t="s">
        <v>114</v>
      </c>
      <c r="E516" s="229" t="s">
        <v>625</v>
      </c>
      <c r="F516" s="256"/>
      <c r="G516" s="234">
        <f>G517+G518</f>
        <v>4772.8</v>
      </c>
      <c r="H516" s="22">
        <f>SUM(H517)</f>
        <v>0</v>
      </c>
      <c r="I516" s="22">
        <f>SUM(H516/G536*100)</f>
        <v>0</v>
      </c>
    </row>
    <row r="517" spans="1:9" ht="28.5">
      <c r="A517" s="187" t="s">
        <v>697</v>
      </c>
      <c r="B517" s="254"/>
      <c r="C517" s="229" t="s">
        <v>5</v>
      </c>
      <c r="D517" s="229" t="s">
        <v>114</v>
      </c>
      <c r="E517" s="229" t="s">
        <v>625</v>
      </c>
      <c r="F517" s="256" t="s">
        <v>112</v>
      </c>
      <c r="G517" s="234">
        <v>49.8</v>
      </c>
      <c r="H517" s="22"/>
      <c r="I517" s="22">
        <f>SUM(H517/G537*100)</f>
        <v>0</v>
      </c>
    </row>
    <row r="518" spans="1:9" ht="15">
      <c r="A518" s="263" t="s">
        <v>454</v>
      </c>
      <c r="B518" s="254"/>
      <c r="C518" s="229" t="s">
        <v>5</v>
      </c>
      <c r="D518" s="229" t="s">
        <v>114</v>
      </c>
      <c r="E518" s="229" t="s">
        <v>625</v>
      </c>
      <c r="F518" s="256" t="s">
        <v>455</v>
      </c>
      <c r="G518" s="235">
        <v>4723</v>
      </c>
      <c r="H518" s="22"/>
      <c r="I518" s="22">
        <f>SUM(H518/G538*100)</f>
        <v>0</v>
      </c>
    </row>
    <row r="519" spans="1:9" ht="15">
      <c r="A519" s="263" t="s">
        <v>434</v>
      </c>
      <c r="B519" s="254"/>
      <c r="C519" s="229" t="s">
        <v>5</v>
      </c>
      <c r="D519" s="229" t="s">
        <v>114</v>
      </c>
      <c r="E519" s="229" t="s">
        <v>626</v>
      </c>
      <c r="F519" s="256"/>
      <c r="G519" s="234">
        <f>SUM(G521)+G520</f>
        <v>20308.199999999997</v>
      </c>
      <c r="H519" s="22"/>
      <c r="I519" s="22"/>
    </row>
    <row r="520" spans="1:9" ht="28.5">
      <c r="A520" s="187" t="s">
        <v>697</v>
      </c>
      <c r="B520" s="254"/>
      <c r="C520" s="229" t="s">
        <v>5</v>
      </c>
      <c r="D520" s="229" t="s">
        <v>114</v>
      </c>
      <c r="E520" s="229" t="s">
        <v>626</v>
      </c>
      <c r="F520" s="256" t="s">
        <v>112</v>
      </c>
      <c r="G520" s="234">
        <v>315.1</v>
      </c>
      <c r="H520" s="22">
        <f>SUM(H522)</f>
        <v>16711.6</v>
      </c>
      <c r="I520" s="22">
        <f>SUM(H520/G540*100)</f>
        <v>1212.831119820016</v>
      </c>
    </row>
    <row r="521" spans="1:9" ht="15">
      <c r="A521" s="263" t="s">
        <v>454</v>
      </c>
      <c r="B521" s="254"/>
      <c r="C521" s="229" t="s">
        <v>5</v>
      </c>
      <c r="D521" s="229" t="s">
        <v>114</v>
      </c>
      <c r="E521" s="229" t="s">
        <v>626</v>
      </c>
      <c r="F521" s="256" t="s">
        <v>455</v>
      </c>
      <c r="G521" s="234">
        <v>19993.1</v>
      </c>
      <c r="H521" s="22"/>
      <c r="I521" s="22"/>
    </row>
    <row r="522" spans="1:9" ht="15">
      <c r="A522" s="119" t="s">
        <v>151</v>
      </c>
      <c r="B522" s="223"/>
      <c r="C522" s="224" t="s">
        <v>5</v>
      </c>
      <c r="D522" s="224" t="s">
        <v>349</v>
      </c>
      <c r="E522" s="224"/>
      <c r="F522" s="248"/>
      <c r="G522" s="175">
        <f>G523+G536+G551+G546</f>
        <v>30159.8</v>
      </c>
      <c r="H522" s="22">
        <v>16711.6</v>
      </c>
      <c r="I522" s="22">
        <f>SUM(H522/G541*100)</f>
        <v>1232.1462803214627</v>
      </c>
    </row>
    <row r="523" spans="1:9" ht="28.5">
      <c r="A523" s="119" t="s">
        <v>91</v>
      </c>
      <c r="B523" s="223"/>
      <c r="C523" s="224" t="s">
        <v>5</v>
      </c>
      <c r="D523" s="224" t="s">
        <v>349</v>
      </c>
      <c r="E523" s="224" t="s">
        <v>92</v>
      </c>
      <c r="F523" s="248"/>
      <c r="G523" s="175">
        <f>G524+G527+G531+G533</f>
        <v>21937.9</v>
      </c>
      <c r="H523" s="22">
        <f>SUM(H524)</f>
        <v>15109.199999999999</v>
      </c>
      <c r="I523" s="22">
        <f>SUM(H523/G543*100)</f>
        <v>1486.3944909001475</v>
      </c>
    </row>
    <row r="524" spans="1:9" ht="15">
      <c r="A524" s="119" t="s">
        <v>99</v>
      </c>
      <c r="B524" s="223"/>
      <c r="C524" s="224" t="s">
        <v>5</v>
      </c>
      <c r="D524" s="224" t="s">
        <v>349</v>
      </c>
      <c r="E524" s="224" t="s">
        <v>101</v>
      </c>
      <c r="F524" s="248"/>
      <c r="G524" s="175">
        <f>G525+G526</f>
        <v>3131.8</v>
      </c>
      <c r="H524" s="22">
        <f>SUM(H525)</f>
        <v>15109.199999999999</v>
      </c>
      <c r="I524" s="22" t="e">
        <f>SUM(H524/G544*100)</f>
        <v>#DIV/0!</v>
      </c>
    </row>
    <row r="525" spans="1:11" ht="28.5">
      <c r="A525" s="119" t="s">
        <v>533</v>
      </c>
      <c r="B525" s="223"/>
      <c r="C525" s="224" t="s">
        <v>5</v>
      </c>
      <c r="D525" s="224" t="s">
        <v>349</v>
      </c>
      <c r="E525" s="224" t="s">
        <v>101</v>
      </c>
      <c r="F525" s="248" t="s">
        <v>445</v>
      </c>
      <c r="G525" s="175">
        <v>3119.8</v>
      </c>
      <c r="H525" s="22">
        <f>SUM(H534+H527+H529+H536+H526)</f>
        <v>15109.199999999999</v>
      </c>
      <c r="I525" s="22">
        <f>SUM(H525/G545*100)</f>
        <v>1486.3944909001475</v>
      </c>
      <c r="K525" s="114"/>
    </row>
    <row r="526" spans="1:9" ht="28.5">
      <c r="A526" s="187" t="s">
        <v>697</v>
      </c>
      <c r="B526" s="223"/>
      <c r="C526" s="224" t="s">
        <v>5</v>
      </c>
      <c r="D526" s="224" t="s">
        <v>349</v>
      </c>
      <c r="E526" s="224" t="s">
        <v>101</v>
      </c>
      <c r="F526" s="248" t="s">
        <v>112</v>
      </c>
      <c r="G526" s="175">
        <v>12</v>
      </c>
      <c r="H526" s="22">
        <v>227.6</v>
      </c>
      <c r="I526" s="22">
        <f>SUM(H526/G551*100)</f>
        <v>303.46666666666664</v>
      </c>
    </row>
    <row r="527" spans="1:9" ht="42.75">
      <c r="A527" s="119" t="s">
        <v>534</v>
      </c>
      <c r="B527" s="223"/>
      <c r="C527" s="224" t="s">
        <v>5</v>
      </c>
      <c r="D527" s="224" t="s">
        <v>349</v>
      </c>
      <c r="E527" s="224" t="s">
        <v>154</v>
      </c>
      <c r="F527" s="248"/>
      <c r="G527" s="175">
        <f>SUM(G528:G530)</f>
        <v>4233.2</v>
      </c>
      <c r="H527" s="22">
        <f>SUM(H528)</f>
        <v>0</v>
      </c>
      <c r="I527" s="22">
        <f>SUM(H527/G552*100)</f>
        <v>0</v>
      </c>
    </row>
    <row r="528" spans="1:9" ht="28.5">
      <c r="A528" s="119" t="s">
        <v>533</v>
      </c>
      <c r="B528" s="223"/>
      <c r="C528" s="224" t="s">
        <v>5</v>
      </c>
      <c r="D528" s="224" t="s">
        <v>349</v>
      </c>
      <c r="E528" s="224" t="s">
        <v>154</v>
      </c>
      <c r="F528" s="248" t="s">
        <v>445</v>
      </c>
      <c r="G528" s="175">
        <v>3602.4</v>
      </c>
      <c r="H528" s="22"/>
      <c r="I528" s="22">
        <f>SUM(H528/G553*100)</f>
        <v>0</v>
      </c>
    </row>
    <row r="529" spans="1:9" s="108" customFormat="1" ht="28.5">
      <c r="A529" s="187" t="s">
        <v>697</v>
      </c>
      <c r="B529" s="230"/>
      <c r="C529" s="224" t="s">
        <v>5</v>
      </c>
      <c r="D529" s="224" t="s">
        <v>349</v>
      </c>
      <c r="E529" s="224" t="s">
        <v>154</v>
      </c>
      <c r="F529" s="248" t="s">
        <v>112</v>
      </c>
      <c r="G529" s="175">
        <v>606.3</v>
      </c>
      <c r="H529" s="22">
        <f>SUM(H531)</f>
        <v>2507.7</v>
      </c>
      <c r="I529" s="22" t="e">
        <f>SUM(H529/#REF!*100)</f>
        <v>#REF!</v>
      </c>
    </row>
    <row r="530" spans="1:9" s="108" customFormat="1" ht="15">
      <c r="A530" s="187" t="s">
        <v>450</v>
      </c>
      <c r="B530" s="230"/>
      <c r="C530" s="224" t="s">
        <v>5</v>
      </c>
      <c r="D530" s="224" t="s">
        <v>349</v>
      </c>
      <c r="E530" s="224" t="s">
        <v>154</v>
      </c>
      <c r="F530" s="248" t="s">
        <v>160</v>
      </c>
      <c r="G530" s="175">
        <v>24.5</v>
      </c>
      <c r="H530" s="22"/>
      <c r="I530" s="22"/>
    </row>
    <row r="531" spans="1:9" s="108" customFormat="1" ht="28.5">
      <c r="A531" s="119" t="s">
        <v>152</v>
      </c>
      <c r="B531" s="223"/>
      <c r="C531" s="224" t="s">
        <v>5</v>
      </c>
      <c r="D531" s="224" t="s">
        <v>349</v>
      </c>
      <c r="E531" s="224" t="s">
        <v>153</v>
      </c>
      <c r="F531" s="248"/>
      <c r="G531" s="175">
        <f>SUM(G532)</f>
        <v>14572.9</v>
      </c>
      <c r="H531" s="22">
        <v>2507.7</v>
      </c>
      <c r="I531" s="22" t="e">
        <f>SUM(H531/#REF!*100)</f>
        <v>#REF!</v>
      </c>
    </row>
    <row r="532" spans="1:9" s="108" customFormat="1" ht="42" customHeight="1">
      <c r="A532" s="119" t="s">
        <v>533</v>
      </c>
      <c r="B532" s="223"/>
      <c r="C532" s="224" t="s">
        <v>5</v>
      </c>
      <c r="D532" s="224" t="s">
        <v>349</v>
      </c>
      <c r="E532" s="224" t="s">
        <v>153</v>
      </c>
      <c r="F532" s="248" t="s">
        <v>445</v>
      </c>
      <c r="G532" s="175">
        <v>14572.9</v>
      </c>
      <c r="H532" s="22"/>
      <c r="I532" s="22" t="e">
        <f>SUM(H532/#REF!*100)</f>
        <v>#REF!</v>
      </c>
    </row>
    <row r="533" spans="1:9" ht="28.5" hidden="1">
      <c r="A533" s="119" t="s">
        <v>155</v>
      </c>
      <c r="B533" s="230"/>
      <c r="C533" s="224" t="s">
        <v>5</v>
      </c>
      <c r="D533" s="224" t="s">
        <v>349</v>
      </c>
      <c r="E533" s="224" t="s">
        <v>156</v>
      </c>
      <c r="F533" s="248"/>
      <c r="G533" s="175">
        <f>G534+G535</f>
        <v>0</v>
      </c>
      <c r="H533" s="22">
        <f>2956.3+101.6</f>
        <v>3057.9</v>
      </c>
      <c r="I533" s="22" t="e">
        <f>SUM(H533/#REF!*100)</f>
        <v>#REF!</v>
      </c>
    </row>
    <row r="534" spans="1:9" ht="28.5" hidden="1">
      <c r="A534" s="119" t="s">
        <v>533</v>
      </c>
      <c r="B534" s="223"/>
      <c r="C534" s="224" t="s">
        <v>5</v>
      </c>
      <c r="D534" s="224" t="s">
        <v>349</v>
      </c>
      <c r="E534" s="224" t="s">
        <v>156</v>
      </c>
      <c r="F534" s="248" t="s">
        <v>445</v>
      </c>
      <c r="G534" s="175"/>
      <c r="H534" s="22">
        <f>SUM(H535)</f>
        <v>10267.1</v>
      </c>
      <c r="I534" s="22" t="e">
        <f>SUM(H534/#REF!*100)</f>
        <v>#REF!</v>
      </c>
    </row>
    <row r="535" spans="1:9" ht="15" hidden="1">
      <c r="A535" s="119" t="s">
        <v>449</v>
      </c>
      <c r="B535" s="223"/>
      <c r="C535" s="224" t="s">
        <v>5</v>
      </c>
      <c r="D535" s="224" t="s">
        <v>349</v>
      </c>
      <c r="E535" s="224" t="s">
        <v>156</v>
      </c>
      <c r="F535" s="248" t="s">
        <v>112</v>
      </c>
      <c r="G535" s="175"/>
      <c r="H535" s="22">
        <v>10267.1</v>
      </c>
      <c r="I535" s="22" t="e">
        <f>SUM(H535/#REF!*100)</f>
        <v>#REF!</v>
      </c>
    </row>
    <row r="536" spans="1:9" s="108" customFormat="1" ht="28.5">
      <c r="A536" s="119" t="s">
        <v>446</v>
      </c>
      <c r="B536" s="223"/>
      <c r="C536" s="224" t="s">
        <v>5</v>
      </c>
      <c r="D536" s="224" t="s">
        <v>349</v>
      </c>
      <c r="E536" s="224" t="s">
        <v>447</v>
      </c>
      <c r="F536" s="248"/>
      <c r="G536" s="175">
        <f>G537+G540+G543</f>
        <v>2625.1</v>
      </c>
      <c r="H536" s="22">
        <f>SUM(H537)</f>
        <v>2106.8</v>
      </c>
      <c r="I536" s="22" t="e">
        <f>SUM(H536/#REF!*100)</f>
        <v>#REF!</v>
      </c>
    </row>
    <row r="537" spans="1:9" ht="15">
      <c r="A537" s="119" t="s">
        <v>437</v>
      </c>
      <c r="B537" s="230"/>
      <c r="C537" s="224" t="s">
        <v>5</v>
      </c>
      <c r="D537" s="224" t="s">
        <v>349</v>
      </c>
      <c r="E537" s="224" t="s">
        <v>448</v>
      </c>
      <c r="F537" s="248"/>
      <c r="G537" s="175">
        <f>SUM(G538)+G539</f>
        <v>230.7</v>
      </c>
      <c r="H537" s="22">
        <v>2106.8</v>
      </c>
      <c r="I537" s="22" t="e">
        <f>SUM(H537/#REF!*100)</f>
        <v>#REF!</v>
      </c>
    </row>
    <row r="538" spans="1:9" s="96" customFormat="1" ht="28.5">
      <c r="A538" s="187" t="s">
        <v>697</v>
      </c>
      <c r="B538" s="223"/>
      <c r="C538" s="224" t="s">
        <v>5</v>
      </c>
      <c r="D538" s="224" t="s">
        <v>349</v>
      </c>
      <c r="E538" s="224" t="s">
        <v>448</v>
      </c>
      <c r="F538" s="248" t="s">
        <v>112</v>
      </c>
      <c r="G538" s="175">
        <v>230</v>
      </c>
      <c r="H538" s="22"/>
      <c r="I538" s="22"/>
    </row>
    <row r="539" spans="1:9" s="96" customFormat="1" ht="15">
      <c r="A539" s="187" t="s">
        <v>450</v>
      </c>
      <c r="B539" s="223"/>
      <c r="C539" s="224" t="s">
        <v>5</v>
      </c>
      <c r="D539" s="224" t="s">
        <v>349</v>
      </c>
      <c r="E539" s="224" t="s">
        <v>448</v>
      </c>
      <c r="F539" s="248" t="s">
        <v>160</v>
      </c>
      <c r="G539" s="175">
        <v>0.7</v>
      </c>
      <c r="H539" s="22"/>
      <c r="I539" s="22"/>
    </row>
    <row r="540" spans="1:9" s="96" customFormat="1" ht="28.5">
      <c r="A540" s="119" t="s">
        <v>438</v>
      </c>
      <c r="B540" s="230"/>
      <c r="C540" s="224" t="s">
        <v>5</v>
      </c>
      <c r="D540" s="224" t="s">
        <v>349</v>
      </c>
      <c r="E540" s="224" t="s">
        <v>451</v>
      </c>
      <c r="F540" s="248"/>
      <c r="G540" s="175">
        <f>SUM(G541)+G542</f>
        <v>1377.8999999999999</v>
      </c>
      <c r="H540" s="22"/>
      <c r="I540" s="22"/>
    </row>
    <row r="541" spans="1:9" s="96" customFormat="1" ht="28.5">
      <c r="A541" s="187" t="s">
        <v>697</v>
      </c>
      <c r="B541" s="223"/>
      <c r="C541" s="224" t="s">
        <v>5</v>
      </c>
      <c r="D541" s="224" t="s">
        <v>349</v>
      </c>
      <c r="E541" s="224" t="s">
        <v>451</v>
      </c>
      <c r="F541" s="248" t="s">
        <v>112</v>
      </c>
      <c r="G541" s="175">
        <v>1356.3</v>
      </c>
      <c r="H541" s="22"/>
      <c r="I541" s="22"/>
    </row>
    <row r="542" spans="1:9" s="96" customFormat="1" ht="15">
      <c r="A542" s="187" t="s">
        <v>450</v>
      </c>
      <c r="B542" s="223"/>
      <c r="C542" s="224" t="s">
        <v>5</v>
      </c>
      <c r="D542" s="224" t="s">
        <v>349</v>
      </c>
      <c r="E542" s="224" t="s">
        <v>451</v>
      </c>
      <c r="F542" s="248" t="s">
        <v>160</v>
      </c>
      <c r="G542" s="175">
        <v>21.6</v>
      </c>
      <c r="H542" s="22"/>
      <c r="I542" s="22"/>
    </row>
    <row r="543" spans="1:9" s="96" customFormat="1" ht="27" customHeight="1">
      <c r="A543" s="119" t="s">
        <v>452</v>
      </c>
      <c r="B543" s="230"/>
      <c r="C543" s="224" t="s">
        <v>5</v>
      </c>
      <c r="D543" s="224" t="s">
        <v>349</v>
      </c>
      <c r="E543" s="224" t="s">
        <v>453</v>
      </c>
      <c r="F543" s="248"/>
      <c r="G543" s="175">
        <f>G544+G545</f>
        <v>1016.5</v>
      </c>
      <c r="H543" s="22">
        <v>1026.3</v>
      </c>
      <c r="I543" s="22" t="e">
        <f>SUM(H543/#REF!*100)</f>
        <v>#REF!</v>
      </c>
    </row>
    <row r="544" spans="1:9" s="96" customFormat="1" ht="28.5" hidden="1">
      <c r="A544" s="119" t="s">
        <v>533</v>
      </c>
      <c r="B544" s="223"/>
      <c r="C544" s="224" t="s">
        <v>5</v>
      </c>
      <c r="D544" s="224" t="s">
        <v>349</v>
      </c>
      <c r="E544" s="224" t="s">
        <v>453</v>
      </c>
      <c r="F544" s="248" t="s">
        <v>445</v>
      </c>
      <c r="G544" s="175"/>
      <c r="H544" s="22"/>
      <c r="I544" s="22"/>
    </row>
    <row r="545" spans="1:9" s="96" customFormat="1" ht="28.5">
      <c r="A545" s="187" t="s">
        <v>697</v>
      </c>
      <c r="B545" s="223"/>
      <c r="C545" s="224" t="s">
        <v>5</v>
      </c>
      <c r="D545" s="224" t="s">
        <v>349</v>
      </c>
      <c r="E545" s="224" t="s">
        <v>453</v>
      </c>
      <c r="F545" s="248" t="s">
        <v>112</v>
      </c>
      <c r="G545" s="175">
        <v>1016.5</v>
      </c>
      <c r="H545" s="22"/>
      <c r="I545" s="22"/>
    </row>
    <row r="546" spans="1:9" s="96" customFormat="1" ht="28.5">
      <c r="A546" s="263" t="s">
        <v>594</v>
      </c>
      <c r="B546" s="254"/>
      <c r="C546" s="228" t="s">
        <v>5</v>
      </c>
      <c r="D546" s="228" t="s">
        <v>349</v>
      </c>
      <c r="E546" s="228" t="s">
        <v>595</v>
      </c>
      <c r="F546" s="248"/>
      <c r="G546" s="234">
        <f>G547</f>
        <v>5521.8</v>
      </c>
      <c r="H546" s="22"/>
      <c r="I546" s="22"/>
    </row>
    <row r="547" spans="1:9" s="96" customFormat="1" ht="85.5">
      <c r="A547" s="263" t="s">
        <v>615</v>
      </c>
      <c r="B547" s="254"/>
      <c r="C547" s="228" t="s">
        <v>5</v>
      </c>
      <c r="D547" s="228" t="s">
        <v>349</v>
      </c>
      <c r="E547" s="228" t="s">
        <v>616</v>
      </c>
      <c r="F547" s="248"/>
      <c r="G547" s="234">
        <f>G548</f>
        <v>5521.8</v>
      </c>
      <c r="H547" s="22"/>
      <c r="I547" s="22"/>
    </row>
    <row r="548" spans="1:9" s="96" customFormat="1" ht="28.5">
      <c r="A548" s="265" t="s">
        <v>155</v>
      </c>
      <c r="B548" s="254"/>
      <c r="C548" s="228" t="s">
        <v>5</v>
      </c>
      <c r="D548" s="228" t="s">
        <v>349</v>
      </c>
      <c r="E548" s="228" t="s">
        <v>627</v>
      </c>
      <c r="F548" s="248"/>
      <c r="G548" s="234">
        <f>G549+G550</f>
        <v>5521.8</v>
      </c>
      <c r="H548" s="22"/>
      <c r="I548" s="22"/>
    </row>
    <row r="549" spans="1:9" s="96" customFormat="1" ht="28.5">
      <c r="A549" s="263" t="s">
        <v>533</v>
      </c>
      <c r="B549" s="254"/>
      <c r="C549" s="228" t="s">
        <v>5</v>
      </c>
      <c r="D549" s="228" t="s">
        <v>349</v>
      </c>
      <c r="E549" s="228" t="s">
        <v>627</v>
      </c>
      <c r="F549" s="248" t="s">
        <v>445</v>
      </c>
      <c r="G549" s="234">
        <v>4948.6</v>
      </c>
      <c r="H549" s="22"/>
      <c r="I549" s="22"/>
    </row>
    <row r="550" spans="1:9" s="96" customFormat="1" ht="28.5">
      <c r="A550" s="187" t="s">
        <v>697</v>
      </c>
      <c r="B550" s="254"/>
      <c r="C550" s="228" t="s">
        <v>5</v>
      </c>
      <c r="D550" s="228" t="s">
        <v>349</v>
      </c>
      <c r="E550" s="228" t="s">
        <v>627</v>
      </c>
      <c r="F550" s="248" t="s">
        <v>112</v>
      </c>
      <c r="G550" s="234">
        <v>573.2</v>
      </c>
      <c r="H550" s="22"/>
      <c r="I550" s="22"/>
    </row>
    <row r="551" spans="1:9" s="96" customFormat="1" ht="15">
      <c r="A551" s="119" t="s">
        <v>530</v>
      </c>
      <c r="B551" s="223"/>
      <c r="C551" s="224" t="s">
        <v>5</v>
      </c>
      <c r="D551" s="224" t="s">
        <v>349</v>
      </c>
      <c r="E551" s="224" t="s">
        <v>121</v>
      </c>
      <c r="F551" s="248"/>
      <c r="G551" s="175">
        <f>G552</f>
        <v>75</v>
      </c>
      <c r="H551" s="22"/>
      <c r="I551" s="22"/>
    </row>
    <row r="552" spans="1:9" s="96" customFormat="1" ht="42.75">
      <c r="A552" s="119" t="s">
        <v>535</v>
      </c>
      <c r="B552" s="223"/>
      <c r="C552" s="224" t="s">
        <v>5</v>
      </c>
      <c r="D552" s="224" t="s">
        <v>349</v>
      </c>
      <c r="E552" s="224" t="s">
        <v>324</v>
      </c>
      <c r="F552" s="248"/>
      <c r="G552" s="175">
        <f>G553</f>
        <v>75</v>
      </c>
      <c r="H552" s="22"/>
      <c r="I552" s="22"/>
    </row>
    <row r="553" spans="1:9" ht="28.5">
      <c r="A553" s="119" t="s">
        <v>528</v>
      </c>
      <c r="B553" s="223"/>
      <c r="C553" s="224" t="s">
        <v>5</v>
      </c>
      <c r="D553" s="224" t="s">
        <v>349</v>
      </c>
      <c r="E553" s="224" t="s">
        <v>324</v>
      </c>
      <c r="F553" s="248" t="s">
        <v>461</v>
      </c>
      <c r="G553" s="175">
        <v>75</v>
      </c>
      <c r="H553" s="22"/>
      <c r="I553" s="22"/>
    </row>
    <row r="554" spans="1:9" ht="30">
      <c r="A554" s="193" t="s">
        <v>439</v>
      </c>
      <c r="B554" s="194" t="s">
        <v>181</v>
      </c>
      <c r="C554" s="195"/>
      <c r="D554" s="195"/>
      <c r="E554" s="195"/>
      <c r="F554" s="244"/>
      <c r="G554" s="176">
        <f>SUM(G555+G561)</f>
        <v>64961</v>
      </c>
      <c r="H554" s="22"/>
      <c r="I554" s="22"/>
    </row>
    <row r="555" spans="1:9" ht="15">
      <c r="A555" s="187" t="s">
        <v>108</v>
      </c>
      <c r="B555" s="188"/>
      <c r="C555" s="192" t="s">
        <v>109</v>
      </c>
      <c r="D555" s="192"/>
      <c r="E555" s="192"/>
      <c r="F555" s="242"/>
      <c r="G555" s="161">
        <f>SUM(G556)</f>
        <v>57895</v>
      </c>
      <c r="H555" s="22"/>
      <c r="I555" s="22"/>
    </row>
    <row r="556" spans="1:9" ht="15">
      <c r="A556" s="187" t="s">
        <v>302</v>
      </c>
      <c r="B556" s="194"/>
      <c r="C556" s="192" t="s">
        <v>109</v>
      </c>
      <c r="D556" s="192" t="s">
        <v>416</v>
      </c>
      <c r="E556" s="192"/>
      <c r="F556" s="242"/>
      <c r="G556" s="161">
        <f>SUM(G557)</f>
        <v>57895</v>
      </c>
      <c r="H556" s="22"/>
      <c r="I556" s="22"/>
    </row>
    <row r="557" spans="1:9" ht="15">
      <c r="A557" s="187" t="s">
        <v>562</v>
      </c>
      <c r="B557" s="188"/>
      <c r="C557" s="192" t="s">
        <v>109</v>
      </c>
      <c r="D557" s="192" t="s">
        <v>416</v>
      </c>
      <c r="E557" s="192" t="s">
        <v>289</v>
      </c>
      <c r="F557" s="242"/>
      <c r="G557" s="161">
        <f>SUM(G558)</f>
        <v>57895</v>
      </c>
      <c r="H557" s="22"/>
      <c r="I557" s="22"/>
    </row>
    <row r="558" spans="1:9" ht="15">
      <c r="A558" s="187" t="s">
        <v>543</v>
      </c>
      <c r="B558" s="194"/>
      <c r="C558" s="192" t="s">
        <v>109</v>
      </c>
      <c r="D558" s="192" t="s">
        <v>416</v>
      </c>
      <c r="E558" s="192" t="s">
        <v>73</v>
      </c>
      <c r="F558" s="242"/>
      <c r="G558" s="161">
        <f>SUM(G559)</f>
        <v>57895</v>
      </c>
      <c r="H558" s="22"/>
      <c r="I558" s="22"/>
    </row>
    <row r="559" spans="1:9" ht="28.5">
      <c r="A559" s="187" t="s">
        <v>87</v>
      </c>
      <c r="B559" s="194"/>
      <c r="C559" s="192" t="s">
        <v>109</v>
      </c>
      <c r="D559" s="192" t="s">
        <v>416</v>
      </c>
      <c r="E559" s="192" t="s">
        <v>74</v>
      </c>
      <c r="F559" s="242"/>
      <c r="G559" s="161">
        <f>SUM(G560)</f>
        <v>57895</v>
      </c>
      <c r="H559" s="85"/>
      <c r="I559" s="22"/>
    </row>
    <row r="560" spans="1:9" ht="28.5">
      <c r="A560" s="119" t="s">
        <v>463</v>
      </c>
      <c r="B560" s="207"/>
      <c r="C560" s="192" t="s">
        <v>109</v>
      </c>
      <c r="D560" s="192" t="s">
        <v>416</v>
      </c>
      <c r="E560" s="192" t="s">
        <v>74</v>
      </c>
      <c r="F560" s="243" t="s">
        <v>461</v>
      </c>
      <c r="G560" s="161">
        <v>57895</v>
      </c>
      <c r="H560" s="85"/>
      <c r="I560" s="22"/>
    </row>
    <row r="561" spans="1:9" ht="15.75">
      <c r="A561" s="187" t="s">
        <v>219</v>
      </c>
      <c r="B561" s="188"/>
      <c r="C561" s="192" t="s">
        <v>375</v>
      </c>
      <c r="D561" s="192"/>
      <c r="E561" s="192"/>
      <c r="F561" s="242"/>
      <c r="G561" s="161">
        <f>SUM(G562+G582+G578)</f>
        <v>7066</v>
      </c>
      <c r="H561" s="85"/>
      <c r="I561" s="22"/>
    </row>
    <row r="562" spans="1:9" ht="15.75">
      <c r="A562" s="187" t="s">
        <v>214</v>
      </c>
      <c r="B562" s="188"/>
      <c r="C562" s="189" t="s">
        <v>375</v>
      </c>
      <c r="D562" s="189" t="s">
        <v>414</v>
      </c>
      <c r="E562" s="189"/>
      <c r="F562" s="241"/>
      <c r="G562" s="161">
        <f>SUM(G563,G565,G571)</f>
        <v>7066</v>
      </c>
      <c r="H562" s="85"/>
      <c r="I562" s="22"/>
    </row>
    <row r="563" spans="1:9" ht="15.75" hidden="1">
      <c r="A563" s="119" t="s">
        <v>345</v>
      </c>
      <c r="B563" s="188"/>
      <c r="C563" s="189" t="s">
        <v>272</v>
      </c>
      <c r="D563" s="189" t="s">
        <v>116</v>
      </c>
      <c r="E563" s="192" t="s">
        <v>346</v>
      </c>
      <c r="F563" s="242"/>
      <c r="G563" s="161">
        <f>SUM(G564)</f>
        <v>0</v>
      </c>
      <c r="H563" s="85"/>
      <c r="I563" s="22"/>
    </row>
    <row r="564" spans="1:9" ht="15.75" hidden="1">
      <c r="A564" s="187" t="s">
        <v>95</v>
      </c>
      <c r="B564" s="188"/>
      <c r="C564" s="189" t="s">
        <v>272</v>
      </c>
      <c r="D564" s="189" t="s">
        <v>116</v>
      </c>
      <c r="E564" s="192" t="s">
        <v>346</v>
      </c>
      <c r="F564" s="242" t="s">
        <v>96</v>
      </c>
      <c r="G564" s="161">
        <f>50.3-50.3</f>
        <v>0</v>
      </c>
      <c r="H564" s="85"/>
      <c r="I564" s="22"/>
    </row>
    <row r="565" spans="1:9" ht="28.5">
      <c r="A565" s="187" t="s">
        <v>440</v>
      </c>
      <c r="B565" s="188"/>
      <c r="C565" s="189" t="s">
        <v>375</v>
      </c>
      <c r="D565" s="189" t="s">
        <v>414</v>
      </c>
      <c r="E565" s="189" t="s">
        <v>441</v>
      </c>
      <c r="F565" s="242"/>
      <c r="G565" s="161">
        <f>SUM(G566)</f>
        <v>3854.3</v>
      </c>
      <c r="H565" s="85"/>
      <c r="I565" s="22"/>
    </row>
    <row r="566" spans="1:9" ht="28.5">
      <c r="A566" s="187" t="s">
        <v>51</v>
      </c>
      <c r="B566" s="188"/>
      <c r="C566" s="189" t="s">
        <v>375</v>
      </c>
      <c r="D566" s="189" t="s">
        <v>414</v>
      </c>
      <c r="E566" s="189" t="s">
        <v>442</v>
      </c>
      <c r="F566" s="242"/>
      <c r="G566" s="161">
        <f>SUM(G567)</f>
        <v>3854.3</v>
      </c>
      <c r="H566" s="85"/>
      <c r="I566" s="22"/>
    </row>
    <row r="567" spans="1:9" ht="28.5">
      <c r="A567" s="187" t="s">
        <v>692</v>
      </c>
      <c r="B567" s="188"/>
      <c r="C567" s="189" t="s">
        <v>375</v>
      </c>
      <c r="D567" s="189" t="s">
        <v>414</v>
      </c>
      <c r="E567" s="189" t="s">
        <v>516</v>
      </c>
      <c r="F567" s="242"/>
      <c r="G567" s="161">
        <f>SUM(G568:G570)</f>
        <v>3854.3</v>
      </c>
      <c r="H567" s="85"/>
      <c r="I567" s="22"/>
    </row>
    <row r="568" spans="1:9" ht="28.5">
      <c r="A568" s="187" t="s">
        <v>444</v>
      </c>
      <c r="B568" s="188"/>
      <c r="C568" s="189" t="s">
        <v>375</v>
      </c>
      <c r="D568" s="189" t="s">
        <v>414</v>
      </c>
      <c r="E568" s="189" t="s">
        <v>516</v>
      </c>
      <c r="F568" s="241" t="s">
        <v>445</v>
      </c>
      <c r="G568" s="161">
        <v>3228.9</v>
      </c>
      <c r="H568" s="22">
        <f>SUM(H569)</f>
        <v>79.5</v>
      </c>
      <c r="I568" s="22"/>
    </row>
    <row r="569" spans="1:9" ht="28.5">
      <c r="A569" s="187" t="s">
        <v>697</v>
      </c>
      <c r="B569" s="188"/>
      <c r="C569" s="189" t="s">
        <v>375</v>
      </c>
      <c r="D569" s="189" t="s">
        <v>414</v>
      </c>
      <c r="E569" s="189" t="s">
        <v>516</v>
      </c>
      <c r="F569" s="241" t="s">
        <v>112</v>
      </c>
      <c r="G569" s="169">
        <v>619.4</v>
      </c>
      <c r="H569" s="22">
        <v>79.5</v>
      </c>
      <c r="I569" s="22"/>
    </row>
    <row r="570" spans="1:9" ht="15">
      <c r="A570" s="187" t="s">
        <v>450</v>
      </c>
      <c r="B570" s="188"/>
      <c r="C570" s="189" t="s">
        <v>375</v>
      </c>
      <c r="D570" s="189" t="s">
        <v>414</v>
      </c>
      <c r="E570" s="189" t="s">
        <v>516</v>
      </c>
      <c r="F570" s="242" t="s">
        <v>160</v>
      </c>
      <c r="G570" s="161">
        <v>6</v>
      </c>
      <c r="H570" s="22">
        <f>SUM(H572)</f>
        <v>186.6</v>
      </c>
      <c r="I570" s="22" t="e">
        <f>SUM(H570/G591*100)</f>
        <v>#DIV/0!</v>
      </c>
    </row>
    <row r="571" spans="1:9" ht="15">
      <c r="A571" s="119" t="s">
        <v>530</v>
      </c>
      <c r="B571" s="188"/>
      <c r="C571" s="189" t="s">
        <v>375</v>
      </c>
      <c r="D571" s="189" t="s">
        <v>414</v>
      </c>
      <c r="E571" s="195" t="s">
        <v>121</v>
      </c>
      <c r="F571" s="241"/>
      <c r="G571" s="161">
        <f>SUM(G572)</f>
        <v>3211.7</v>
      </c>
      <c r="H571" s="22">
        <f>SUM(H572)</f>
        <v>186.6</v>
      </c>
      <c r="I571" s="22" t="e">
        <f>SUM(H571/G592*100)</f>
        <v>#DIV/0!</v>
      </c>
    </row>
    <row r="572" spans="1:9" ht="28.5">
      <c r="A572" s="187" t="s">
        <v>753</v>
      </c>
      <c r="B572" s="188"/>
      <c r="C572" s="189" t="s">
        <v>375</v>
      </c>
      <c r="D572" s="189" t="s">
        <v>414</v>
      </c>
      <c r="E572" s="195" t="s">
        <v>90</v>
      </c>
      <c r="F572" s="241"/>
      <c r="G572" s="161">
        <f>SUM(G573:G575)</f>
        <v>3211.7</v>
      </c>
      <c r="H572" s="22">
        <v>186.6</v>
      </c>
      <c r="I572" s="22" t="e">
        <f>SUM(H572/G593*100)</f>
        <v>#DIV/0!</v>
      </c>
    </row>
    <row r="573" spans="1:9" ht="28.5">
      <c r="A573" s="187" t="s">
        <v>444</v>
      </c>
      <c r="B573" s="188"/>
      <c r="C573" s="189" t="s">
        <v>375</v>
      </c>
      <c r="D573" s="189" t="s">
        <v>414</v>
      </c>
      <c r="E573" s="195" t="s">
        <v>90</v>
      </c>
      <c r="F573" s="241" t="s">
        <v>445</v>
      </c>
      <c r="G573" s="161">
        <v>700</v>
      </c>
      <c r="H573" s="22"/>
      <c r="I573" s="22"/>
    </row>
    <row r="574" spans="1:9" ht="28.5">
      <c r="A574" s="187" t="s">
        <v>697</v>
      </c>
      <c r="B574" s="188"/>
      <c r="C574" s="189" t="s">
        <v>375</v>
      </c>
      <c r="D574" s="189" t="s">
        <v>414</v>
      </c>
      <c r="E574" s="195" t="s">
        <v>90</v>
      </c>
      <c r="F574" s="241" t="s">
        <v>112</v>
      </c>
      <c r="G574" s="161">
        <v>1555.7</v>
      </c>
      <c r="H574" s="85" t="e">
        <f>SUM(H575)</f>
        <v>#REF!</v>
      </c>
      <c r="I574" s="85" t="e">
        <f>SUM(H574/#REF!*100)</f>
        <v>#REF!</v>
      </c>
    </row>
    <row r="575" spans="1:9" ht="28.5">
      <c r="A575" s="119" t="s">
        <v>463</v>
      </c>
      <c r="B575" s="188"/>
      <c r="C575" s="189" t="s">
        <v>375</v>
      </c>
      <c r="D575" s="189" t="s">
        <v>414</v>
      </c>
      <c r="E575" s="195" t="s">
        <v>90</v>
      </c>
      <c r="F575" s="241" t="s">
        <v>461</v>
      </c>
      <c r="G575" s="161">
        <v>956</v>
      </c>
      <c r="H575" s="22" t="e">
        <f>SUM(H576)</f>
        <v>#REF!</v>
      </c>
      <c r="I575" s="22" t="e">
        <f>SUM(H575/#REF!*100)</f>
        <v>#REF!</v>
      </c>
    </row>
    <row r="576" spans="1:9" ht="28.5" hidden="1">
      <c r="A576" s="187" t="s">
        <v>142</v>
      </c>
      <c r="B576" s="188"/>
      <c r="C576" s="189" t="s">
        <v>375</v>
      </c>
      <c r="D576" s="189" t="s">
        <v>414</v>
      </c>
      <c r="E576" s="195" t="s">
        <v>368</v>
      </c>
      <c r="F576" s="241"/>
      <c r="G576" s="161">
        <f>SUM(G577)</f>
        <v>0</v>
      </c>
      <c r="H576" s="22" t="e">
        <f>SUM(H577+#REF!)</f>
        <v>#REF!</v>
      </c>
      <c r="I576" s="22" t="e">
        <f>SUM(H576/#REF!*100)</f>
        <v>#REF!</v>
      </c>
    </row>
    <row r="577" spans="1:9" ht="15" hidden="1">
      <c r="A577" s="119" t="s">
        <v>134</v>
      </c>
      <c r="B577" s="188"/>
      <c r="C577" s="189" t="s">
        <v>375</v>
      </c>
      <c r="D577" s="189" t="s">
        <v>414</v>
      </c>
      <c r="E577" s="195" t="s">
        <v>368</v>
      </c>
      <c r="F577" s="241" t="s">
        <v>78</v>
      </c>
      <c r="G577" s="161"/>
      <c r="H577" s="22" t="e">
        <f>SUM(H578+H580+#REF!+#REF!+#REF!+#REF!)</f>
        <v>#REF!</v>
      </c>
      <c r="I577" s="22" t="e">
        <f>SUM(H577/#REF!*100)</f>
        <v>#REF!</v>
      </c>
    </row>
    <row r="578" spans="1:9" ht="15" hidden="1">
      <c r="A578" s="187" t="s">
        <v>145</v>
      </c>
      <c r="B578" s="188"/>
      <c r="C578" s="189" t="s">
        <v>375</v>
      </c>
      <c r="D578" s="189" t="s">
        <v>416</v>
      </c>
      <c r="E578" s="192"/>
      <c r="F578" s="242"/>
      <c r="G578" s="161">
        <f>SUM(G579)</f>
        <v>0</v>
      </c>
      <c r="H578" s="22">
        <f>SUM(H579)</f>
        <v>2461.2</v>
      </c>
      <c r="I578" s="22" t="e">
        <f>SUM(H578/#REF!*100)</f>
        <v>#REF!</v>
      </c>
    </row>
    <row r="579" spans="1:9" ht="15" hidden="1">
      <c r="A579" s="187" t="s">
        <v>3</v>
      </c>
      <c r="B579" s="188"/>
      <c r="C579" s="189" t="s">
        <v>375</v>
      </c>
      <c r="D579" s="189" t="s">
        <v>416</v>
      </c>
      <c r="E579" s="189" t="s">
        <v>4</v>
      </c>
      <c r="F579" s="242"/>
      <c r="G579" s="161">
        <f>SUM(G580)</f>
        <v>0</v>
      </c>
      <c r="H579" s="22">
        <v>2461.2</v>
      </c>
      <c r="I579" s="22" t="e">
        <f>SUM(H579/#REF!*100)</f>
        <v>#REF!</v>
      </c>
    </row>
    <row r="580" spans="1:9" ht="28.5" hidden="1">
      <c r="A580" s="187" t="s">
        <v>146</v>
      </c>
      <c r="B580" s="188"/>
      <c r="C580" s="189" t="s">
        <v>375</v>
      </c>
      <c r="D580" s="189" t="s">
        <v>416</v>
      </c>
      <c r="E580" s="189" t="s">
        <v>266</v>
      </c>
      <c r="F580" s="242"/>
      <c r="G580" s="161">
        <f>SUM(G581)</f>
        <v>0</v>
      </c>
      <c r="H580" s="22">
        <f>SUM(H581)</f>
        <v>25107.2</v>
      </c>
      <c r="I580" s="22" t="e">
        <f>SUM(H580/#REF!*100)</f>
        <v>#REF!</v>
      </c>
    </row>
    <row r="581" spans="1:9" ht="15" hidden="1">
      <c r="A581" s="119" t="s">
        <v>134</v>
      </c>
      <c r="B581" s="188"/>
      <c r="C581" s="189" t="s">
        <v>375</v>
      </c>
      <c r="D581" s="189" t="s">
        <v>416</v>
      </c>
      <c r="E581" s="189" t="s">
        <v>266</v>
      </c>
      <c r="F581" s="241" t="s">
        <v>78</v>
      </c>
      <c r="G581" s="161"/>
      <c r="H581" s="22">
        <v>25107.2</v>
      </c>
      <c r="I581" s="22" t="e">
        <f>SUM(H581/#REF!*100)</f>
        <v>#REF!</v>
      </c>
    </row>
    <row r="582" spans="1:9" ht="15" hidden="1">
      <c r="A582" s="187" t="s">
        <v>215</v>
      </c>
      <c r="B582" s="188"/>
      <c r="C582" s="189" t="s">
        <v>375</v>
      </c>
      <c r="D582" s="189" t="s">
        <v>123</v>
      </c>
      <c r="E582" s="192"/>
      <c r="F582" s="242"/>
      <c r="G582" s="161">
        <f>SUM(G583+G589+G591)+G586</f>
        <v>0</v>
      </c>
      <c r="H582" s="22">
        <f>SUM(H586+H684+H682)</f>
        <v>56722</v>
      </c>
      <c r="I582" s="22">
        <f>SUM(H582/G598*100)</f>
        <v>32.25516621743037</v>
      </c>
    </row>
    <row r="583" spans="1:9" ht="28.5" hidden="1">
      <c r="A583" s="187" t="s">
        <v>91</v>
      </c>
      <c r="B583" s="188"/>
      <c r="C583" s="189" t="s">
        <v>375</v>
      </c>
      <c r="D583" s="189" t="s">
        <v>123</v>
      </c>
      <c r="E583" s="189" t="s">
        <v>92</v>
      </c>
      <c r="F583" s="242"/>
      <c r="G583" s="161">
        <f>SUM(G584)</f>
        <v>0</v>
      </c>
      <c r="H583" s="22"/>
      <c r="I583" s="22"/>
    </row>
    <row r="584" spans="1:9" ht="15" hidden="1">
      <c r="A584" s="187" t="s">
        <v>99</v>
      </c>
      <c r="B584" s="188"/>
      <c r="C584" s="189" t="s">
        <v>375</v>
      </c>
      <c r="D584" s="189" t="s">
        <v>123</v>
      </c>
      <c r="E584" s="189" t="s">
        <v>101</v>
      </c>
      <c r="F584" s="242"/>
      <c r="G584" s="161">
        <f>SUM(G585)</f>
        <v>0</v>
      </c>
      <c r="H584" s="22"/>
      <c r="I584" s="22"/>
    </row>
    <row r="585" spans="1:9" ht="15" hidden="1">
      <c r="A585" s="187" t="s">
        <v>95</v>
      </c>
      <c r="B585" s="188"/>
      <c r="C585" s="189" t="s">
        <v>375</v>
      </c>
      <c r="D585" s="189" t="s">
        <v>123</v>
      </c>
      <c r="E585" s="189" t="s">
        <v>101</v>
      </c>
      <c r="F585" s="241" t="s">
        <v>96</v>
      </c>
      <c r="G585" s="161"/>
      <c r="H585" s="22"/>
      <c r="I585" s="22"/>
    </row>
    <row r="586" spans="1:9" ht="15" hidden="1">
      <c r="A586" s="119" t="s">
        <v>120</v>
      </c>
      <c r="B586" s="188"/>
      <c r="C586" s="189" t="s">
        <v>375</v>
      </c>
      <c r="D586" s="189" t="s">
        <v>123</v>
      </c>
      <c r="E586" s="195" t="s">
        <v>121</v>
      </c>
      <c r="F586" s="241"/>
      <c r="G586" s="161">
        <f>SUM(G587)</f>
        <v>0</v>
      </c>
      <c r="H586" s="22">
        <v>56722</v>
      </c>
      <c r="I586" s="22" t="e">
        <f>SUM(H586/#REF!*100)</f>
        <v>#REF!</v>
      </c>
    </row>
    <row r="587" spans="1:9" ht="42.75" hidden="1">
      <c r="A587" s="200" t="s">
        <v>185</v>
      </c>
      <c r="B587" s="188"/>
      <c r="C587" s="189" t="s">
        <v>375</v>
      </c>
      <c r="D587" s="189" t="s">
        <v>123</v>
      </c>
      <c r="E587" s="192" t="s">
        <v>270</v>
      </c>
      <c r="F587" s="241"/>
      <c r="G587" s="161">
        <f>SUM(G588)</f>
        <v>0</v>
      </c>
      <c r="H587" s="22"/>
      <c r="I587" s="22"/>
    </row>
    <row r="588" spans="1:9" ht="15" hidden="1">
      <c r="A588" s="187" t="s">
        <v>95</v>
      </c>
      <c r="B588" s="188"/>
      <c r="C588" s="189" t="s">
        <v>375</v>
      </c>
      <c r="D588" s="189" t="s">
        <v>123</v>
      </c>
      <c r="E588" s="192" t="s">
        <v>270</v>
      </c>
      <c r="F588" s="241" t="s">
        <v>96</v>
      </c>
      <c r="G588" s="161"/>
      <c r="H588" s="22"/>
      <c r="I588" s="22"/>
    </row>
    <row r="589" spans="1:9" ht="15" hidden="1">
      <c r="A589" s="119" t="s">
        <v>345</v>
      </c>
      <c r="B589" s="188"/>
      <c r="C589" s="189" t="s">
        <v>375</v>
      </c>
      <c r="D589" s="189" t="s">
        <v>123</v>
      </c>
      <c r="E589" s="192" t="s">
        <v>346</v>
      </c>
      <c r="F589" s="242"/>
      <c r="G589" s="161">
        <f>SUM(G590)</f>
        <v>0</v>
      </c>
      <c r="H589" s="22"/>
      <c r="I589" s="22"/>
    </row>
    <row r="590" spans="1:9" ht="15" hidden="1">
      <c r="A590" s="187" t="s">
        <v>95</v>
      </c>
      <c r="B590" s="188"/>
      <c r="C590" s="189" t="s">
        <v>375</v>
      </c>
      <c r="D590" s="189" t="s">
        <v>123</v>
      </c>
      <c r="E590" s="192" t="s">
        <v>346</v>
      </c>
      <c r="F590" s="242" t="s">
        <v>96</v>
      </c>
      <c r="G590" s="161"/>
      <c r="H590" s="22"/>
      <c r="I590" s="22"/>
    </row>
    <row r="591" spans="1:9" ht="28.5" hidden="1">
      <c r="A591" s="152" t="s">
        <v>105</v>
      </c>
      <c r="B591" s="188"/>
      <c r="C591" s="189" t="s">
        <v>375</v>
      </c>
      <c r="D591" s="189" t="s">
        <v>123</v>
      </c>
      <c r="E591" s="189" t="s">
        <v>106</v>
      </c>
      <c r="F591" s="243"/>
      <c r="G591" s="161">
        <f>SUM(G593)</f>
        <v>0</v>
      </c>
      <c r="H591" s="22"/>
      <c r="I591" s="22"/>
    </row>
    <row r="592" spans="1:9" ht="15" hidden="1">
      <c r="A592" s="152" t="s">
        <v>107</v>
      </c>
      <c r="B592" s="188"/>
      <c r="C592" s="189" t="s">
        <v>375</v>
      </c>
      <c r="D592" s="189" t="s">
        <v>123</v>
      </c>
      <c r="E592" s="189" t="s">
        <v>222</v>
      </c>
      <c r="F592" s="243"/>
      <c r="G592" s="161">
        <f>SUM(G593)</f>
        <v>0</v>
      </c>
      <c r="H592" s="22"/>
      <c r="I592" s="22"/>
    </row>
    <row r="593" spans="1:9" ht="15" hidden="1">
      <c r="A593" s="187" t="s">
        <v>95</v>
      </c>
      <c r="B593" s="188"/>
      <c r="C593" s="189" t="s">
        <v>375</v>
      </c>
      <c r="D593" s="189" t="s">
        <v>123</v>
      </c>
      <c r="E593" s="189" t="s">
        <v>222</v>
      </c>
      <c r="F593" s="243" t="s">
        <v>96</v>
      </c>
      <c r="G593" s="161"/>
      <c r="H593" s="22"/>
      <c r="I593" s="22"/>
    </row>
    <row r="594" spans="1:9" ht="15">
      <c r="A594" s="193" t="s">
        <v>274</v>
      </c>
      <c r="B594" s="194" t="s">
        <v>236</v>
      </c>
      <c r="C594" s="213"/>
      <c r="D594" s="213"/>
      <c r="E594" s="213"/>
      <c r="F594" s="257"/>
      <c r="G594" s="170">
        <f>SUM(G595+G714)</f>
        <v>1606543.2000000002</v>
      </c>
      <c r="H594" s="22"/>
      <c r="I594" s="22"/>
    </row>
    <row r="595" spans="1:9" ht="15">
      <c r="A595" s="119" t="s">
        <v>108</v>
      </c>
      <c r="B595" s="214"/>
      <c r="C595" s="199" t="s">
        <v>109</v>
      </c>
      <c r="D595" s="199"/>
      <c r="E595" s="199"/>
      <c r="F595" s="258"/>
      <c r="G595" s="174">
        <f>SUM(G596+G626+G682+G708)</f>
        <v>1568097.5000000002</v>
      </c>
      <c r="H595" s="22"/>
      <c r="I595" s="22"/>
    </row>
    <row r="596" spans="1:9" ht="15">
      <c r="A596" s="119" t="s">
        <v>298</v>
      </c>
      <c r="B596" s="207"/>
      <c r="C596" s="199" t="s">
        <v>109</v>
      </c>
      <c r="D596" s="199" t="s">
        <v>414</v>
      </c>
      <c r="E596" s="199"/>
      <c r="F596" s="258"/>
      <c r="G596" s="174">
        <f>SUM(G597+G618)+G608</f>
        <v>623851.7000000001</v>
      </c>
      <c r="H596" s="22">
        <v>187516.5</v>
      </c>
      <c r="I596" s="22">
        <f>SUM(H596/G629*100)</f>
        <v>187.512374727756</v>
      </c>
    </row>
    <row r="597" spans="1:9" s="96" customFormat="1" ht="15">
      <c r="A597" s="119" t="s">
        <v>299</v>
      </c>
      <c r="B597" s="207"/>
      <c r="C597" s="199" t="s">
        <v>109</v>
      </c>
      <c r="D597" s="199" t="s">
        <v>414</v>
      </c>
      <c r="E597" s="199" t="s">
        <v>300</v>
      </c>
      <c r="F597" s="258"/>
      <c r="G597" s="174">
        <f>SUM(G598+G604)</f>
        <v>210215.2</v>
      </c>
      <c r="H597" s="22"/>
      <c r="I597" s="22"/>
    </row>
    <row r="598" spans="1:9" s="96" customFormat="1" ht="15">
      <c r="A598" s="119" t="s">
        <v>543</v>
      </c>
      <c r="B598" s="207"/>
      <c r="C598" s="199" t="s">
        <v>109</v>
      </c>
      <c r="D598" s="199" t="s">
        <v>414</v>
      </c>
      <c r="E598" s="199" t="s">
        <v>79</v>
      </c>
      <c r="F598" s="258"/>
      <c r="G598" s="174">
        <f>SUM(G599+G601)</f>
        <v>175854</v>
      </c>
      <c r="H598" s="22">
        <v>187516.5</v>
      </c>
      <c r="I598" s="22" t="e">
        <f>SUM(H598/#REF!*100)</f>
        <v>#REF!</v>
      </c>
    </row>
    <row r="599" spans="1:9" s="96" customFormat="1" ht="28.5">
      <c r="A599" s="119" t="s">
        <v>183</v>
      </c>
      <c r="B599" s="207"/>
      <c r="C599" s="199" t="s">
        <v>109</v>
      </c>
      <c r="D599" s="199" t="s">
        <v>414</v>
      </c>
      <c r="E599" s="199" t="s">
        <v>80</v>
      </c>
      <c r="F599" s="258"/>
      <c r="G599" s="174">
        <f>SUM(G600)</f>
        <v>175019</v>
      </c>
      <c r="H599" s="22"/>
      <c r="I599" s="22"/>
    </row>
    <row r="600" spans="1:9" ht="28.5">
      <c r="A600" s="119" t="s">
        <v>470</v>
      </c>
      <c r="B600" s="207"/>
      <c r="C600" s="199" t="s">
        <v>109</v>
      </c>
      <c r="D600" s="199" t="s">
        <v>414</v>
      </c>
      <c r="E600" s="199" t="s">
        <v>80</v>
      </c>
      <c r="F600" s="258" t="s">
        <v>461</v>
      </c>
      <c r="G600" s="174">
        <v>175019</v>
      </c>
      <c r="H600" s="22"/>
      <c r="I600" s="22"/>
    </row>
    <row r="601" spans="1:9" ht="15">
      <c r="A601" s="261" t="s">
        <v>148</v>
      </c>
      <c r="B601" s="215"/>
      <c r="C601" s="204" t="s">
        <v>109</v>
      </c>
      <c r="D601" s="204" t="s">
        <v>414</v>
      </c>
      <c r="E601" s="204" t="s">
        <v>628</v>
      </c>
      <c r="F601" s="253"/>
      <c r="G601" s="157">
        <f>SUM(G603)</f>
        <v>835</v>
      </c>
      <c r="H601" s="22"/>
      <c r="I601" s="22"/>
    </row>
    <row r="602" spans="1:9" ht="15">
      <c r="A602" s="261" t="s">
        <v>144</v>
      </c>
      <c r="B602" s="215"/>
      <c r="C602" s="204" t="s">
        <v>109</v>
      </c>
      <c r="D602" s="204" t="s">
        <v>414</v>
      </c>
      <c r="E602" s="204" t="s">
        <v>629</v>
      </c>
      <c r="F602" s="253"/>
      <c r="G602" s="157">
        <f>SUM(G603)</f>
        <v>835</v>
      </c>
      <c r="H602" s="22"/>
      <c r="I602" s="22"/>
    </row>
    <row r="603" spans="1:9" ht="28.5">
      <c r="A603" s="149" t="s">
        <v>470</v>
      </c>
      <c r="B603" s="215"/>
      <c r="C603" s="204" t="s">
        <v>109</v>
      </c>
      <c r="D603" s="204" t="s">
        <v>414</v>
      </c>
      <c r="E603" s="204" t="s">
        <v>629</v>
      </c>
      <c r="F603" s="242" t="s">
        <v>461</v>
      </c>
      <c r="G603" s="157">
        <v>835</v>
      </c>
      <c r="H603" s="22"/>
      <c r="I603" s="22"/>
    </row>
    <row r="604" spans="1:9" ht="28.5">
      <c r="A604" s="119" t="s">
        <v>51</v>
      </c>
      <c r="B604" s="207"/>
      <c r="C604" s="199" t="s">
        <v>109</v>
      </c>
      <c r="D604" s="199" t="s">
        <v>414</v>
      </c>
      <c r="E604" s="199" t="s">
        <v>301</v>
      </c>
      <c r="F604" s="258"/>
      <c r="G604" s="174">
        <f>SUM(G605+G606+G607)</f>
        <v>34361.2</v>
      </c>
      <c r="H604" s="22">
        <v>120.3</v>
      </c>
      <c r="I604" s="22">
        <f>SUM(H604/G637*100)</f>
        <v>0.9165225473689022</v>
      </c>
    </row>
    <row r="605" spans="1:9" ht="28.5">
      <c r="A605" s="119" t="s">
        <v>444</v>
      </c>
      <c r="B605" s="207"/>
      <c r="C605" s="199" t="s">
        <v>109</v>
      </c>
      <c r="D605" s="199" t="s">
        <v>414</v>
      </c>
      <c r="E605" s="199" t="s">
        <v>301</v>
      </c>
      <c r="F605" s="258" t="s">
        <v>445</v>
      </c>
      <c r="G605" s="174">
        <v>10940.2</v>
      </c>
      <c r="H605" s="22"/>
      <c r="I605" s="22" t="e">
        <f>SUM(H605/#REF!*100)</f>
        <v>#REF!</v>
      </c>
    </row>
    <row r="606" spans="1:9" ht="28.5">
      <c r="A606" s="187" t="s">
        <v>697</v>
      </c>
      <c r="B606" s="214"/>
      <c r="C606" s="199" t="s">
        <v>109</v>
      </c>
      <c r="D606" s="199" t="s">
        <v>414</v>
      </c>
      <c r="E606" s="199" t="s">
        <v>301</v>
      </c>
      <c r="F606" s="258" t="s">
        <v>112</v>
      </c>
      <c r="G606" s="174">
        <v>21367.6</v>
      </c>
      <c r="H606" s="22">
        <f>SUM(H607)</f>
        <v>24134</v>
      </c>
      <c r="I606" s="22" t="e">
        <f>SUM(H606/#REF!*100)</f>
        <v>#REF!</v>
      </c>
    </row>
    <row r="607" spans="1:9" ht="15">
      <c r="A607" s="119" t="s">
        <v>450</v>
      </c>
      <c r="B607" s="207"/>
      <c r="C607" s="199" t="s">
        <v>109</v>
      </c>
      <c r="D607" s="199" t="s">
        <v>414</v>
      </c>
      <c r="E607" s="199" t="s">
        <v>301</v>
      </c>
      <c r="F607" s="258" t="s">
        <v>160</v>
      </c>
      <c r="G607" s="174">
        <v>2053.4</v>
      </c>
      <c r="H607" s="22">
        <v>24134</v>
      </c>
      <c r="I607" s="22" t="e">
        <f>SUM(H607/#REF!*100)</f>
        <v>#REF!</v>
      </c>
    </row>
    <row r="608" spans="1:9" ht="28.5">
      <c r="A608" s="266" t="s">
        <v>630</v>
      </c>
      <c r="B608" s="191"/>
      <c r="C608" s="192" t="s">
        <v>109</v>
      </c>
      <c r="D608" s="192" t="s">
        <v>414</v>
      </c>
      <c r="E608" s="216" t="s">
        <v>631</v>
      </c>
      <c r="F608" s="259"/>
      <c r="G608" s="161">
        <f>SUM(G609+G615)</f>
        <v>406950.9</v>
      </c>
      <c r="H608" s="22"/>
      <c r="I608" s="22"/>
    </row>
    <row r="609" spans="1:9" ht="15">
      <c r="A609" s="118" t="s">
        <v>543</v>
      </c>
      <c r="B609" s="191"/>
      <c r="C609" s="192" t="s">
        <v>109</v>
      </c>
      <c r="D609" s="192" t="s">
        <v>414</v>
      </c>
      <c r="E609" s="216" t="s">
        <v>664</v>
      </c>
      <c r="F609" s="259"/>
      <c r="G609" s="161">
        <f>SUM(G610+G612)</f>
        <v>352738.60000000003</v>
      </c>
      <c r="H609" s="22"/>
      <c r="I609" s="22"/>
    </row>
    <row r="610" spans="1:9" ht="28.5">
      <c r="A610" s="119" t="s">
        <v>183</v>
      </c>
      <c r="B610" s="191"/>
      <c r="C610" s="192" t="s">
        <v>109</v>
      </c>
      <c r="D610" s="192" t="s">
        <v>414</v>
      </c>
      <c r="E610" s="162" t="s">
        <v>633</v>
      </c>
      <c r="F610" s="242"/>
      <c r="G610" s="161">
        <f>SUM(G611)</f>
        <v>347147.7</v>
      </c>
      <c r="H610" s="22"/>
      <c r="I610" s="22"/>
    </row>
    <row r="611" spans="1:9" ht="28.5">
      <c r="A611" s="149" t="s">
        <v>470</v>
      </c>
      <c r="B611" s="191"/>
      <c r="C611" s="192" t="s">
        <v>109</v>
      </c>
      <c r="D611" s="192" t="s">
        <v>414</v>
      </c>
      <c r="E611" s="162" t="s">
        <v>633</v>
      </c>
      <c r="F611" s="242" t="s">
        <v>461</v>
      </c>
      <c r="G611" s="161">
        <v>347147.7</v>
      </c>
      <c r="H611" s="22"/>
      <c r="I611" s="22"/>
    </row>
    <row r="612" spans="1:9" ht="15">
      <c r="A612" s="261" t="s">
        <v>148</v>
      </c>
      <c r="B612" s="191"/>
      <c r="C612" s="192" t="s">
        <v>109</v>
      </c>
      <c r="D612" s="192" t="s">
        <v>414</v>
      </c>
      <c r="E612" s="162" t="s">
        <v>635</v>
      </c>
      <c r="F612" s="242"/>
      <c r="G612" s="161">
        <f>SUM(G613)</f>
        <v>5590.9</v>
      </c>
      <c r="H612" s="22"/>
      <c r="I612" s="22"/>
    </row>
    <row r="613" spans="1:9" ht="28.5">
      <c r="A613" s="149" t="s">
        <v>370</v>
      </c>
      <c r="B613" s="191"/>
      <c r="C613" s="192" t="s">
        <v>109</v>
      </c>
      <c r="D613" s="192" t="s">
        <v>414</v>
      </c>
      <c r="E613" s="162" t="s">
        <v>634</v>
      </c>
      <c r="F613" s="242"/>
      <c r="G613" s="161">
        <f>SUM(G614)</f>
        <v>5590.9</v>
      </c>
      <c r="H613" s="22"/>
      <c r="I613" s="22"/>
    </row>
    <row r="614" spans="1:9" ht="28.5">
      <c r="A614" s="149" t="s">
        <v>470</v>
      </c>
      <c r="B614" s="191"/>
      <c r="C614" s="192" t="s">
        <v>109</v>
      </c>
      <c r="D614" s="192" t="s">
        <v>414</v>
      </c>
      <c r="E614" s="162" t="s">
        <v>634</v>
      </c>
      <c r="F614" s="242" t="s">
        <v>461</v>
      </c>
      <c r="G614" s="161">
        <v>5590.9</v>
      </c>
      <c r="H614" s="22"/>
      <c r="I614" s="22"/>
    </row>
    <row r="615" spans="1:9" ht="28.5">
      <c r="A615" s="119" t="s">
        <v>51</v>
      </c>
      <c r="B615" s="191"/>
      <c r="C615" s="192" t="s">
        <v>109</v>
      </c>
      <c r="D615" s="192" t="s">
        <v>414</v>
      </c>
      <c r="E615" s="162" t="s">
        <v>632</v>
      </c>
      <c r="F615" s="259"/>
      <c r="G615" s="161">
        <f>SUM(G616:G617)</f>
        <v>54212.3</v>
      </c>
      <c r="H615" s="22"/>
      <c r="I615" s="22"/>
    </row>
    <row r="616" spans="1:9" ht="28.5">
      <c r="A616" s="149" t="s">
        <v>444</v>
      </c>
      <c r="B616" s="191"/>
      <c r="C616" s="192" t="s">
        <v>109</v>
      </c>
      <c r="D616" s="192" t="s">
        <v>414</v>
      </c>
      <c r="E616" s="162" t="s">
        <v>632</v>
      </c>
      <c r="F616" s="242" t="s">
        <v>445</v>
      </c>
      <c r="G616" s="161">
        <v>52750.3</v>
      </c>
      <c r="H616" s="22"/>
      <c r="I616" s="22"/>
    </row>
    <row r="617" spans="1:9" ht="28.5">
      <c r="A617" s="187" t="s">
        <v>697</v>
      </c>
      <c r="B617" s="191"/>
      <c r="C617" s="192" t="s">
        <v>109</v>
      </c>
      <c r="D617" s="192" t="s">
        <v>414</v>
      </c>
      <c r="E617" s="162" t="s">
        <v>632</v>
      </c>
      <c r="F617" s="242" t="s">
        <v>112</v>
      </c>
      <c r="G617" s="161">
        <v>1462</v>
      </c>
      <c r="H617" s="22"/>
      <c r="I617" s="22"/>
    </row>
    <row r="618" spans="1:9" ht="15">
      <c r="A618" s="119" t="s">
        <v>530</v>
      </c>
      <c r="B618" s="208"/>
      <c r="C618" s="199" t="s">
        <v>109</v>
      </c>
      <c r="D618" s="199" t="s">
        <v>414</v>
      </c>
      <c r="E618" s="199" t="s">
        <v>121</v>
      </c>
      <c r="F618" s="258"/>
      <c r="G618" s="174">
        <f>G619+G623</f>
        <v>6685.6</v>
      </c>
      <c r="H618" s="22"/>
      <c r="I618" s="22"/>
    </row>
    <row r="619" spans="1:9" ht="28.5">
      <c r="A619" s="119" t="s">
        <v>544</v>
      </c>
      <c r="B619" s="207"/>
      <c r="C619" s="199" t="s">
        <v>109</v>
      </c>
      <c r="D619" s="199" t="s">
        <v>414</v>
      </c>
      <c r="E619" s="199" t="s">
        <v>325</v>
      </c>
      <c r="F619" s="258"/>
      <c r="G619" s="174">
        <f>SUM(G620:G622)</f>
        <v>6325.6</v>
      </c>
      <c r="H619" s="22">
        <f>SUM(H620)</f>
        <v>1236.7</v>
      </c>
      <c r="I619" s="22">
        <f>SUM(H619/G642*100)</f>
        <v>2.4397750206651923</v>
      </c>
    </row>
    <row r="620" spans="1:9" ht="28.5">
      <c r="A620" s="187" t="s">
        <v>697</v>
      </c>
      <c r="B620" s="231"/>
      <c r="C620" s="199" t="s">
        <v>109</v>
      </c>
      <c r="D620" s="199" t="s">
        <v>414</v>
      </c>
      <c r="E620" s="199" t="s">
        <v>325</v>
      </c>
      <c r="F620" s="258" t="s">
        <v>112</v>
      </c>
      <c r="G620" s="174">
        <v>1534.9</v>
      </c>
      <c r="H620" s="22">
        <v>1236.7</v>
      </c>
      <c r="I620" s="22">
        <f>SUM(H620/G643*100)</f>
        <v>2.4397750206651923</v>
      </c>
    </row>
    <row r="621" spans="1:9" ht="15">
      <c r="A621" s="187" t="s">
        <v>738</v>
      </c>
      <c r="B621" s="231"/>
      <c r="C621" s="199" t="s">
        <v>109</v>
      </c>
      <c r="D621" s="199" t="s">
        <v>414</v>
      </c>
      <c r="E621" s="199" t="s">
        <v>325</v>
      </c>
      <c r="F621" s="258" t="s">
        <v>455</v>
      </c>
      <c r="G621" s="174">
        <v>3425.6</v>
      </c>
      <c r="H621" s="22"/>
      <c r="I621" s="22"/>
    </row>
    <row r="622" spans="1:9" ht="28.5">
      <c r="A622" s="149" t="s">
        <v>470</v>
      </c>
      <c r="B622" s="231"/>
      <c r="C622" s="199" t="s">
        <v>109</v>
      </c>
      <c r="D622" s="199" t="s">
        <v>414</v>
      </c>
      <c r="E622" s="199" t="s">
        <v>325</v>
      </c>
      <c r="F622" s="258" t="s">
        <v>461</v>
      </c>
      <c r="G622" s="174">
        <v>1365.1</v>
      </c>
      <c r="H622" s="22"/>
      <c r="I622" s="22"/>
    </row>
    <row r="623" spans="1:9" ht="28.5">
      <c r="A623" s="149" t="s">
        <v>636</v>
      </c>
      <c r="B623" s="232"/>
      <c r="C623" s="192" t="s">
        <v>109</v>
      </c>
      <c r="D623" s="192" t="s">
        <v>414</v>
      </c>
      <c r="E623" s="192" t="s">
        <v>637</v>
      </c>
      <c r="F623" s="242"/>
      <c r="G623" s="161">
        <f>SUM(G624:G625)</f>
        <v>360</v>
      </c>
      <c r="H623" s="22"/>
      <c r="I623" s="22"/>
    </row>
    <row r="624" spans="1:9" ht="28.5">
      <c r="A624" s="187" t="s">
        <v>697</v>
      </c>
      <c r="B624" s="232"/>
      <c r="C624" s="192" t="s">
        <v>109</v>
      </c>
      <c r="D624" s="192" t="s">
        <v>414</v>
      </c>
      <c r="E624" s="192" t="s">
        <v>637</v>
      </c>
      <c r="F624" s="242" t="s">
        <v>112</v>
      </c>
      <c r="G624" s="161">
        <v>110</v>
      </c>
      <c r="H624" s="22"/>
      <c r="I624" s="22"/>
    </row>
    <row r="625" spans="1:9" ht="28.5">
      <c r="A625" s="149" t="s">
        <v>470</v>
      </c>
      <c r="B625" s="232"/>
      <c r="C625" s="192" t="s">
        <v>109</v>
      </c>
      <c r="D625" s="192" t="s">
        <v>414</v>
      </c>
      <c r="E625" s="192" t="s">
        <v>637</v>
      </c>
      <c r="F625" s="242" t="s">
        <v>461</v>
      </c>
      <c r="G625" s="161">
        <v>250</v>
      </c>
      <c r="H625" s="22"/>
      <c r="I625" s="22"/>
    </row>
    <row r="626" spans="1:9" ht="15">
      <c r="A626" s="119" t="s">
        <v>302</v>
      </c>
      <c r="B626" s="207"/>
      <c r="C626" s="199" t="s">
        <v>109</v>
      </c>
      <c r="D626" s="199" t="s">
        <v>416</v>
      </c>
      <c r="E626" s="199"/>
      <c r="F626" s="258"/>
      <c r="G626" s="174">
        <f>SUM(G627+G638+G647+G652+G674)</f>
        <v>900549.9</v>
      </c>
      <c r="H626" s="22">
        <f>SUM(H628)</f>
        <v>0</v>
      </c>
      <c r="I626" s="22" t="e">
        <f>SUM(H626/#REF!*100)</f>
        <v>#REF!</v>
      </c>
    </row>
    <row r="627" spans="1:9" ht="15">
      <c r="A627" s="119" t="s">
        <v>303</v>
      </c>
      <c r="B627" s="207"/>
      <c r="C627" s="199" t="s">
        <v>109</v>
      </c>
      <c r="D627" s="199" t="s">
        <v>416</v>
      </c>
      <c r="E627" s="199" t="s">
        <v>304</v>
      </c>
      <c r="F627" s="258"/>
      <c r="G627" s="174">
        <f>G628+G634</f>
        <v>193273.8</v>
      </c>
      <c r="H627" s="22"/>
      <c r="I627" s="22" t="e">
        <f>SUM(H627/#REF!*100)</f>
        <v>#REF!</v>
      </c>
    </row>
    <row r="628" spans="1:9" ht="15">
      <c r="A628" s="119" t="s">
        <v>14</v>
      </c>
      <c r="B628" s="207"/>
      <c r="C628" s="199" t="s">
        <v>109</v>
      </c>
      <c r="D628" s="199" t="s">
        <v>416</v>
      </c>
      <c r="E628" s="199" t="s">
        <v>81</v>
      </c>
      <c r="F628" s="258"/>
      <c r="G628" s="174">
        <f>G629+G631</f>
        <v>100402.2</v>
      </c>
      <c r="H628" s="22"/>
      <c r="I628" s="22" t="e">
        <f>SUM(H628/#REF!*100)</f>
        <v>#REF!</v>
      </c>
    </row>
    <row r="629" spans="1:9" ht="28.5">
      <c r="A629" s="119" t="s">
        <v>183</v>
      </c>
      <c r="B629" s="207"/>
      <c r="C629" s="199" t="s">
        <v>109</v>
      </c>
      <c r="D629" s="199" t="s">
        <v>416</v>
      </c>
      <c r="E629" s="199" t="s">
        <v>82</v>
      </c>
      <c r="F629" s="258"/>
      <c r="G629" s="174">
        <f>SUM(G630)</f>
        <v>100002.2</v>
      </c>
      <c r="H629" s="22" t="e">
        <f>SUM(H630)</f>
        <v>#REF!</v>
      </c>
      <c r="I629" s="22" t="e">
        <f>SUM(H629/#REF!*100)</f>
        <v>#REF!</v>
      </c>
    </row>
    <row r="630" spans="1:9" ht="28.5">
      <c r="A630" s="119" t="s">
        <v>463</v>
      </c>
      <c r="B630" s="207"/>
      <c r="C630" s="199" t="s">
        <v>109</v>
      </c>
      <c r="D630" s="199" t="s">
        <v>416</v>
      </c>
      <c r="E630" s="199" t="s">
        <v>82</v>
      </c>
      <c r="F630" s="258" t="s">
        <v>461</v>
      </c>
      <c r="G630" s="174">
        <v>100002.2</v>
      </c>
      <c r="H630" s="22" t="e">
        <f>SUM(#REF!)</f>
        <v>#REF!</v>
      </c>
      <c r="I630" s="22" t="e">
        <f>SUM(H630/#REF!*100)</f>
        <v>#REF!</v>
      </c>
    </row>
    <row r="631" spans="1:9" ht="15">
      <c r="A631" s="261" t="s">
        <v>148</v>
      </c>
      <c r="B631" s="207"/>
      <c r="C631" s="199" t="s">
        <v>109</v>
      </c>
      <c r="D631" s="199" t="s">
        <v>416</v>
      </c>
      <c r="E631" s="199" t="s">
        <v>638</v>
      </c>
      <c r="F631" s="258"/>
      <c r="G631" s="174">
        <f>SUM(G632)</f>
        <v>400</v>
      </c>
      <c r="H631" s="22"/>
      <c r="I631" s="22"/>
    </row>
    <row r="632" spans="1:9" ht="15">
      <c r="A632" s="261" t="s">
        <v>191</v>
      </c>
      <c r="B632" s="215"/>
      <c r="C632" s="204" t="s">
        <v>109</v>
      </c>
      <c r="D632" s="204" t="s">
        <v>416</v>
      </c>
      <c r="E632" s="204" t="s">
        <v>639</v>
      </c>
      <c r="F632" s="253"/>
      <c r="G632" s="165">
        <f>SUM(G633)</f>
        <v>400</v>
      </c>
      <c r="H632" s="22"/>
      <c r="I632" s="22"/>
    </row>
    <row r="633" spans="1:9" ht="28.5">
      <c r="A633" s="149" t="s">
        <v>470</v>
      </c>
      <c r="B633" s="215"/>
      <c r="C633" s="204" t="s">
        <v>109</v>
      </c>
      <c r="D633" s="204" t="s">
        <v>416</v>
      </c>
      <c r="E633" s="204" t="s">
        <v>639</v>
      </c>
      <c r="F633" s="253" t="s">
        <v>461</v>
      </c>
      <c r="G633" s="165">
        <v>400</v>
      </c>
      <c r="H633" s="22"/>
      <c r="I633" s="22"/>
    </row>
    <row r="634" spans="1:9" ht="28.5">
      <c r="A634" s="119" t="s">
        <v>51</v>
      </c>
      <c r="B634" s="207"/>
      <c r="C634" s="199" t="s">
        <v>109</v>
      </c>
      <c r="D634" s="199" t="s">
        <v>416</v>
      </c>
      <c r="E634" s="199" t="s">
        <v>305</v>
      </c>
      <c r="F634" s="258"/>
      <c r="G634" s="174">
        <f>SUM(G635+G636+G637)</f>
        <v>92871.59999999999</v>
      </c>
      <c r="H634" s="22"/>
      <c r="I634" s="22"/>
    </row>
    <row r="635" spans="1:9" s="96" customFormat="1" ht="28.5">
      <c r="A635" s="119" t="s">
        <v>444</v>
      </c>
      <c r="B635" s="207"/>
      <c r="C635" s="199" t="s">
        <v>109</v>
      </c>
      <c r="D635" s="199" t="s">
        <v>416</v>
      </c>
      <c r="E635" s="199" t="s">
        <v>305</v>
      </c>
      <c r="F635" s="258" t="s">
        <v>445</v>
      </c>
      <c r="G635" s="174">
        <v>34453.2</v>
      </c>
      <c r="H635" s="22"/>
      <c r="I635" s="22"/>
    </row>
    <row r="636" spans="1:9" s="96" customFormat="1" ht="28.5">
      <c r="A636" s="187" t="s">
        <v>697</v>
      </c>
      <c r="B636" s="207"/>
      <c r="C636" s="199" t="s">
        <v>109</v>
      </c>
      <c r="D636" s="199" t="s">
        <v>416</v>
      </c>
      <c r="E636" s="199" t="s">
        <v>305</v>
      </c>
      <c r="F636" s="258" t="s">
        <v>112</v>
      </c>
      <c r="G636" s="174">
        <v>45292.7</v>
      </c>
      <c r="H636" s="22"/>
      <c r="I636" s="22"/>
    </row>
    <row r="637" spans="1:9" s="96" customFormat="1" ht="15">
      <c r="A637" s="119" t="s">
        <v>450</v>
      </c>
      <c r="B637" s="231"/>
      <c r="C637" s="199" t="s">
        <v>109</v>
      </c>
      <c r="D637" s="199" t="s">
        <v>416</v>
      </c>
      <c r="E637" s="199" t="s">
        <v>305</v>
      </c>
      <c r="F637" s="294">
        <v>800</v>
      </c>
      <c r="G637" s="174">
        <v>13125.7</v>
      </c>
      <c r="H637" s="22"/>
      <c r="I637" s="22"/>
    </row>
    <row r="638" spans="1:9" ht="15">
      <c r="A638" s="119" t="s">
        <v>288</v>
      </c>
      <c r="B638" s="214"/>
      <c r="C638" s="199" t="s">
        <v>109</v>
      </c>
      <c r="D638" s="199" t="s">
        <v>416</v>
      </c>
      <c r="E638" s="199" t="s">
        <v>289</v>
      </c>
      <c r="F638" s="258"/>
      <c r="G638" s="174">
        <f>SUM(G639)</f>
        <v>50739.1</v>
      </c>
      <c r="H638" s="22"/>
      <c r="I638" s="22"/>
    </row>
    <row r="639" spans="1:9" ht="15">
      <c r="A639" s="119" t="s">
        <v>543</v>
      </c>
      <c r="B639" s="207"/>
      <c r="C639" s="199" t="s">
        <v>109</v>
      </c>
      <c r="D639" s="199" t="s">
        <v>416</v>
      </c>
      <c r="E639" s="199" t="s">
        <v>73</v>
      </c>
      <c r="F639" s="258"/>
      <c r="G639" s="174">
        <f>SUM(G642)+G646</f>
        <v>50739.1</v>
      </c>
      <c r="H639" s="22"/>
      <c r="I639" s="22"/>
    </row>
    <row r="640" spans="1:9" ht="42.75" hidden="1">
      <c r="A640" s="119" t="s">
        <v>188</v>
      </c>
      <c r="B640" s="207"/>
      <c r="C640" s="199" t="s">
        <v>109</v>
      </c>
      <c r="D640" s="199" t="s">
        <v>416</v>
      </c>
      <c r="E640" s="199" t="s">
        <v>189</v>
      </c>
      <c r="F640" s="258"/>
      <c r="G640" s="174">
        <f>SUM(G641)</f>
        <v>0</v>
      </c>
      <c r="H640" s="22">
        <v>56722</v>
      </c>
      <c r="I640" s="22">
        <f>SUM(H640/G651*100)</f>
        <v>4735.5151110369015</v>
      </c>
    </row>
    <row r="641" spans="1:9" ht="15" hidden="1">
      <c r="A641" s="119" t="s">
        <v>148</v>
      </c>
      <c r="B641" s="207"/>
      <c r="C641" s="199" t="s">
        <v>109</v>
      </c>
      <c r="D641" s="199" t="s">
        <v>416</v>
      </c>
      <c r="E641" s="199" t="s">
        <v>189</v>
      </c>
      <c r="F641" s="258" t="s">
        <v>78</v>
      </c>
      <c r="G641" s="174"/>
      <c r="H641" s="22"/>
      <c r="I641" s="22"/>
    </row>
    <row r="642" spans="1:9" ht="28.5">
      <c r="A642" s="119" t="s">
        <v>87</v>
      </c>
      <c r="B642" s="207"/>
      <c r="C642" s="199" t="s">
        <v>109</v>
      </c>
      <c r="D642" s="199" t="s">
        <v>416</v>
      </c>
      <c r="E642" s="199" t="s">
        <v>74</v>
      </c>
      <c r="F642" s="258"/>
      <c r="G642" s="174">
        <f>SUM(G643)</f>
        <v>50689.1</v>
      </c>
      <c r="H642" s="22" t="e">
        <f>SUM(#REF!+H692+H714+#REF!)+#REF!+H643</f>
        <v>#REF!</v>
      </c>
      <c r="I642" s="22" t="e">
        <f>SUM(H642/#REF!*100)</f>
        <v>#REF!</v>
      </c>
    </row>
    <row r="643" spans="1:9" ht="28.5">
      <c r="A643" s="119" t="s">
        <v>463</v>
      </c>
      <c r="B643" s="207"/>
      <c r="C643" s="199" t="s">
        <v>109</v>
      </c>
      <c r="D643" s="199" t="s">
        <v>416</v>
      </c>
      <c r="E643" s="199" t="s">
        <v>74</v>
      </c>
      <c r="F643" s="258" t="s">
        <v>461</v>
      </c>
      <c r="G643" s="174">
        <v>50689.1</v>
      </c>
      <c r="H643" s="22" t="e">
        <f>SUM(#REF!+#REF!)</f>
        <v>#REF!</v>
      </c>
      <c r="I643" s="22" t="e">
        <f>SUM(H643/#REF!*100)</f>
        <v>#REF!</v>
      </c>
    </row>
    <row r="644" spans="1:9" ht="15">
      <c r="A644" s="261" t="s">
        <v>148</v>
      </c>
      <c r="B644" s="191"/>
      <c r="C644" s="192" t="s">
        <v>109</v>
      </c>
      <c r="D644" s="192" t="s">
        <v>416</v>
      </c>
      <c r="E644" s="192" t="s">
        <v>141</v>
      </c>
      <c r="F644" s="242"/>
      <c r="G644" s="161">
        <f>SUM(G645)</f>
        <v>50</v>
      </c>
      <c r="H644" s="22"/>
      <c r="I644" s="22"/>
    </row>
    <row r="645" spans="1:9" ht="15">
      <c r="A645" s="261" t="s">
        <v>191</v>
      </c>
      <c r="B645" s="191"/>
      <c r="C645" s="192" t="s">
        <v>109</v>
      </c>
      <c r="D645" s="192" t="s">
        <v>416</v>
      </c>
      <c r="E645" s="192" t="s">
        <v>196</v>
      </c>
      <c r="F645" s="242"/>
      <c r="G645" s="161">
        <f>SUM(G646)</f>
        <v>50</v>
      </c>
      <c r="H645" s="22"/>
      <c r="I645" s="22"/>
    </row>
    <row r="646" spans="1:9" ht="28.5">
      <c r="A646" s="149" t="s">
        <v>470</v>
      </c>
      <c r="B646" s="191"/>
      <c r="C646" s="192" t="s">
        <v>109</v>
      </c>
      <c r="D646" s="192" t="s">
        <v>416</v>
      </c>
      <c r="E646" s="192" t="s">
        <v>196</v>
      </c>
      <c r="F646" s="242" t="s">
        <v>461</v>
      </c>
      <c r="G646" s="161">
        <v>50</v>
      </c>
      <c r="H646" s="22"/>
      <c r="I646" s="22"/>
    </row>
    <row r="647" spans="1:9" ht="15">
      <c r="A647" s="119" t="s">
        <v>295</v>
      </c>
      <c r="B647" s="214"/>
      <c r="C647" s="199" t="s">
        <v>109</v>
      </c>
      <c r="D647" s="199" t="s">
        <v>416</v>
      </c>
      <c r="E647" s="199" t="s">
        <v>296</v>
      </c>
      <c r="F647" s="258"/>
      <c r="G647" s="174">
        <f>SUM(G648)</f>
        <v>7227.6</v>
      </c>
      <c r="H647" s="22"/>
      <c r="I647" s="22"/>
    </row>
    <row r="648" spans="1:9" ht="28.5">
      <c r="A648" s="119" t="s">
        <v>51</v>
      </c>
      <c r="B648" s="207"/>
      <c r="C648" s="199" t="s">
        <v>109</v>
      </c>
      <c r="D648" s="199" t="s">
        <v>416</v>
      </c>
      <c r="E648" s="199" t="s">
        <v>297</v>
      </c>
      <c r="F648" s="258"/>
      <c r="G648" s="174">
        <f>SUM(G649+G650+G651)</f>
        <v>7227.6</v>
      </c>
      <c r="H648" s="22"/>
      <c r="I648" s="22"/>
    </row>
    <row r="649" spans="1:9" ht="28.5">
      <c r="A649" s="119" t="s">
        <v>444</v>
      </c>
      <c r="B649" s="207"/>
      <c r="C649" s="199" t="s">
        <v>109</v>
      </c>
      <c r="D649" s="199" t="s">
        <v>416</v>
      </c>
      <c r="E649" s="199" t="s">
        <v>545</v>
      </c>
      <c r="F649" s="258" t="s">
        <v>445</v>
      </c>
      <c r="G649" s="174">
        <v>2688.4</v>
      </c>
      <c r="H649" s="22"/>
      <c r="I649" s="22"/>
    </row>
    <row r="650" spans="1:9" ht="28.5">
      <c r="A650" s="187" t="s">
        <v>697</v>
      </c>
      <c r="B650" s="207"/>
      <c r="C650" s="199" t="s">
        <v>109</v>
      </c>
      <c r="D650" s="199" t="s">
        <v>416</v>
      </c>
      <c r="E650" s="199" t="s">
        <v>237</v>
      </c>
      <c r="F650" s="258" t="s">
        <v>112</v>
      </c>
      <c r="G650" s="174">
        <v>3341.4</v>
      </c>
      <c r="H650" s="22"/>
      <c r="I650" s="22"/>
    </row>
    <row r="651" spans="1:9" ht="15">
      <c r="A651" s="119" t="s">
        <v>450</v>
      </c>
      <c r="B651" s="207"/>
      <c r="C651" s="199" t="s">
        <v>109</v>
      </c>
      <c r="D651" s="199" t="s">
        <v>416</v>
      </c>
      <c r="E651" s="199" t="s">
        <v>237</v>
      </c>
      <c r="F651" s="258" t="s">
        <v>160</v>
      </c>
      <c r="G651" s="174">
        <v>1197.8</v>
      </c>
      <c r="H651" s="22"/>
      <c r="I651" s="22"/>
    </row>
    <row r="652" spans="1:9" ht="28.5">
      <c r="A652" s="266" t="s">
        <v>640</v>
      </c>
      <c r="B652" s="191"/>
      <c r="C652" s="199" t="s">
        <v>109</v>
      </c>
      <c r="D652" s="199" t="s">
        <v>416</v>
      </c>
      <c r="E652" s="216" t="s">
        <v>641</v>
      </c>
      <c r="F652" s="260"/>
      <c r="G652" s="161">
        <f>G659+G665+G671+G653</f>
        <v>645883.2000000001</v>
      </c>
      <c r="H652" s="22" t="e">
        <f>SUM(H659+H687+H689+#REF!)+H691+#REF!+H685+#REF!</f>
        <v>#REF!</v>
      </c>
      <c r="I652" s="22" t="e">
        <f>SUM(H652/G692*100)</f>
        <v>#REF!</v>
      </c>
    </row>
    <row r="653" spans="1:9" ht="71.25">
      <c r="A653" s="394" t="s">
        <v>739</v>
      </c>
      <c r="B653" s="207"/>
      <c r="C653" s="199" t="s">
        <v>109</v>
      </c>
      <c r="D653" s="199" t="s">
        <v>416</v>
      </c>
      <c r="E653" s="395" t="s">
        <v>740</v>
      </c>
      <c r="F653" s="396"/>
      <c r="G653" s="174">
        <f>G654+G657</f>
        <v>257.1</v>
      </c>
      <c r="H653" s="22"/>
      <c r="I653" s="22"/>
    </row>
    <row r="654" spans="1:9" ht="28.5">
      <c r="A654" s="397" t="s">
        <v>741</v>
      </c>
      <c r="B654" s="207"/>
      <c r="C654" s="199" t="s">
        <v>109</v>
      </c>
      <c r="D654" s="199" t="s">
        <v>416</v>
      </c>
      <c r="E654" s="395" t="s">
        <v>742</v>
      </c>
      <c r="F654" s="396"/>
      <c r="G654" s="174">
        <f>G655+G656</f>
        <v>170.5</v>
      </c>
      <c r="H654" s="22"/>
      <c r="I654" s="22"/>
    </row>
    <row r="655" spans="1:9" ht="15">
      <c r="A655" s="119" t="s">
        <v>449</v>
      </c>
      <c r="B655" s="207"/>
      <c r="C655" s="199" t="s">
        <v>109</v>
      </c>
      <c r="D655" s="199" t="s">
        <v>416</v>
      </c>
      <c r="E655" s="395" t="s">
        <v>742</v>
      </c>
      <c r="F655" s="258" t="s">
        <v>112</v>
      </c>
      <c r="G655" s="174">
        <v>118.8</v>
      </c>
      <c r="H655" s="22"/>
      <c r="I655" s="22"/>
    </row>
    <row r="656" spans="1:9" ht="28.5">
      <c r="A656" s="119" t="s">
        <v>470</v>
      </c>
      <c r="B656" s="207"/>
      <c r="C656" s="199" t="s">
        <v>109</v>
      </c>
      <c r="D656" s="199" t="s">
        <v>416</v>
      </c>
      <c r="E656" s="395" t="s">
        <v>742</v>
      </c>
      <c r="F656" s="258" t="s">
        <v>461</v>
      </c>
      <c r="G656" s="174">
        <v>51.7</v>
      </c>
      <c r="H656" s="22"/>
      <c r="I656" s="22"/>
    </row>
    <row r="657" spans="1:9" ht="28.5">
      <c r="A657" s="119" t="s">
        <v>743</v>
      </c>
      <c r="B657" s="207"/>
      <c r="C657" s="199" t="s">
        <v>109</v>
      </c>
      <c r="D657" s="199" t="s">
        <v>416</v>
      </c>
      <c r="E657" s="395" t="s">
        <v>744</v>
      </c>
      <c r="F657" s="258"/>
      <c r="G657" s="174">
        <v>86.6</v>
      </c>
      <c r="H657" s="22"/>
      <c r="I657" s="22"/>
    </row>
    <row r="658" spans="1:9" ht="28.5">
      <c r="A658" s="119" t="s">
        <v>470</v>
      </c>
      <c r="B658" s="207"/>
      <c r="C658" s="199" t="s">
        <v>109</v>
      </c>
      <c r="D658" s="199" t="s">
        <v>416</v>
      </c>
      <c r="E658" s="395" t="s">
        <v>744</v>
      </c>
      <c r="F658" s="258" t="s">
        <v>461</v>
      </c>
      <c r="G658" s="174">
        <v>86.6</v>
      </c>
      <c r="H658" s="22"/>
      <c r="I658" s="22"/>
    </row>
    <row r="659" spans="1:9" ht="99.75">
      <c r="A659" s="266" t="s">
        <v>642</v>
      </c>
      <c r="B659" s="196"/>
      <c r="C659" s="192" t="s">
        <v>109</v>
      </c>
      <c r="D659" s="192" t="s">
        <v>416</v>
      </c>
      <c r="E659" s="162" t="s">
        <v>643</v>
      </c>
      <c r="F659" s="242"/>
      <c r="G659" s="161">
        <f>SUM(G660+G662)</f>
        <v>52910.700000000004</v>
      </c>
      <c r="H659" s="22">
        <v>53118.9</v>
      </c>
      <c r="I659" s="22">
        <f>SUM(H659/G693*100)</f>
        <v>450160.16949152545</v>
      </c>
    </row>
    <row r="660" spans="1:9" ht="42.75">
      <c r="A660" s="266" t="s">
        <v>646</v>
      </c>
      <c r="B660" s="196"/>
      <c r="C660" s="192" t="s">
        <v>109</v>
      </c>
      <c r="D660" s="192" t="s">
        <v>416</v>
      </c>
      <c r="E660" s="162" t="s">
        <v>647</v>
      </c>
      <c r="F660" s="242"/>
      <c r="G660" s="161">
        <f>G661</f>
        <v>6181.3</v>
      </c>
      <c r="H660" s="22"/>
      <c r="I660" s="22"/>
    </row>
    <row r="661" spans="1:9" ht="28.5">
      <c r="A661" s="149" t="s">
        <v>463</v>
      </c>
      <c r="B661" s="196"/>
      <c r="C661" s="192" t="s">
        <v>109</v>
      </c>
      <c r="D661" s="192" t="s">
        <v>416</v>
      </c>
      <c r="E661" s="162" t="s">
        <v>647</v>
      </c>
      <c r="F661" s="242" t="s">
        <v>461</v>
      </c>
      <c r="G661" s="161">
        <v>6181.3</v>
      </c>
      <c r="H661" s="22"/>
      <c r="I661" s="22"/>
    </row>
    <row r="662" spans="1:9" ht="71.25">
      <c r="A662" s="266" t="s">
        <v>644</v>
      </c>
      <c r="B662" s="196"/>
      <c r="C662" s="192" t="s">
        <v>109</v>
      </c>
      <c r="D662" s="192" t="s">
        <v>416</v>
      </c>
      <c r="E662" s="162" t="s">
        <v>645</v>
      </c>
      <c r="F662" s="242"/>
      <c r="G662" s="161">
        <f>G663+G664</f>
        <v>46729.4</v>
      </c>
      <c r="H662" s="22" t="e">
        <f>SUM(#REF!)</f>
        <v>#REF!</v>
      </c>
      <c r="I662" s="22" t="e">
        <f>SUM(H662/G694*100)</f>
        <v>#REF!</v>
      </c>
    </row>
    <row r="663" spans="1:9" ht="28.5">
      <c r="A663" s="149" t="s">
        <v>444</v>
      </c>
      <c r="B663" s="191"/>
      <c r="C663" s="192" t="s">
        <v>109</v>
      </c>
      <c r="D663" s="192" t="s">
        <v>416</v>
      </c>
      <c r="E663" s="162" t="s">
        <v>645</v>
      </c>
      <c r="F663" s="242" t="s">
        <v>445</v>
      </c>
      <c r="G663" s="161">
        <v>42416.4</v>
      </c>
      <c r="H663" s="22"/>
      <c r="I663" s="22"/>
    </row>
    <row r="664" spans="1:9" ht="28.5">
      <c r="A664" s="187" t="s">
        <v>697</v>
      </c>
      <c r="B664" s="191"/>
      <c r="C664" s="192" t="s">
        <v>109</v>
      </c>
      <c r="D664" s="192" t="s">
        <v>416</v>
      </c>
      <c r="E664" s="162" t="s">
        <v>645</v>
      </c>
      <c r="F664" s="242" t="s">
        <v>112</v>
      </c>
      <c r="G664" s="161">
        <f>46729.4-42416.4</f>
        <v>4313</v>
      </c>
      <c r="H664" s="22"/>
      <c r="I664" s="22"/>
    </row>
    <row r="665" spans="1:9" ht="15">
      <c r="A665" s="119" t="s">
        <v>543</v>
      </c>
      <c r="B665" s="191"/>
      <c r="C665" s="192" t="s">
        <v>109</v>
      </c>
      <c r="D665" s="192" t="s">
        <v>416</v>
      </c>
      <c r="E665" s="162" t="s">
        <v>653</v>
      </c>
      <c r="F665" s="242"/>
      <c r="G665" s="161">
        <f>SUM(G666+G668)</f>
        <v>305620.10000000003</v>
      </c>
      <c r="H665" s="22"/>
      <c r="I665" s="22"/>
    </row>
    <row r="666" spans="1:9" ht="28.5">
      <c r="A666" s="119" t="s">
        <v>87</v>
      </c>
      <c r="B666" s="191"/>
      <c r="C666" s="192" t="s">
        <v>109</v>
      </c>
      <c r="D666" s="192" t="s">
        <v>416</v>
      </c>
      <c r="E666" s="162" t="s">
        <v>650</v>
      </c>
      <c r="F666" s="242"/>
      <c r="G666" s="161">
        <f>SUM(G667)</f>
        <v>302980.7</v>
      </c>
      <c r="H666" s="22"/>
      <c r="I666" s="22"/>
    </row>
    <row r="667" spans="1:9" ht="28.5">
      <c r="A667" s="149" t="s">
        <v>463</v>
      </c>
      <c r="B667" s="196"/>
      <c r="C667" s="192" t="s">
        <v>109</v>
      </c>
      <c r="D667" s="192" t="s">
        <v>416</v>
      </c>
      <c r="E667" s="162" t="s">
        <v>650</v>
      </c>
      <c r="F667" s="242" t="s">
        <v>461</v>
      </c>
      <c r="G667" s="161">
        <f>72508.4+233111.7-505.1-2134.3</f>
        <v>302980.7</v>
      </c>
      <c r="H667" s="22"/>
      <c r="I667" s="22"/>
    </row>
    <row r="668" spans="1:9" ht="15">
      <c r="A668" s="261" t="s">
        <v>148</v>
      </c>
      <c r="B668" s="196"/>
      <c r="C668" s="192" t="s">
        <v>109</v>
      </c>
      <c r="D668" s="192" t="s">
        <v>416</v>
      </c>
      <c r="E668" s="162" t="s">
        <v>652</v>
      </c>
      <c r="F668" s="242"/>
      <c r="G668" s="161">
        <f>SUM(G669)</f>
        <v>2639.4</v>
      </c>
      <c r="H668" s="22"/>
      <c r="I668" s="22"/>
    </row>
    <row r="669" spans="1:9" ht="28.5">
      <c r="A669" s="149" t="s">
        <v>370</v>
      </c>
      <c r="B669" s="196"/>
      <c r="C669" s="192" t="s">
        <v>109</v>
      </c>
      <c r="D669" s="192" t="s">
        <v>416</v>
      </c>
      <c r="E669" s="162" t="s">
        <v>651</v>
      </c>
      <c r="F669" s="242"/>
      <c r="G669" s="161">
        <f>SUM(G670)</f>
        <v>2639.4</v>
      </c>
      <c r="H669" s="22"/>
      <c r="I669" s="22"/>
    </row>
    <row r="670" spans="1:9" ht="28.5">
      <c r="A670" s="149" t="s">
        <v>470</v>
      </c>
      <c r="B670" s="191"/>
      <c r="C670" s="192" t="s">
        <v>109</v>
      </c>
      <c r="D670" s="192" t="s">
        <v>416</v>
      </c>
      <c r="E670" s="162" t="s">
        <v>651</v>
      </c>
      <c r="F670" s="242" t="s">
        <v>461</v>
      </c>
      <c r="G670" s="161">
        <f>505.1+2134.3</f>
        <v>2639.4</v>
      </c>
      <c r="H670" s="22"/>
      <c r="I670" s="22"/>
    </row>
    <row r="671" spans="1:9" ht="57">
      <c r="A671" s="266" t="s">
        <v>648</v>
      </c>
      <c r="B671" s="196"/>
      <c r="C671" s="192" t="s">
        <v>109</v>
      </c>
      <c r="D671" s="192" t="s">
        <v>416</v>
      </c>
      <c r="E671" s="162" t="s">
        <v>649</v>
      </c>
      <c r="F671" s="242"/>
      <c r="G671" s="161">
        <f>SUM(G672:G673)</f>
        <v>287095.3</v>
      </c>
      <c r="H671" s="22"/>
      <c r="I671" s="22"/>
    </row>
    <row r="672" spans="1:9" ht="28.5">
      <c r="A672" s="149" t="s">
        <v>444</v>
      </c>
      <c r="B672" s="196"/>
      <c r="C672" s="192" t="s">
        <v>109</v>
      </c>
      <c r="D672" s="192" t="s">
        <v>416</v>
      </c>
      <c r="E672" s="162" t="s">
        <v>649</v>
      </c>
      <c r="F672" s="242" t="s">
        <v>445</v>
      </c>
      <c r="G672" s="161">
        <v>283572.6</v>
      </c>
      <c r="H672" s="22"/>
      <c r="I672" s="22"/>
    </row>
    <row r="673" spans="1:9" ht="28.5">
      <c r="A673" s="187" t="s">
        <v>697</v>
      </c>
      <c r="B673" s="196"/>
      <c r="C673" s="192" t="s">
        <v>109</v>
      </c>
      <c r="D673" s="192" t="s">
        <v>416</v>
      </c>
      <c r="E673" s="162" t="s">
        <v>649</v>
      </c>
      <c r="F673" s="242" t="s">
        <v>112</v>
      </c>
      <c r="G673" s="161">
        <f>287095.3-283572.6</f>
        <v>3522.7000000000116</v>
      </c>
      <c r="H673" s="22"/>
      <c r="I673" s="22"/>
    </row>
    <row r="674" spans="1:9" ht="15">
      <c r="A674" s="119" t="s">
        <v>530</v>
      </c>
      <c r="B674" s="196"/>
      <c r="C674" s="192" t="s">
        <v>109</v>
      </c>
      <c r="D674" s="192" t="s">
        <v>416</v>
      </c>
      <c r="E674" s="192" t="s">
        <v>121</v>
      </c>
      <c r="F674" s="242"/>
      <c r="G674" s="161">
        <f>SUM(G675+G678)</f>
        <v>3426.2</v>
      </c>
      <c r="H674" s="22"/>
      <c r="I674" s="22"/>
    </row>
    <row r="675" spans="1:9" ht="28.5">
      <c r="A675" s="149" t="s">
        <v>636</v>
      </c>
      <c r="B675" s="232"/>
      <c r="C675" s="192" t="s">
        <v>109</v>
      </c>
      <c r="D675" s="192" t="s">
        <v>416</v>
      </c>
      <c r="E675" s="192" t="s">
        <v>637</v>
      </c>
      <c r="F675" s="242"/>
      <c r="G675" s="161">
        <f>SUM(G676:G677)</f>
        <v>2626.1</v>
      </c>
      <c r="H675" s="22"/>
      <c r="I675" s="22"/>
    </row>
    <row r="676" spans="1:9" ht="28.5">
      <c r="A676" s="187" t="s">
        <v>697</v>
      </c>
      <c r="B676" s="232"/>
      <c r="C676" s="192" t="s">
        <v>109</v>
      </c>
      <c r="D676" s="192" t="s">
        <v>416</v>
      </c>
      <c r="E676" s="192" t="s">
        <v>637</v>
      </c>
      <c r="F676" s="242" t="s">
        <v>112</v>
      </c>
      <c r="G676" s="161">
        <v>940</v>
      </c>
      <c r="H676" s="22"/>
      <c r="I676" s="22"/>
    </row>
    <row r="677" spans="1:9" ht="28.5">
      <c r="A677" s="149" t="s">
        <v>470</v>
      </c>
      <c r="B677" s="232"/>
      <c r="C677" s="192" t="s">
        <v>109</v>
      </c>
      <c r="D677" s="192" t="s">
        <v>416</v>
      </c>
      <c r="E677" s="192" t="s">
        <v>637</v>
      </c>
      <c r="F677" s="242" t="s">
        <v>461</v>
      </c>
      <c r="G677" s="161">
        <v>1686.1</v>
      </c>
      <c r="H677" s="22"/>
      <c r="I677" s="22"/>
    </row>
    <row r="678" spans="1:9" ht="28.5">
      <c r="A678" s="149" t="s">
        <v>654</v>
      </c>
      <c r="B678" s="232"/>
      <c r="C678" s="192" t="s">
        <v>109</v>
      </c>
      <c r="D678" s="192" t="s">
        <v>416</v>
      </c>
      <c r="E678" s="192" t="s">
        <v>655</v>
      </c>
      <c r="F678" s="242"/>
      <c r="G678" s="161">
        <f>SUM(G679:G681)</f>
        <v>800.1</v>
      </c>
      <c r="H678" s="22"/>
      <c r="I678" s="22"/>
    </row>
    <row r="679" spans="1:9" ht="28.5">
      <c r="A679" s="149" t="s">
        <v>444</v>
      </c>
      <c r="B679" s="232"/>
      <c r="C679" s="192" t="s">
        <v>109</v>
      </c>
      <c r="D679" s="192" t="s">
        <v>416</v>
      </c>
      <c r="E679" s="192" t="s">
        <v>655</v>
      </c>
      <c r="F679" s="242" t="s">
        <v>445</v>
      </c>
      <c r="G679" s="161">
        <v>25.9</v>
      </c>
      <c r="H679" s="22"/>
      <c r="I679" s="22"/>
    </row>
    <row r="680" spans="1:9" ht="28.5">
      <c r="A680" s="187" t="s">
        <v>697</v>
      </c>
      <c r="B680" s="232"/>
      <c r="C680" s="192" t="s">
        <v>109</v>
      </c>
      <c r="D680" s="192" t="s">
        <v>416</v>
      </c>
      <c r="E680" s="192" t="s">
        <v>655</v>
      </c>
      <c r="F680" s="242" t="s">
        <v>112</v>
      </c>
      <c r="G680" s="161">
        <v>741.2</v>
      </c>
      <c r="H680" s="22"/>
      <c r="I680" s="22"/>
    </row>
    <row r="681" spans="1:9" ht="28.5">
      <c r="A681" s="149" t="s">
        <v>470</v>
      </c>
      <c r="B681" s="232"/>
      <c r="C681" s="192" t="s">
        <v>109</v>
      </c>
      <c r="D681" s="192" t="s">
        <v>416</v>
      </c>
      <c r="E681" s="192" t="s">
        <v>655</v>
      </c>
      <c r="F681" s="242" t="s">
        <v>461</v>
      </c>
      <c r="G681" s="161">
        <v>33</v>
      </c>
      <c r="H681" s="22"/>
      <c r="I681" s="22"/>
    </row>
    <row r="682" spans="1:9" ht="18.75" customHeight="1">
      <c r="A682" s="119" t="s">
        <v>110</v>
      </c>
      <c r="B682" s="214"/>
      <c r="C682" s="199" t="s">
        <v>109</v>
      </c>
      <c r="D682" s="199" t="s">
        <v>109</v>
      </c>
      <c r="E682" s="199"/>
      <c r="F682" s="258"/>
      <c r="G682" s="174">
        <f>SUM(G687+G694+G683+G699)</f>
        <v>6006.3</v>
      </c>
      <c r="H682" s="22"/>
      <c r="I682" s="22" t="e">
        <f>SUM(H682/G696*100)</f>
        <v>#DIV/0!</v>
      </c>
    </row>
    <row r="683" spans="1:9" ht="15">
      <c r="A683" s="119" t="s">
        <v>345</v>
      </c>
      <c r="B683" s="214"/>
      <c r="C683" s="199" t="s">
        <v>109</v>
      </c>
      <c r="D683" s="199" t="s">
        <v>109</v>
      </c>
      <c r="E683" s="199" t="s">
        <v>456</v>
      </c>
      <c r="F683" s="258"/>
      <c r="G683" s="174">
        <f>G684</f>
        <v>298</v>
      </c>
      <c r="H683" s="22"/>
      <c r="I683" s="22" t="e">
        <f>SUM(H683/G697*100)</f>
        <v>#DIV/0!</v>
      </c>
    </row>
    <row r="684" spans="1:9" ht="15">
      <c r="A684" s="119" t="s">
        <v>449</v>
      </c>
      <c r="B684" s="214"/>
      <c r="C684" s="199" t="s">
        <v>109</v>
      </c>
      <c r="D684" s="199" t="s">
        <v>109</v>
      </c>
      <c r="E684" s="199" t="s">
        <v>456</v>
      </c>
      <c r="F684" s="258" t="s">
        <v>112</v>
      </c>
      <c r="G684" s="174">
        <v>298</v>
      </c>
      <c r="H684" s="22"/>
      <c r="I684" s="22" t="e">
        <f>SUM(H684/G698*100)</f>
        <v>#DIV/0!</v>
      </c>
    </row>
    <row r="685" spans="1:9" ht="15" hidden="1">
      <c r="A685" s="119" t="s">
        <v>220</v>
      </c>
      <c r="B685" s="214"/>
      <c r="C685" s="199" t="s">
        <v>109</v>
      </c>
      <c r="D685" s="199" t="s">
        <v>109</v>
      </c>
      <c r="E685" s="199" t="s">
        <v>346</v>
      </c>
      <c r="F685" s="258" t="s">
        <v>221</v>
      </c>
      <c r="G685" s="174"/>
      <c r="H685" s="22">
        <f>SUM(H686)</f>
        <v>0</v>
      </c>
      <c r="I685" s="22">
        <f>SUM(H685/G699*100)</f>
        <v>0</v>
      </c>
    </row>
    <row r="686" spans="1:9" ht="15" hidden="1">
      <c r="A686" s="119" t="s">
        <v>200</v>
      </c>
      <c r="B686" s="214"/>
      <c r="C686" s="199" t="s">
        <v>109</v>
      </c>
      <c r="D686" s="199" t="s">
        <v>109</v>
      </c>
      <c r="E686" s="199" t="s">
        <v>346</v>
      </c>
      <c r="F686" s="258" t="s">
        <v>201</v>
      </c>
      <c r="G686" s="174"/>
      <c r="H686" s="22"/>
      <c r="I686" s="22">
        <f>SUM(H686/G705*100)</f>
        <v>0</v>
      </c>
    </row>
    <row r="687" spans="1:9" ht="15">
      <c r="A687" s="119" t="s">
        <v>202</v>
      </c>
      <c r="B687" s="214"/>
      <c r="C687" s="199" t="s">
        <v>109</v>
      </c>
      <c r="D687" s="199" t="s">
        <v>109</v>
      </c>
      <c r="E687" s="199" t="s">
        <v>203</v>
      </c>
      <c r="F687" s="258"/>
      <c r="G687" s="174">
        <f>SUM(G690+G688)</f>
        <v>1914.5</v>
      </c>
      <c r="H687" s="22">
        <f>SUM(H688)</f>
        <v>5014</v>
      </c>
      <c r="I687" s="22">
        <f>SUM(H687/G707*100)</f>
        <v>647.5526281802919</v>
      </c>
    </row>
    <row r="688" spans="1:9" ht="28.5" hidden="1">
      <c r="A688" s="119" t="s">
        <v>230</v>
      </c>
      <c r="B688" s="214"/>
      <c r="C688" s="199" t="s">
        <v>109</v>
      </c>
      <c r="D688" s="199" t="s">
        <v>109</v>
      </c>
      <c r="E688" s="199" t="s">
        <v>190</v>
      </c>
      <c r="F688" s="258"/>
      <c r="G688" s="174"/>
      <c r="H688" s="22">
        <v>5014</v>
      </c>
      <c r="I688" s="22">
        <f>SUM(H688/G708*100)</f>
        <v>13.303404652742405</v>
      </c>
    </row>
    <row r="689" spans="1:9" ht="15" hidden="1">
      <c r="A689" s="119" t="s">
        <v>52</v>
      </c>
      <c r="B689" s="214"/>
      <c r="C689" s="199" t="s">
        <v>109</v>
      </c>
      <c r="D689" s="199" t="s">
        <v>109</v>
      </c>
      <c r="E689" s="199" t="s">
        <v>190</v>
      </c>
      <c r="F689" s="258"/>
      <c r="G689" s="174"/>
      <c r="H689" s="22">
        <f>SUM(H690)</f>
        <v>0</v>
      </c>
      <c r="I689" s="22">
        <f>SUM(H689/G709*100)</f>
        <v>0</v>
      </c>
    </row>
    <row r="690" spans="1:9" ht="28.5">
      <c r="A690" s="119" t="s">
        <v>51</v>
      </c>
      <c r="B690" s="214"/>
      <c r="C690" s="199" t="s">
        <v>109</v>
      </c>
      <c r="D690" s="199" t="s">
        <v>109</v>
      </c>
      <c r="E690" s="199" t="s">
        <v>206</v>
      </c>
      <c r="F690" s="258"/>
      <c r="G690" s="174">
        <f>SUM(G691+G692+G693)</f>
        <v>1914.5</v>
      </c>
      <c r="H690" s="22"/>
      <c r="I690" s="22">
        <f>SUM(H690/G710*100)</f>
        <v>0</v>
      </c>
    </row>
    <row r="691" spans="1:9" ht="28.5">
      <c r="A691" s="119" t="s">
        <v>444</v>
      </c>
      <c r="B691" s="214"/>
      <c r="C691" s="199" t="s">
        <v>109</v>
      </c>
      <c r="D691" s="199" t="s">
        <v>109</v>
      </c>
      <c r="E691" s="199" t="s">
        <v>206</v>
      </c>
      <c r="F691" s="258" t="s">
        <v>445</v>
      </c>
      <c r="G691" s="174">
        <v>1714.3</v>
      </c>
      <c r="H691" s="22" t="e">
        <f>SUM(#REF!)</f>
        <v>#REF!</v>
      </c>
      <c r="I691" s="22" t="e">
        <f>SUM(H691/G711*100)</f>
        <v>#REF!</v>
      </c>
    </row>
    <row r="692" spans="1:9" ht="28.5">
      <c r="A692" s="187" t="s">
        <v>697</v>
      </c>
      <c r="B692" s="214"/>
      <c r="C692" s="199" t="s">
        <v>109</v>
      </c>
      <c r="D692" s="199" t="s">
        <v>109</v>
      </c>
      <c r="E692" s="199" t="s">
        <v>206</v>
      </c>
      <c r="F692" s="258" t="s">
        <v>112</v>
      </c>
      <c r="G692" s="174">
        <v>188.4</v>
      </c>
      <c r="H692" s="22">
        <f>SUM(H699)</f>
        <v>39140.2</v>
      </c>
      <c r="I692" s="22">
        <f>SUM(H692/G727*100)</f>
        <v>144.62357049162156</v>
      </c>
    </row>
    <row r="693" spans="1:9" ht="15.75" customHeight="1">
      <c r="A693" s="119" t="s">
        <v>450</v>
      </c>
      <c r="B693" s="214"/>
      <c r="C693" s="199" t="s">
        <v>109</v>
      </c>
      <c r="D693" s="199" t="s">
        <v>109</v>
      </c>
      <c r="E693" s="199" t="s">
        <v>206</v>
      </c>
      <c r="F693" s="258" t="s">
        <v>160</v>
      </c>
      <c r="G693" s="174">
        <v>11.8</v>
      </c>
      <c r="H693" s="22" t="e">
        <f>SUM(H697+#REF!+#REF!)</f>
        <v>#REF!</v>
      </c>
      <c r="I693" s="22" t="e">
        <f>SUM(H693/#REF!*100)</f>
        <v>#REF!</v>
      </c>
    </row>
    <row r="694" spans="1:9" ht="15" hidden="1">
      <c r="A694" s="120" t="s">
        <v>207</v>
      </c>
      <c r="B694" s="214"/>
      <c r="C694" s="199" t="s">
        <v>109</v>
      </c>
      <c r="D694" s="199" t="s">
        <v>109</v>
      </c>
      <c r="E694" s="199" t="s">
        <v>111</v>
      </c>
      <c r="F694" s="258"/>
      <c r="G694" s="174">
        <f>SUM(G695)</f>
        <v>0</v>
      </c>
      <c r="H694" s="22"/>
      <c r="I694" s="22"/>
    </row>
    <row r="695" spans="1:9" ht="28.5" hidden="1">
      <c r="A695" s="120" t="s">
        <v>83</v>
      </c>
      <c r="B695" s="214"/>
      <c r="C695" s="199" t="s">
        <v>109</v>
      </c>
      <c r="D695" s="199" t="s">
        <v>109</v>
      </c>
      <c r="E695" s="199" t="s">
        <v>84</v>
      </c>
      <c r="F695" s="258"/>
      <c r="G695" s="174">
        <f>SUM(G696)</f>
        <v>0</v>
      </c>
      <c r="H695" s="22"/>
      <c r="I695" s="22"/>
    </row>
    <row r="696" spans="1:9" ht="42.75" hidden="1">
      <c r="A696" s="120" t="s">
        <v>85</v>
      </c>
      <c r="B696" s="214"/>
      <c r="C696" s="199" t="s">
        <v>109</v>
      </c>
      <c r="D696" s="199" t="s">
        <v>109</v>
      </c>
      <c r="E696" s="199" t="s">
        <v>86</v>
      </c>
      <c r="F696" s="258"/>
      <c r="G696" s="174">
        <f>SUM(G697:G698)</f>
        <v>0</v>
      </c>
      <c r="H696" s="22"/>
      <c r="I696" s="22"/>
    </row>
    <row r="697" spans="1:9" ht="15" hidden="1">
      <c r="A697" s="119" t="s">
        <v>52</v>
      </c>
      <c r="B697" s="214"/>
      <c r="C697" s="199" t="s">
        <v>109</v>
      </c>
      <c r="D697" s="199" t="s">
        <v>109</v>
      </c>
      <c r="E697" s="199" t="s">
        <v>86</v>
      </c>
      <c r="F697" s="258"/>
      <c r="G697" s="174"/>
      <c r="H697" s="22">
        <v>56722</v>
      </c>
      <c r="I697" s="22" t="e">
        <f>SUM(H697/#REF!*100)</f>
        <v>#REF!</v>
      </c>
    </row>
    <row r="698" spans="1:9" ht="28.5" hidden="1">
      <c r="A698" s="187" t="s">
        <v>697</v>
      </c>
      <c r="B698" s="214"/>
      <c r="C698" s="199" t="s">
        <v>109</v>
      </c>
      <c r="D698" s="199" t="s">
        <v>109</v>
      </c>
      <c r="E698" s="199" t="s">
        <v>86</v>
      </c>
      <c r="F698" s="258" t="s">
        <v>112</v>
      </c>
      <c r="G698" s="174"/>
      <c r="H698" s="22"/>
      <c r="I698" s="22"/>
    </row>
    <row r="699" spans="1:9" ht="15">
      <c r="A699" s="119" t="s">
        <v>530</v>
      </c>
      <c r="B699" s="208"/>
      <c r="C699" s="199" t="s">
        <v>109</v>
      </c>
      <c r="D699" s="199" t="s">
        <v>109</v>
      </c>
      <c r="E699" s="199" t="s">
        <v>121</v>
      </c>
      <c r="F699" s="258"/>
      <c r="G699" s="174">
        <f>SUM(G705)+G700+G702</f>
        <v>3793.8</v>
      </c>
      <c r="H699" s="22">
        <f>SUM(H705+H711+H707)</f>
        <v>39140.2</v>
      </c>
      <c r="I699" s="22" t="e">
        <f>SUM(H699/#REF!*100)</f>
        <v>#REF!</v>
      </c>
    </row>
    <row r="700" spans="1:9" ht="42.75">
      <c r="A700" s="149" t="s">
        <v>656</v>
      </c>
      <c r="B700" s="201"/>
      <c r="C700" s="192" t="s">
        <v>109</v>
      </c>
      <c r="D700" s="192" t="s">
        <v>109</v>
      </c>
      <c r="E700" s="192" t="s">
        <v>657</v>
      </c>
      <c r="F700" s="242"/>
      <c r="G700" s="161">
        <f>G701</f>
        <v>10</v>
      </c>
      <c r="H700" s="22"/>
      <c r="I700" s="22"/>
    </row>
    <row r="701" spans="1:9" ht="28.5">
      <c r="A701" s="187" t="s">
        <v>697</v>
      </c>
      <c r="B701" s="201"/>
      <c r="C701" s="192" t="s">
        <v>109</v>
      </c>
      <c r="D701" s="192" t="s">
        <v>109</v>
      </c>
      <c r="E701" s="192" t="s">
        <v>657</v>
      </c>
      <c r="F701" s="242" t="s">
        <v>112</v>
      </c>
      <c r="G701" s="161">
        <v>10</v>
      </c>
      <c r="H701" s="22"/>
      <c r="I701" s="22"/>
    </row>
    <row r="702" spans="1:9" ht="28.5">
      <c r="A702" s="120" t="s">
        <v>745</v>
      </c>
      <c r="B702" s="214"/>
      <c r="C702" s="199" t="s">
        <v>109</v>
      </c>
      <c r="D702" s="199" t="s">
        <v>109</v>
      </c>
      <c r="E702" s="199" t="s">
        <v>746</v>
      </c>
      <c r="F702" s="258"/>
      <c r="G702" s="174">
        <f>SUM(G703+G704)</f>
        <v>3000</v>
      </c>
      <c r="H702" s="22"/>
      <c r="I702" s="22"/>
    </row>
    <row r="703" spans="1:9" ht="15">
      <c r="A703" s="119" t="s">
        <v>449</v>
      </c>
      <c r="B703" s="214"/>
      <c r="C703" s="199" t="s">
        <v>109</v>
      </c>
      <c r="D703" s="199" t="s">
        <v>109</v>
      </c>
      <c r="E703" s="199" t="s">
        <v>746</v>
      </c>
      <c r="F703" s="258" t="s">
        <v>112</v>
      </c>
      <c r="G703" s="174">
        <v>430.8</v>
      </c>
      <c r="H703" s="22"/>
      <c r="I703" s="22"/>
    </row>
    <row r="704" spans="1:9" ht="15">
      <c r="A704" s="119" t="s">
        <v>450</v>
      </c>
      <c r="B704" s="214"/>
      <c r="C704" s="199" t="s">
        <v>109</v>
      </c>
      <c r="D704" s="199" t="s">
        <v>109</v>
      </c>
      <c r="E704" s="199" t="s">
        <v>746</v>
      </c>
      <c r="F704" s="258" t="s">
        <v>160</v>
      </c>
      <c r="G704" s="174">
        <v>2569.2</v>
      </c>
      <c r="H704" s="22"/>
      <c r="I704" s="22"/>
    </row>
    <row r="705" spans="1:9" ht="15">
      <c r="A705" s="267" t="s">
        <v>546</v>
      </c>
      <c r="B705" s="208"/>
      <c r="C705" s="199" t="s">
        <v>109</v>
      </c>
      <c r="D705" s="199" t="s">
        <v>109</v>
      </c>
      <c r="E705" s="199" t="s">
        <v>89</v>
      </c>
      <c r="F705" s="258"/>
      <c r="G705" s="177">
        <f>SUM(G706:G707)</f>
        <v>783.8</v>
      </c>
      <c r="H705" s="22">
        <v>39061.6</v>
      </c>
      <c r="I705" s="22" t="e">
        <f>SUM(H705/#REF!*100)</f>
        <v>#REF!</v>
      </c>
    </row>
    <row r="706" spans="1:9" ht="28.5">
      <c r="A706" s="149" t="s">
        <v>444</v>
      </c>
      <c r="B706" s="208"/>
      <c r="C706" s="199" t="s">
        <v>109</v>
      </c>
      <c r="D706" s="199" t="s">
        <v>109</v>
      </c>
      <c r="E706" s="199" t="s">
        <v>89</v>
      </c>
      <c r="F706" s="258" t="s">
        <v>445</v>
      </c>
      <c r="G706" s="177">
        <v>9.5</v>
      </c>
      <c r="H706" s="22"/>
      <c r="I706" s="22"/>
    </row>
    <row r="707" spans="1:9" ht="28.5">
      <c r="A707" s="187" t="s">
        <v>697</v>
      </c>
      <c r="B707" s="208"/>
      <c r="C707" s="199" t="s">
        <v>109</v>
      </c>
      <c r="D707" s="199" t="s">
        <v>109</v>
      </c>
      <c r="E707" s="199" t="s">
        <v>89</v>
      </c>
      <c r="F707" s="258" t="s">
        <v>112</v>
      </c>
      <c r="G707" s="177">
        <v>774.3</v>
      </c>
      <c r="H707" s="22">
        <f>SUM(H708)</f>
        <v>78.6</v>
      </c>
      <c r="I707" s="22" t="e">
        <f>SUM(H707/#REF!*100)</f>
        <v>#REF!</v>
      </c>
    </row>
    <row r="708" spans="1:9" ht="15">
      <c r="A708" s="119" t="s">
        <v>208</v>
      </c>
      <c r="B708" s="214"/>
      <c r="C708" s="199" t="s">
        <v>109</v>
      </c>
      <c r="D708" s="199" t="s">
        <v>272</v>
      </c>
      <c r="E708" s="199"/>
      <c r="F708" s="258"/>
      <c r="G708" s="174">
        <f>G709</f>
        <v>37689.59999999999</v>
      </c>
      <c r="H708" s="22">
        <v>78.6</v>
      </c>
      <c r="I708" s="22" t="e">
        <f>SUM(H708/#REF!*100)</f>
        <v>#REF!</v>
      </c>
    </row>
    <row r="709" spans="1:9" ht="42.75">
      <c r="A709" s="120" t="s">
        <v>263</v>
      </c>
      <c r="B709" s="214"/>
      <c r="C709" s="199" t="s">
        <v>109</v>
      </c>
      <c r="D709" s="199" t="s">
        <v>272</v>
      </c>
      <c r="E709" s="199" t="s">
        <v>264</v>
      </c>
      <c r="F709" s="258"/>
      <c r="G709" s="174">
        <f>SUM(G710)</f>
        <v>37689.59999999999</v>
      </c>
      <c r="H709" s="22"/>
      <c r="I709" s="22" t="e">
        <f>SUM(H709/#REF!*100)</f>
        <v>#REF!</v>
      </c>
    </row>
    <row r="710" spans="1:9" ht="28.5">
      <c r="A710" s="119" t="s">
        <v>51</v>
      </c>
      <c r="B710" s="214"/>
      <c r="C710" s="199" t="s">
        <v>109</v>
      </c>
      <c r="D710" s="199" t="s">
        <v>272</v>
      </c>
      <c r="E710" s="199" t="s">
        <v>265</v>
      </c>
      <c r="F710" s="258"/>
      <c r="G710" s="174">
        <f>SUM(G711+G712+G713)</f>
        <v>37689.59999999999</v>
      </c>
      <c r="H710" s="22"/>
      <c r="I710" s="22" t="e">
        <f>SUM(H710/#REF!*100)</f>
        <v>#REF!</v>
      </c>
    </row>
    <row r="711" spans="1:9" s="102" customFormat="1" ht="28.5">
      <c r="A711" s="119" t="s">
        <v>444</v>
      </c>
      <c r="B711" s="214"/>
      <c r="C711" s="199" t="s">
        <v>109</v>
      </c>
      <c r="D711" s="199" t="s">
        <v>272</v>
      </c>
      <c r="E711" s="199" t="s">
        <v>265</v>
      </c>
      <c r="F711" s="258" t="s">
        <v>445</v>
      </c>
      <c r="G711" s="174">
        <v>33340.2</v>
      </c>
      <c r="H711" s="22">
        <f>SUM(H713)</f>
        <v>0</v>
      </c>
      <c r="I711" s="22" t="e">
        <f>SUM(H711/#REF!*100)</f>
        <v>#REF!</v>
      </c>
    </row>
    <row r="712" spans="1:9" ht="28.5">
      <c r="A712" s="187" t="s">
        <v>697</v>
      </c>
      <c r="B712" s="208"/>
      <c r="C712" s="199" t="s">
        <v>109</v>
      </c>
      <c r="D712" s="199" t="s">
        <v>272</v>
      </c>
      <c r="E712" s="199" t="s">
        <v>265</v>
      </c>
      <c r="F712" s="258" t="s">
        <v>112</v>
      </c>
      <c r="G712" s="174">
        <v>3950.7</v>
      </c>
      <c r="H712" s="22"/>
      <c r="I712" s="22" t="e">
        <f>SUM(H712/#REF!*100)</f>
        <v>#REF!</v>
      </c>
    </row>
    <row r="713" spans="1:9" ht="15">
      <c r="A713" s="119" t="s">
        <v>450</v>
      </c>
      <c r="B713" s="214"/>
      <c r="C713" s="199" t="s">
        <v>109</v>
      </c>
      <c r="D713" s="199" t="s">
        <v>272</v>
      </c>
      <c r="E713" s="199" t="s">
        <v>265</v>
      </c>
      <c r="F713" s="258" t="s">
        <v>160</v>
      </c>
      <c r="G713" s="174">
        <v>398.7</v>
      </c>
      <c r="H713" s="22"/>
      <c r="I713" s="22" t="e">
        <f>SUM(H713/#REF!*100)</f>
        <v>#REF!</v>
      </c>
    </row>
    <row r="714" spans="1:9" ht="15">
      <c r="A714" s="119" t="s">
        <v>167</v>
      </c>
      <c r="B714" s="214"/>
      <c r="C714" s="199" t="s">
        <v>5</v>
      </c>
      <c r="D714" s="199"/>
      <c r="E714" s="199"/>
      <c r="F714" s="258"/>
      <c r="G714" s="174">
        <f>SUM(G721)+G715</f>
        <v>38445.7</v>
      </c>
      <c r="H714" s="22" t="e">
        <f>SUM(H721)</f>
        <v>#REF!</v>
      </c>
      <c r="I714" s="22" t="e">
        <f>SUM(H714/#REF!*100)</f>
        <v>#REF!</v>
      </c>
    </row>
    <row r="715" spans="1:9" ht="15">
      <c r="A715" s="119" t="s">
        <v>24</v>
      </c>
      <c r="B715" s="214"/>
      <c r="C715" s="224" t="s">
        <v>5</v>
      </c>
      <c r="D715" s="224" t="s">
        <v>98</v>
      </c>
      <c r="E715" s="224"/>
      <c r="F715" s="258"/>
      <c r="G715" s="174">
        <f>SUM(G716)</f>
        <v>1600</v>
      </c>
      <c r="H715" s="22"/>
      <c r="I715" s="22"/>
    </row>
    <row r="716" spans="1:9" ht="15">
      <c r="A716" s="119" t="s">
        <v>25</v>
      </c>
      <c r="B716" s="214"/>
      <c r="C716" s="224" t="s">
        <v>5</v>
      </c>
      <c r="D716" s="224" t="s">
        <v>98</v>
      </c>
      <c r="E716" s="224" t="s">
        <v>26</v>
      </c>
      <c r="F716" s="258"/>
      <c r="G716" s="174">
        <f>SUM(G717)</f>
        <v>1600</v>
      </c>
      <c r="H716" s="22"/>
      <c r="I716" s="22"/>
    </row>
    <row r="717" spans="1:9" ht="15">
      <c r="A717" s="119" t="s">
        <v>262</v>
      </c>
      <c r="B717" s="223"/>
      <c r="C717" s="224" t="s">
        <v>5</v>
      </c>
      <c r="D717" s="224" t="s">
        <v>98</v>
      </c>
      <c r="E717" s="224" t="s">
        <v>522</v>
      </c>
      <c r="F717" s="248"/>
      <c r="G717" s="175">
        <f>SUM(G718)</f>
        <v>1600</v>
      </c>
      <c r="H717" s="22"/>
      <c r="I717" s="22"/>
    </row>
    <row r="718" spans="1:9" ht="42.75">
      <c r="A718" s="119" t="s">
        <v>429</v>
      </c>
      <c r="B718" s="223"/>
      <c r="C718" s="224" t="s">
        <v>5</v>
      </c>
      <c r="D718" s="224" t="s">
        <v>98</v>
      </c>
      <c r="E718" s="224" t="s">
        <v>525</v>
      </c>
      <c r="F718" s="248"/>
      <c r="G718" s="175">
        <f>SUM(G719:G720)</f>
        <v>1600</v>
      </c>
      <c r="H718" s="22"/>
      <c r="I718" s="22"/>
    </row>
    <row r="719" spans="1:9" ht="15">
      <c r="A719" s="119" t="s">
        <v>454</v>
      </c>
      <c r="B719" s="223"/>
      <c r="C719" s="224" t="s">
        <v>5</v>
      </c>
      <c r="D719" s="224" t="s">
        <v>98</v>
      </c>
      <c r="E719" s="224" t="s">
        <v>525</v>
      </c>
      <c r="F719" s="248" t="s">
        <v>455</v>
      </c>
      <c r="G719" s="175">
        <v>1469.5</v>
      </c>
      <c r="H719" s="22"/>
      <c r="I719" s="22"/>
    </row>
    <row r="720" spans="1:9" ht="28.5">
      <c r="A720" s="149" t="s">
        <v>470</v>
      </c>
      <c r="B720" s="223"/>
      <c r="C720" s="224" t="s">
        <v>5</v>
      </c>
      <c r="D720" s="224" t="s">
        <v>98</v>
      </c>
      <c r="E720" s="224" t="s">
        <v>525</v>
      </c>
      <c r="F720" s="248" t="s">
        <v>461</v>
      </c>
      <c r="G720" s="175">
        <v>130.5</v>
      </c>
      <c r="H720" s="22"/>
      <c r="I720" s="22"/>
    </row>
    <row r="721" spans="1:9" ht="15">
      <c r="A721" s="120" t="s">
        <v>149</v>
      </c>
      <c r="B721" s="214"/>
      <c r="C721" s="199" t="s">
        <v>5</v>
      </c>
      <c r="D721" s="199" t="s">
        <v>114</v>
      </c>
      <c r="E721" s="199"/>
      <c r="F721" s="258"/>
      <c r="G721" s="174">
        <f>SUM(G722)+G725</f>
        <v>36845.7</v>
      </c>
      <c r="H721" s="22" t="e">
        <f>SUM(H726+#REF!+#REF!)</f>
        <v>#REF!</v>
      </c>
      <c r="I721" s="22" t="e">
        <f>SUM(H721/#REF!*100)</f>
        <v>#REF!</v>
      </c>
    </row>
    <row r="722" spans="1:9" ht="28.5">
      <c r="A722" s="266" t="s">
        <v>640</v>
      </c>
      <c r="B722" s="196"/>
      <c r="C722" s="192" t="s">
        <v>5</v>
      </c>
      <c r="D722" s="192" t="s">
        <v>114</v>
      </c>
      <c r="E722" s="162" t="s">
        <v>641</v>
      </c>
      <c r="F722" s="242"/>
      <c r="G722" s="161">
        <f>SUM(G723)</f>
        <v>9782.2</v>
      </c>
      <c r="H722" s="22"/>
      <c r="I722" s="22" t="e">
        <f>SUM(H722/#REF!*100)</f>
        <v>#REF!</v>
      </c>
    </row>
    <row r="723" spans="1:9" ht="99.75">
      <c r="A723" s="266" t="s">
        <v>642</v>
      </c>
      <c r="B723" s="196"/>
      <c r="C723" s="192" t="s">
        <v>5</v>
      </c>
      <c r="D723" s="192" t="s">
        <v>114</v>
      </c>
      <c r="E723" s="162" t="s">
        <v>643</v>
      </c>
      <c r="F723" s="246"/>
      <c r="G723" s="161">
        <f>G724</f>
        <v>9782.2</v>
      </c>
      <c r="H723" s="22"/>
      <c r="I723" s="22"/>
    </row>
    <row r="724" spans="1:9" ht="42.75">
      <c r="A724" s="266" t="s">
        <v>658</v>
      </c>
      <c r="B724" s="196"/>
      <c r="C724" s="192" t="s">
        <v>5</v>
      </c>
      <c r="D724" s="192" t="s">
        <v>114</v>
      </c>
      <c r="E724" s="162" t="s">
        <v>659</v>
      </c>
      <c r="F724" s="242" t="s">
        <v>455</v>
      </c>
      <c r="G724" s="161">
        <v>9782.2</v>
      </c>
      <c r="H724" s="22"/>
      <c r="I724" s="22"/>
    </row>
    <row r="725" spans="1:9" ht="28.5">
      <c r="A725" s="266" t="s">
        <v>630</v>
      </c>
      <c r="B725" s="196"/>
      <c r="C725" s="192" t="s">
        <v>5</v>
      </c>
      <c r="D725" s="192" t="s">
        <v>114</v>
      </c>
      <c r="E725" s="216" t="s">
        <v>631</v>
      </c>
      <c r="F725" s="242"/>
      <c r="G725" s="161">
        <f>SUM(G726)</f>
        <v>27063.5</v>
      </c>
      <c r="H725" s="22"/>
      <c r="I725" s="22"/>
    </row>
    <row r="726" spans="1:9" ht="99.75">
      <c r="A726" s="266" t="s">
        <v>660</v>
      </c>
      <c r="B726" s="196"/>
      <c r="C726" s="192" t="s">
        <v>5</v>
      </c>
      <c r="D726" s="192" t="s">
        <v>114</v>
      </c>
      <c r="E726" s="216" t="s">
        <v>661</v>
      </c>
      <c r="F726" s="242"/>
      <c r="G726" s="161">
        <f>SUM(G727)</f>
        <v>27063.5</v>
      </c>
      <c r="H726" s="22">
        <f>SUM(H727)</f>
        <v>0</v>
      </c>
      <c r="I726" s="22" t="e">
        <f>SUM(H726/#REF!*100)</f>
        <v>#REF!</v>
      </c>
    </row>
    <row r="727" spans="1:9" ht="57">
      <c r="A727" s="266" t="s">
        <v>662</v>
      </c>
      <c r="B727" s="196"/>
      <c r="C727" s="192" t="s">
        <v>5</v>
      </c>
      <c r="D727" s="192" t="s">
        <v>114</v>
      </c>
      <c r="E727" s="162" t="s">
        <v>663</v>
      </c>
      <c r="F727" s="242" t="s">
        <v>455</v>
      </c>
      <c r="G727" s="161">
        <v>27063.5</v>
      </c>
      <c r="H727" s="22"/>
      <c r="I727" s="22" t="e">
        <f>SUM(H727/#REF!*100)</f>
        <v>#REF!</v>
      </c>
    </row>
    <row r="728" spans="1:9" ht="15">
      <c r="A728" s="193" t="s">
        <v>275</v>
      </c>
      <c r="B728" s="194" t="s">
        <v>238</v>
      </c>
      <c r="C728" s="192"/>
      <c r="D728" s="192"/>
      <c r="E728" s="192"/>
      <c r="F728" s="242"/>
      <c r="G728" s="176">
        <f>SUM(G729+G758)</f>
        <v>168991.80000000002</v>
      </c>
      <c r="H728" s="22">
        <f>SUM(H729)</f>
        <v>199.3</v>
      </c>
      <c r="I728" s="22" t="e">
        <f>SUM(H728/G752*100)</f>
        <v>#DIV/0!</v>
      </c>
    </row>
    <row r="729" spans="1:9" ht="15">
      <c r="A729" s="187" t="s">
        <v>108</v>
      </c>
      <c r="B729" s="188"/>
      <c r="C729" s="192" t="s">
        <v>109</v>
      </c>
      <c r="D729" s="192"/>
      <c r="E729" s="192"/>
      <c r="F729" s="242"/>
      <c r="G729" s="161">
        <f>SUM(G730)+G745</f>
        <v>56312.1</v>
      </c>
      <c r="H729" s="22">
        <v>199.3</v>
      </c>
      <c r="I729" s="22" t="e">
        <f>SUM(H729/G753*100)</f>
        <v>#DIV/0!</v>
      </c>
    </row>
    <row r="730" spans="1:9" ht="15">
      <c r="A730" s="187" t="s">
        <v>302</v>
      </c>
      <c r="B730" s="194"/>
      <c r="C730" s="192" t="s">
        <v>109</v>
      </c>
      <c r="D730" s="192" t="s">
        <v>416</v>
      </c>
      <c r="E730" s="192"/>
      <c r="F730" s="242"/>
      <c r="G730" s="161">
        <f>SUM(G731+G742)</f>
        <v>56312.1</v>
      </c>
      <c r="H730" s="22"/>
      <c r="I730" s="22"/>
    </row>
    <row r="731" spans="1:9" ht="15">
      <c r="A731" s="187" t="s">
        <v>288</v>
      </c>
      <c r="B731" s="188"/>
      <c r="C731" s="192" t="s">
        <v>109</v>
      </c>
      <c r="D731" s="192" t="s">
        <v>416</v>
      </c>
      <c r="E731" s="192" t="s">
        <v>289</v>
      </c>
      <c r="F731" s="242"/>
      <c r="G731" s="161">
        <f>SUM(G732)</f>
        <v>56312.1</v>
      </c>
      <c r="H731" s="22" t="e">
        <f>SUM(#REF!)</f>
        <v>#REF!</v>
      </c>
      <c r="I731" s="22" t="e">
        <f>SUM(H731/G755*100)</f>
        <v>#REF!</v>
      </c>
    </row>
    <row r="732" spans="1:9" ht="15">
      <c r="A732" s="187" t="s">
        <v>14</v>
      </c>
      <c r="B732" s="194"/>
      <c r="C732" s="192" t="s">
        <v>109</v>
      </c>
      <c r="D732" s="192" t="s">
        <v>416</v>
      </c>
      <c r="E732" s="192" t="s">
        <v>73</v>
      </c>
      <c r="F732" s="242"/>
      <c r="G732" s="161">
        <f>SUM(G733)+G740+G735</f>
        <v>56312.1</v>
      </c>
      <c r="H732" s="22"/>
      <c r="I732" s="22"/>
    </row>
    <row r="733" spans="1:9" ht="28.5">
      <c r="A733" s="187" t="s">
        <v>87</v>
      </c>
      <c r="B733" s="194"/>
      <c r="C733" s="192" t="s">
        <v>109</v>
      </c>
      <c r="D733" s="192" t="s">
        <v>416</v>
      </c>
      <c r="E733" s="192" t="s">
        <v>74</v>
      </c>
      <c r="F733" s="242"/>
      <c r="G733" s="161">
        <f>SUM(G734)</f>
        <v>56312.1</v>
      </c>
      <c r="H733" s="22"/>
      <c r="I733" s="22"/>
    </row>
    <row r="734" spans="1:9" ht="27.75" customHeight="1">
      <c r="A734" s="119" t="s">
        <v>463</v>
      </c>
      <c r="B734" s="207"/>
      <c r="C734" s="192" t="s">
        <v>109</v>
      </c>
      <c r="D734" s="192" t="s">
        <v>416</v>
      </c>
      <c r="E734" s="192" t="s">
        <v>74</v>
      </c>
      <c r="F734" s="243" t="s">
        <v>461</v>
      </c>
      <c r="G734" s="161">
        <v>56312.1</v>
      </c>
      <c r="H734" s="22" t="e">
        <f>SUM(H735+H785)</f>
        <v>#REF!</v>
      </c>
      <c r="I734" s="22" t="e">
        <f>SUM(H734/G758*100)</f>
        <v>#REF!</v>
      </c>
    </row>
    <row r="735" spans="1:9" ht="20.25" customHeight="1" hidden="1">
      <c r="A735" s="119" t="s">
        <v>148</v>
      </c>
      <c r="B735" s="207"/>
      <c r="C735" s="192" t="s">
        <v>109</v>
      </c>
      <c r="D735" s="192" t="s">
        <v>416</v>
      </c>
      <c r="E735" s="192" t="s">
        <v>141</v>
      </c>
      <c r="F735" s="243"/>
      <c r="G735" s="161">
        <f>SUM(G738)</f>
        <v>0</v>
      </c>
      <c r="H735" s="22" t="e">
        <f>SUM(#REF!+H759+H736+H778)</f>
        <v>#REF!</v>
      </c>
      <c r="I735" s="22" t="e">
        <f>SUM(H735/G759*100)</f>
        <v>#REF!</v>
      </c>
    </row>
    <row r="736" spans="1:9" ht="28.5" hidden="1">
      <c r="A736" s="119" t="s">
        <v>417</v>
      </c>
      <c r="B736" s="207"/>
      <c r="C736" s="192" t="s">
        <v>109</v>
      </c>
      <c r="D736" s="192" t="s">
        <v>416</v>
      </c>
      <c r="E736" s="192" t="s">
        <v>418</v>
      </c>
      <c r="F736" s="243"/>
      <c r="G736" s="161">
        <f>SUM(G737)</f>
        <v>0</v>
      </c>
      <c r="H736" s="22">
        <f>SUM(H754)</f>
        <v>14679.5</v>
      </c>
      <c r="I736" s="22">
        <f>SUM(H736/G760*100)</f>
        <v>25.23820658210089</v>
      </c>
    </row>
    <row r="737" spans="1:9" ht="15" hidden="1">
      <c r="A737" s="119" t="s">
        <v>148</v>
      </c>
      <c r="B737" s="207"/>
      <c r="C737" s="192" t="s">
        <v>109</v>
      </c>
      <c r="D737" s="192" t="s">
        <v>416</v>
      </c>
      <c r="E737" s="192" t="s">
        <v>418</v>
      </c>
      <c r="F737" s="243" t="s">
        <v>78</v>
      </c>
      <c r="G737" s="161"/>
      <c r="H737" s="22">
        <f>SUM(H738)</f>
        <v>0</v>
      </c>
      <c r="I737" s="22">
        <f>SUM(H737/G766*100)</f>
        <v>0</v>
      </c>
    </row>
    <row r="738" spans="1:9" ht="26.25" customHeight="1" hidden="1">
      <c r="A738" s="119" t="s">
        <v>144</v>
      </c>
      <c r="B738" s="207"/>
      <c r="C738" s="192" t="s">
        <v>109</v>
      </c>
      <c r="D738" s="192" t="s">
        <v>416</v>
      </c>
      <c r="E738" s="192" t="s">
        <v>196</v>
      </c>
      <c r="F738" s="243"/>
      <c r="G738" s="161">
        <f>SUM(G739)</f>
        <v>0</v>
      </c>
      <c r="H738" s="22"/>
      <c r="I738" s="22"/>
    </row>
    <row r="739" spans="1:9" ht="28.5" hidden="1">
      <c r="A739" s="119" t="s">
        <v>463</v>
      </c>
      <c r="B739" s="207"/>
      <c r="C739" s="192" t="s">
        <v>109</v>
      </c>
      <c r="D739" s="192" t="s">
        <v>416</v>
      </c>
      <c r="E739" s="192" t="s">
        <v>196</v>
      </c>
      <c r="F739" s="243" t="s">
        <v>461</v>
      </c>
      <c r="G739" s="161"/>
      <c r="H739" s="22">
        <f>SUM(H741+H789+H787)</f>
        <v>61355.8</v>
      </c>
      <c r="I739" s="22" t="e">
        <f>SUM(H739/G770*100)</f>
        <v>#DIV/0!</v>
      </c>
    </row>
    <row r="740" spans="1:9" ht="42.75" hidden="1">
      <c r="A740" s="119" t="s">
        <v>57</v>
      </c>
      <c r="B740" s="207"/>
      <c r="C740" s="192" t="s">
        <v>109</v>
      </c>
      <c r="D740" s="192" t="s">
        <v>416</v>
      </c>
      <c r="E740" s="192" t="s">
        <v>75</v>
      </c>
      <c r="F740" s="243"/>
      <c r="G740" s="161">
        <f>SUM(G741)</f>
        <v>0</v>
      </c>
      <c r="H740" s="22"/>
      <c r="I740" s="22"/>
    </row>
    <row r="741" spans="1:9" ht="15" hidden="1">
      <c r="A741" s="119" t="s">
        <v>148</v>
      </c>
      <c r="B741" s="207"/>
      <c r="C741" s="192" t="s">
        <v>109</v>
      </c>
      <c r="D741" s="192" t="s">
        <v>416</v>
      </c>
      <c r="E741" s="192" t="s">
        <v>75</v>
      </c>
      <c r="F741" s="243" t="s">
        <v>78</v>
      </c>
      <c r="G741" s="161"/>
      <c r="H741" s="22">
        <v>56722</v>
      </c>
      <c r="I741" s="22" t="e">
        <f>SUM(H741/G772*100)</f>
        <v>#DIV/0!</v>
      </c>
    </row>
    <row r="742" spans="1:9" ht="15" hidden="1">
      <c r="A742" s="119" t="s">
        <v>120</v>
      </c>
      <c r="B742" s="194"/>
      <c r="C742" s="192" t="s">
        <v>109</v>
      </c>
      <c r="D742" s="192" t="s">
        <v>416</v>
      </c>
      <c r="E742" s="192" t="s">
        <v>121</v>
      </c>
      <c r="F742" s="242"/>
      <c r="G742" s="161">
        <f>SUM(G743)+G746</f>
        <v>0</v>
      </c>
      <c r="H742" s="22"/>
      <c r="I742" s="22"/>
    </row>
    <row r="743" spans="1:9" ht="42.75" hidden="1">
      <c r="A743" s="187" t="s">
        <v>185</v>
      </c>
      <c r="B743" s="194"/>
      <c r="C743" s="192" t="s">
        <v>109</v>
      </c>
      <c r="D743" s="192" t="s">
        <v>416</v>
      </c>
      <c r="E743" s="192" t="s">
        <v>270</v>
      </c>
      <c r="F743" s="242"/>
      <c r="G743" s="161">
        <f>SUM(G744)</f>
        <v>0</v>
      </c>
      <c r="H743" s="22"/>
      <c r="I743" s="22"/>
    </row>
    <row r="744" spans="1:9" ht="15" hidden="1">
      <c r="A744" s="119" t="s">
        <v>134</v>
      </c>
      <c r="B744" s="194"/>
      <c r="C744" s="192" t="s">
        <v>109</v>
      </c>
      <c r="D744" s="192" t="s">
        <v>416</v>
      </c>
      <c r="E744" s="192" t="s">
        <v>270</v>
      </c>
      <c r="F744" s="242" t="s">
        <v>78</v>
      </c>
      <c r="G744" s="161"/>
      <c r="H744" s="22"/>
      <c r="I744" s="22"/>
    </row>
    <row r="745" spans="1:9" ht="15" hidden="1">
      <c r="A745" s="187" t="s">
        <v>110</v>
      </c>
      <c r="B745" s="188"/>
      <c r="C745" s="189" t="s">
        <v>109</v>
      </c>
      <c r="D745" s="189" t="s">
        <v>109</v>
      </c>
      <c r="E745" s="192"/>
      <c r="F745" s="243"/>
      <c r="G745" s="161">
        <f>SUM(G751+G746+G749+G755)</f>
        <v>0</v>
      </c>
      <c r="H745" s="22"/>
      <c r="I745" s="22"/>
    </row>
    <row r="746" spans="1:9" ht="15" hidden="1">
      <c r="A746" s="149" t="s">
        <v>202</v>
      </c>
      <c r="B746" s="196"/>
      <c r="C746" s="192" t="s">
        <v>109</v>
      </c>
      <c r="D746" s="192" t="s">
        <v>109</v>
      </c>
      <c r="E746" s="192" t="s">
        <v>203</v>
      </c>
      <c r="F746" s="242"/>
      <c r="G746" s="161">
        <f>SUM(G747)</f>
        <v>0</v>
      </c>
      <c r="H746" s="22"/>
      <c r="I746" s="22"/>
    </row>
    <row r="747" spans="1:9" ht="15" hidden="1">
      <c r="A747" s="149" t="s">
        <v>204</v>
      </c>
      <c r="B747" s="196"/>
      <c r="C747" s="192" t="s">
        <v>109</v>
      </c>
      <c r="D747" s="192" t="s">
        <v>109</v>
      </c>
      <c r="E747" s="192" t="s">
        <v>205</v>
      </c>
      <c r="F747" s="242"/>
      <c r="G747" s="161">
        <f>SUM(G748)</f>
        <v>0</v>
      </c>
      <c r="H747" s="22"/>
      <c r="I747" s="22"/>
    </row>
    <row r="748" spans="1:9" ht="15" hidden="1">
      <c r="A748" s="119" t="s">
        <v>220</v>
      </c>
      <c r="B748" s="196"/>
      <c r="C748" s="192" t="s">
        <v>109</v>
      </c>
      <c r="D748" s="192" t="s">
        <v>109</v>
      </c>
      <c r="E748" s="192" t="s">
        <v>205</v>
      </c>
      <c r="F748" s="242" t="s">
        <v>221</v>
      </c>
      <c r="G748" s="161"/>
      <c r="H748" s="22"/>
      <c r="I748" s="22"/>
    </row>
    <row r="749" spans="1:9" ht="15" hidden="1">
      <c r="A749" s="119" t="s">
        <v>345</v>
      </c>
      <c r="B749" s="196"/>
      <c r="C749" s="192" t="s">
        <v>109</v>
      </c>
      <c r="D749" s="192" t="s">
        <v>109</v>
      </c>
      <c r="E749" s="192" t="s">
        <v>346</v>
      </c>
      <c r="F749" s="242"/>
      <c r="G749" s="161">
        <f>SUM(G750)</f>
        <v>0</v>
      </c>
      <c r="H749" s="22"/>
      <c r="I749" s="22"/>
    </row>
    <row r="750" spans="1:9" ht="15" hidden="1">
      <c r="A750" s="119" t="s">
        <v>200</v>
      </c>
      <c r="B750" s="196"/>
      <c r="C750" s="192" t="s">
        <v>109</v>
      </c>
      <c r="D750" s="192" t="s">
        <v>109</v>
      </c>
      <c r="E750" s="192" t="s">
        <v>346</v>
      </c>
      <c r="F750" s="242" t="s">
        <v>201</v>
      </c>
      <c r="G750" s="161"/>
      <c r="H750" s="22"/>
      <c r="I750" s="22"/>
    </row>
    <row r="751" spans="1:9" ht="15" hidden="1">
      <c r="A751" s="152" t="s">
        <v>207</v>
      </c>
      <c r="B751" s="188"/>
      <c r="C751" s="189" t="s">
        <v>109</v>
      </c>
      <c r="D751" s="189" t="s">
        <v>109</v>
      </c>
      <c r="E751" s="189" t="s">
        <v>111</v>
      </c>
      <c r="F751" s="241"/>
      <c r="G751" s="161">
        <f>SUM(G752)</f>
        <v>0</v>
      </c>
      <c r="H751" s="22"/>
      <c r="I751" s="22"/>
    </row>
    <row r="752" spans="1:9" ht="42.75" hidden="1">
      <c r="A752" s="152" t="s">
        <v>85</v>
      </c>
      <c r="B752" s="188"/>
      <c r="C752" s="189" t="s">
        <v>109</v>
      </c>
      <c r="D752" s="189" t="s">
        <v>109</v>
      </c>
      <c r="E752" s="189" t="s">
        <v>86</v>
      </c>
      <c r="F752" s="241"/>
      <c r="G752" s="161">
        <f>SUM(G753)+G754</f>
        <v>0</v>
      </c>
      <c r="H752" s="22"/>
      <c r="I752" s="22"/>
    </row>
    <row r="753" spans="1:9" ht="15" hidden="1">
      <c r="A753" s="119" t="s">
        <v>220</v>
      </c>
      <c r="B753" s="188"/>
      <c r="C753" s="189" t="s">
        <v>109</v>
      </c>
      <c r="D753" s="189" t="s">
        <v>109</v>
      </c>
      <c r="E753" s="189" t="s">
        <v>86</v>
      </c>
      <c r="F753" s="241" t="s">
        <v>221</v>
      </c>
      <c r="G753" s="161"/>
      <c r="H753" s="22"/>
      <c r="I753" s="22"/>
    </row>
    <row r="754" spans="1:9" ht="15" hidden="1">
      <c r="A754" s="119" t="s">
        <v>134</v>
      </c>
      <c r="B754" s="188"/>
      <c r="C754" s="189" t="s">
        <v>109</v>
      </c>
      <c r="D754" s="189" t="s">
        <v>109</v>
      </c>
      <c r="E754" s="189" t="s">
        <v>86</v>
      </c>
      <c r="F754" s="241" t="s">
        <v>78</v>
      </c>
      <c r="G754" s="161"/>
      <c r="H754" s="22">
        <f>SUM(H755:H757)</f>
        <v>14679.5</v>
      </c>
      <c r="I754" s="22" t="e">
        <f aca="true" t="shared" si="8" ref="I754:I760">SUM(H754/G780*100)</f>
        <v>#DIV/0!</v>
      </c>
    </row>
    <row r="755" spans="1:9" ht="15" hidden="1">
      <c r="A755" s="119" t="s">
        <v>120</v>
      </c>
      <c r="B755" s="208"/>
      <c r="C755" s="192" t="s">
        <v>109</v>
      </c>
      <c r="D755" s="192" t="s">
        <v>109</v>
      </c>
      <c r="E755" s="192" t="s">
        <v>121</v>
      </c>
      <c r="F755" s="243"/>
      <c r="G755" s="161">
        <f>SUM(G756)</f>
        <v>0</v>
      </c>
      <c r="H755" s="22">
        <v>14679.5</v>
      </c>
      <c r="I755" s="22" t="e">
        <f t="shared" si="8"/>
        <v>#DIV/0!</v>
      </c>
    </row>
    <row r="756" spans="1:9" ht="42.75" hidden="1">
      <c r="A756" s="200" t="s">
        <v>328</v>
      </c>
      <c r="B756" s="208"/>
      <c r="C756" s="192" t="s">
        <v>109</v>
      </c>
      <c r="D756" s="192" t="s">
        <v>109</v>
      </c>
      <c r="E756" s="192" t="s">
        <v>327</v>
      </c>
      <c r="F756" s="243"/>
      <c r="G756" s="161">
        <f>SUM(G757)</f>
        <v>0</v>
      </c>
      <c r="H756" s="22"/>
      <c r="I756" s="22" t="e">
        <f t="shared" si="8"/>
        <v>#DIV/0!</v>
      </c>
    </row>
    <row r="757" spans="1:9" ht="15" hidden="1">
      <c r="A757" s="119" t="s">
        <v>200</v>
      </c>
      <c r="B757" s="208"/>
      <c r="C757" s="192" t="s">
        <v>109</v>
      </c>
      <c r="D757" s="192" t="s">
        <v>109</v>
      </c>
      <c r="E757" s="192" t="s">
        <v>327</v>
      </c>
      <c r="F757" s="243" t="s">
        <v>201</v>
      </c>
      <c r="G757" s="161"/>
      <c r="H757" s="22">
        <f>SUM(H758)</f>
        <v>0</v>
      </c>
      <c r="I757" s="22" t="e">
        <f t="shared" si="8"/>
        <v>#DIV/0!</v>
      </c>
    </row>
    <row r="758" spans="1:9" ht="15">
      <c r="A758" s="187" t="s">
        <v>294</v>
      </c>
      <c r="B758" s="188"/>
      <c r="C758" s="192" t="s">
        <v>116</v>
      </c>
      <c r="D758" s="192"/>
      <c r="E758" s="192"/>
      <c r="F758" s="242"/>
      <c r="G758" s="161">
        <f>SUM(G759+G811)</f>
        <v>112679.70000000001</v>
      </c>
      <c r="H758" s="22"/>
      <c r="I758" s="22" t="e">
        <f t="shared" si="8"/>
        <v>#DIV/0!</v>
      </c>
    </row>
    <row r="759" spans="1:9" ht="15">
      <c r="A759" s="187" t="s">
        <v>326</v>
      </c>
      <c r="B759" s="188"/>
      <c r="C759" s="192" t="s">
        <v>116</v>
      </c>
      <c r="D759" s="192" t="s">
        <v>414</v>
      </c>
      <c r="E759" s="192"/>
      <c r="F759" s="242"/>
      <c r="G759" s="161">
        <f>SUM(G760+G785+G796+G801)</f>
        <v>102338.70000000001</v>
      </c>
      <c r="H759" s="22">
        <f>SUM(H760)</f>
        <v>56722</v>
      </c>
      <c r="I759" s="22">
        <f t="shared" si="8"/>
        <v>946.0604443258388</v>
      </c>
    </row>
    <row r="760" spans="1:9" ht="27.75" customHeight="1">
      <c r="A760" s="149" t="s">
        <v>536</v>
      </c>
      <c r="B760" s="188"/>
      <c r="C760" s="192" t="s">
        <v>116</v>
      </c>
      <c r="D760" s="192" t="s">
        <v>414</v>
      </c>
      <c r="E760" s="192" t="s">
        <v>128</v>
      </c>
      <c r="F760" s="242"/>
      <c r="G760" s="161">
        <f>SUM(G763+G766)+G761</f>
        <v>58163.8</v>
      </c>
      <c r="H760" s="22">
        <f>SUM(H764+H804+H802)</f>
        <v>56722</v>
      </c>
      <c r="I760" s="22">
        <f t="shared" si="8"/>
        <v>946.0604443258388</v>
      </c>
    </row>
    <row r="761" spans="1:9" ht="28.5" hidden="1">
      <c r="A761" s="149" t="s">
        <v>339</v>
      </c>
      <c r="B761" s="188"/>
      <c r="C761" s="192" t="s">
        <v>116</v>
      </c>
      <c r="D761" s="192" t="s">
        <v>414</v>
      </c>
      <c r="E761" s="192" t="s">
        <v>588</v>
      </c>
      <c r="F761" s="242"/>
      <c r="G761" s="161">
        <f>SUM(G762)</f>
        <v>0</v>
      </c>
      <c r="H761" s="22"/>
      <c r="I761" s="22"/>
    </row>
    <row r="762" spans="1:9" ht="15" hidden="1">
      <c r="A762" s="187" t="s">
        <v>449</v>
      </c>
      <c r="B762" s="188"/>
      <c r="C762" s="192" t="s">
        <v>116</v>
      </c>
      <c r="D762" s="192" t="s">
        <v>414</v>
      </c>
      <c r="E762" s="192" t="s">
        <v>588</v>
      </c>
      <c r="F762" s="242" t="s">
        <v>112</v>
      </c>
      <c r="G762" s="161"/>
      <c r="H762" s="22"/>
      <c r="I762" s="22"/>
    </row>
    <row r="763" spans="1:9" ht="15">
      <c r="A763" s="187" t="s">
        <v>14</v>
      </c>
      <c r="B763" s="194"/>
      <c r="C763" s="192" t="s">
        <v>116</v>
      </c>
      <c r="D763" s="192" t="s">
        <v>414</v>
      </c>
      <c r="E763" s="192" t="s">
        <v>182</v>
      </c>
      <c r="F763" s="242"/>
      <c r="G763" s="161">
        <f>SUM(G764)</f>
        <v>35848.8</v>
      </c>
      <c r="H763" s="22"/>
      <c r="I763" s="22"/>
    </row>
    <row r="764" spans="1:9" ht="28.5">
      <c r="A764" s="187" t="s">
        <v>87</v>
      </c>
      <c r="B764" s="194"/>
      <c r="C764" s="192" t="s">
        <v>116</v>
      </c>
      <c r="D764" s="192" t="s">
        <v>414</v>
      </c>
      <c r="E764" s="192" t="s">
        <v>184</v>
      </c>
      <c r="F764" s="242"/>
      <c r="G764" s="161">
        <f>SUM(G765)</f>
        <v>35848.8</v>
      </c>
      <c r="H764" s="22">
        <v>56722</v>
      </c>
      <c r="I764" s="22">
        <f>SUM(H764/G788*100)</f>
        <v>946.0604443258388</v>
      </c>
    </row>
    <row r="765" spans="1:9" ht="28.5">
      <c r="A765" s="119" t="s">
        <v>463</v>
      </c>
      <c r="B765" s="207"/>
      <c r="C765" s="192" t="s">
        <v>116</v>
      </c>
      <c r="D765" s="192" t="s">
        <v>414</v>
      </c>
      <c r="E765" s="192" t="s">
        <v>184</v>
      </c>
      <c r="F765" s="243" t="s">
        <v>461</v>
      </c>
      <c r="G765" s="161">
        <v>35848.8</v>
      </c>
      <c r="H765" s="22">
        <f>SUM(H766)</f>
        <v>0</v>
      </c>
      <c r="I765" s="22" t="e">
        <f>SUM(H765/#REF!*100)</f>
        <v>#REF!</v>
      </c>
    </row>
    <row r="766" spans="1:9" ht="28.5">
      <c r="A766" s="187" t="s">
        <v>51</v>
      </c>
      <c r="B766" s="207"/>
      <c r="C766" s="192" t="s">
        <v>116</v>
      </c>
      <c r="D766" s="192" t="s">
        <v>414</v>
      </c>
      <c r="E766" s="192" t="s">
        <v>129</v>
      </c>
      <c r="F766" s="243"/>
      <c r="G766" s="161">
        <f>SUM(G767:G769)</f>
        <v>22315</v>
      </c>
      <c r="H766" s="22"/>
      <c r="I766" s="22" t="e">
        <f>SUM(H766/#REF!*100)</f>
        <v>#REF!</v>
      </c>
    </row>
    <row r="767" spans="1:9" ht="28.5">
      <c r="A767" s="187" t="s">
        <v>444</v>
      </c>
      <c r="B767" s="188"/>
      <c r="C767" s="192" t="s">
        <v>116</v>
      </c>
      <c r="D767" s="192" t="s">
        <v>414</v>
      </c>
      <c r="E767" s="192" t="s">
        <v>129</v>
      </c>
      <c r="F767" s="241" t="s">
        <v>445</v>
      </c>
      <c r="G767" s="161">
        <v>18532.5</v>
      </c>
      <c r="H767" s="22"/>
      <c r="I767" s="22"/>
    </row>
    <row r="768" spans="1:9" ht="30" customHeight="1">
      <c r="A768" s="187" t="s">
        <v>697</v>
      </c>
      <c r="B768" s="188"/>
      <c r="C768" s="192" t="s">
        <v>116</v>
      </c>
      <c r="D768" s="192" t="s">
        <v>414</v>
      </c>
      <c r="E768" s="192" t="s">
        <v>129</v>
      </c>
      <c r="F768" s="241" t="s">
        <v>112</v>
      </c>
      <c r="G768" s="169">
        <v>3324.2</v>
      </c>
      <c r="H768" s="22"/>
      <c r="I768" s="22"/>
    </row>
    <row r="769" spans="1:9" ht="19.5" customHeight="1">
      <c r="A769" s="187" t="s">
        <v>450</v>
      </c>
      <c r="B769" s="188"/>
      <c r="C769" s="192" t="s">
        <v>116</v>
      </c>
      <c r="D769" s="192" t="s">
        <v>414</v>
      </c>
      <c r="E769" s="192" t="s">
        <v>129</v>
      </c>
      <c r="F769" s="242" t="s">
        <v>160</v>
      </c>
      <c r="G769" s="161">
        <v>458.3</v>
      </c>
      <c r="H769" s="22"/>
      <c r="I769" s="22"/>
    </row>
    <row r="770" spans="1:9" ht="15" hidden="1">
      <c r="A770" s="187" t="s">
        <v>88</v>
      </c>
      <c r="B770" s="194"/>
      <c r="C770" s="192" t="s">
        <v>116</v>
      </c>
      <c r="D770" s="192" t="s">
        <v>414</v>
      </c>
      <c r="E770" s="192" t="s">
        <v>182</v>
      </c>
      <c r="F770" s="242"/>
      <c r="G770" s="161">
        <f>SUM(G771+G773)</f>
        <v>0</v>
      </c>
      <c r="H770" s="22"/>
      <c r="I770" s="22"/>
    </row>
    <row r="771" spans="1:9" ht="28.5" hidden="1">
      <c r="A771" s="187" t="s">
        <v>183</v>
      </c>
      <c r="B771" s="194"/>
      <c r="C771" s="192" t="s">
        <v>116</v>
      </c>
      <c r="D771" s="192" t="s">
        <v>414</v>
      </c>
      <c r="E771" s="192" t="s">
        <v>184</v>
      </c>
      <c r="F771" s="242"/>
      <c r="G771" s="161">
        <f>SUM(G772)</f>
        <v>0</v>
      </c>
      <c r="H771" s="22">
        <f>SUM(H772+H775+H777)</f>
        <v>10268.9</v>
      </c>
      <c r="I771" s="22">
        <f>SUM(H771/G797*100)</f>
        <v>26.936727322328398</v>
      </c>
    </row>
    <row r="772" spans="1:9" ht="42.75" hidden="1">
      <c r="A772" s="119" t="s">
        <v>147</v>
      </c>
      <c r="B772" s="207"/>
      <c r="C772" s="192" t="s">
        <v>116</v>
      </c>
      <c r="D772" s="192" t="s">
        <v>414</v>
      </c>
      <c r="E772" s="192" t="s">
        <v>184</v>
      </c>
      <c r="F772" s="243" t="s">
        <v>53</v>
      </c>
      <c r="G772" s="161"/>
      <c r="H772" s="22">
        <v>8963.8</v>
      </c>
      <c r="I772" s="22">
        <f>SUM(H772/G798*100)</f>
        <v>27.108074842213814</v>
      </c>
    </row>
    <row r="773" spans="1:9" ht="15" hidden="1">
      <c r="A773" s="187" t="s">
        <v>148</v>
      </c>
      <c r="B773" s="188"/>
      <c r="C773" s="192" t="s">
        <v>116</v>
      </c>
      <c r="D773" s="192" t="s">
        <v>414</v>
      </c>
      <c r="E773" s="189" t="s">
        <v>371</v>
      </c>
      <c r="F773" s="243"/>
      <c r="G773" s="161">
        <f>SUM(G776+G778)+G774</f>
        <v>0</v>
      </c>
      <c r="H773" s="22"/>
      <c r="I773" s="22">
        <f>SUM(H773/G800*100)</f>
        <v>0</v>
      </c>
    </row>
    <row r="774" spans="1:9" ht="28.5" hidden="1">
      <c r="A774" s="187" t="s">
        <v>417</v>
      </c>
      <c r="B774" s="188"/>
      <c r="C774" s="192" t="s">
        <v>116</v>
      </c>
      <c r="D774" s="192" t="s">
        <v>414</v>
      </c>
      <c r="E774" s="189" t="s">
        <v>372</v>
      </c>
      <c r="F774" s="243"/>
      <c r="G774" s="161">
        <f>SUM(G775)</f>
        <v>0</v>
      </c>
      <c r="H774" s="22">
        <f>SUM(H775)</f>
        <v>0</v>
      </c>
      <c r="I774" s="22" t="e">
        <f>SUM(H774/#REF!*100)</f>
        <v>#REF!</v>
      </c>
    </row>
    <row r="775" spans="1:9" ht="15" hidden="1">
      <c r="A775" s="187" t="s">
        <v>148</v>
      </c>
      <c r="B775" s="188"/>
      <c r="C775" s="192" t="s">
        <v>116</v>
      </c>
      <c r="D775" s="192" t="s">
        <v>414</v>
      </c>
      <c r="E775" s="189" t="s">
        <v>372</v>
      </c>
      <c r="F775" s="243" t="s">
        <v>78</v>
      </c>
      <c r="G775" s="161"/>
      <c r="H775" s="22"/>
      <c r="I775" s="22" t="e">
        <f>SUM(H775/#REF!*100)</f>
        <v>#REF!</v>
      </c>
    </row>
    <row r="776" spans="1:9" ht="28.5" hidden="1">
      <c r="A776" s="119" t="s">
        <v>370</v>
      </c>
      <c r="B776" s="207"/>
      <c r="C776" s="192" t="s">
        <v>116</v>
      </c>
      <c r="D776" s="192" t="s">
        <v>414</v>
      </c>
      <c r="E776" s="192" t="s">
        <v>369</v>
      </c>
      <c r="F776" s="243"/>
      <c r="G776" s="161">
        <f>SUM(G777)</f>
        <v>0</v>
      </c>
      <c r="H776" s="22">
        <f>SUM(H777)</f>
        <v>1305.1</v>
      </c>
      <c r="I776" s="22">
        <f>SUM(H776/G801*100)</f>
        <v>2289.6491228070176</v>
      </c>
    </row>
    <row r="777" spans="1:9" ht="15" hidden="1">
      <c r="A777" s="119" t="s">
        <v>134</v>
      </c>
      <c r="B777" s="207"/>
      <c r="C777" s="192" t="s">
        <v>116</v>
      </c>
      <c r="D777" s="192" t="s">
        <v>414</v>
      </c>
      <c r="E777" s="192" t="s">
        <v>369</v>
      </c>
      <c r="F777" s="243" t="s">
        <v>78</v>
      </c>
      <c r="G777" s="161"/>
      <c r="H777" s="22">
        <v>1305.1</v>
      </c>
      <c r="I777" s="22">
        <f>SUM(H777/G802*100)</f>
        <v>2289.6491228070176</v>
      </c>
    </row>
    <row r="778" spans="1:9" ht="15" hidden="1">
      <c r="A778" s="119" t="s">
        <v>144</v>
      </c>
      <c r="B778" s="207"/>
      <c r="C778" s="192" t="s">
        <v>116</v>
      </c>
      <c r="D778" s="192" t="s">
        <v>414</v>
      </c>
      <c r="E778" s="192" t="s">
        <v>192</v>
      </c>
      <c r="F778" s="243"/>
      <c r="G778" s="161">
        <f>SUM(G779)</f>
        <v>0</v>
      </c>
      <c r="H778" s="22" t="e">
        <f>SUM(#REF!+H780)</f>
        <v>#REF!</v>
      </c>
      <c r="I778" s="22" t="e">
        <f>SUM(H778/G803*100)</f>
        <v>#REF!</v>
      </c>
    </row>
    <row r="779" spans="1:9" ht="15" hidden="1">
      <c r="A779" s="119" t="s">
        <v>134</v>
      </c>
      <c r="B779" s="207"/>
      <c r="C779" s="192" t="s">
        <v>116</v>
      </c>
      <c r="D779" s="192" t="s">
        <v>414</v>
      </c>
      <c r="E779" s="192" t="s">
        <v>192</v>
      </c>
      <c r="F779" s="243" t="s">
        <v>78</v>
      </c>
      <c r="G779" s="161"/>
      <c r="H779" s="22"/>
      <c r="I779" s="22"/>
    </row>
    <row r="780" spans="1:9" ht="28.5" hidden="1">
      <c r="A780" s="187" t="s">
        <v>51</v>
      </c>
      <c r="B780" s="196"/>
      <c r="C780" s="192" t="s">
        <v>116</v>
      </c>
      <c r="D780" s="192" t="s">
        <v>414</v>
      </c>
      <c r="E780" s="192" t="s">
        <v>129</v>
      </c>
      <c r="F780" s="242"/>
      <c r="G780" s="161">
        <f>SUM(G781:G783)</f>
        <v>0</v>
      </c>
      <c r="H780" s="22"/>
      <c r="I780" s="22" t="e">
        <f>SUM(H780/G804*100)</f>
        <v>#DIV/0!</v>
      </c>
    </row>
    <row r="781" spans="1:9" ht="15" hidden="1">
      <c r="A781" s="119" t="s">
        <v>52</v>
      </c>
      <c r="B781" s="196"/>
      <c r="C781" s="192" t="s">
        <v>116</v>
      </c>
      <c r="D781" s="192" t="s">
        <v>414</v>
      </c>
      <c r="E781" s="192" t="s">
        <v>129</v>
      </c>
      <c r="F781" s="242" t="s">
        <v>221</v>
      </c>
      <c r="G781" s="161"/>
      <c r="H781" s="22">
        <f>SUM(H782)</f>
        <v>7333.8</v>
      </c>
      <c r="I781" s="22" t="e">
        <f>SUM(H781/G807*100)</f>
        <v>#DIV/0!</v>
      </c>
    </row>
    <row r="782" spans="1:9" ht="28.5" hidden="1">
      <c r="A782" s="119" t="s">
        <v>329</v>
      </c>
      <c r="B782" s="207"/>
      <c r="C782" s="192" t="s">
        <v>116</v>
      </c>
      <c r="D782" s="192" t="s">
        <v>414</v>
      </c>
      <c r="E782" s="192" t="s">
        <v>129</v>
      </c>
      <c r="F782" s="243" t="s">
        <v>330</v>
      </c>
      <c r="G782" s="161"/>
      <c r="H782" s="22">
        <f>SUM(H784:H788)</f>
        <v>7333.8</v>
      </c>
      <c r="I782" s="22" t="e">
        <f>SUM(H782/G808*100)</f>
        <v>#DIV/0!</v>
      </c>
    </row>
    <row r="783" spans="1:9" ht="42.75" hidden="1">
      <c r="A783" s="187" t="s">
        <v>231</v>
      </c>
      <c r="B783" s="188"/>
      <c r="C783" s="192" t="s">
        <v>116</v>
      </c>
      <c r="D783" s="192" t="s">
        <v>414</v>
      </c>
      <c r="E783" s="192" t="s">
        <v>331</v>
      </c>
      <c r="F783" s="243"/>
      <c r="G783" s="161">
        <f>SUM(G784)</f>
        <v>0</v>
      </c>
      <c r="H783" s="22"/>
      <c r="I783" s="22"/>
    </row>
    <row r="784" spans="1:9" ht="5.25" customHeight="1" hidden="1">
      <c r="A784" s="119" t="s">
        <v>220</v>
      </c>
      <c r="B784" s="207"/>
      <c r="C784" s="192" t="s">
        <v>116</v>
      </c>
      <c r="D784" s="192" t="s">
        <v>414</v>
      </c>
      <c r="E784" s="192" t="s">
        <v>331</v>
      </c>
      <c r="F784" s="243" t="s">
        <v>221</v>
      </c>
      <c r="G784" s="161"/>
      <c r="H784" s="22"/>
      <c r="I784" s="22" t="e">
        <f aca="true" t="shared" si="9" ref="I784:I791">SUM(H784/G810*100)</f>
        <v>#DIV/0!</v>
      </c>
    </row>
    <row r="785" spans="1:9" ht="15">
      <c r="A785" s="187" t="s">
        <v>332</v>
      </c>
      <c r="B785" s="188"/>
      <c r="C785" s="192" t="s">
        <v>116</v>
      </c>
      <c r="D785" s="192" t="s">
        <v>414</v>
      </c>
      <c r="E785" s="192" t="s">
        <v>333</v>
      </c>
      <c r="F785" s="242"/>
      <c r="G785" s="161">
        <f>SUM(G786)</f>
        <v>5995.6</v>
      </c>
      <c r="H785" s="22">
        <f>SUM(H789+H792+H787)</f>
        <v>4633.8</v>
      </c>
      <c r="I785" s="22">
        <f t="shared" si="9"/>
        <v>44.80997969248622</v>
      </c>
    </row>
    <row r="786" spans="1:9" ht="15">
      <c r="A786" s="187" t="s">
        <v>88</v>
      </c>
      <c r="B786" s="194"/>
      <c r="C786" s="192" t="s">
        <v>116</v>
      </c>
      <c r="D786" s="192" t="s">
        <v>414</v>
      </c>
      <c r="E786" s="192" t="s">
        <v>76</v>
      </c>
      <c r="F786" s="242"/>
      <c r="G786" s="161">
        <f>SUM(G787)+G789</f>
        <v>5995.6</v>
      </c>
      <c r="H786" s="22">
        <f>SUM(H787)</f>
        <v>900</v>
      </c>
      <c r="I786" s="22" t="e">
        <f t="shared" si="9"/>
        <v>#DIV/0!</v>
      </c>
    </row>
    <row r="787" spans="1:9" ht="28.5">
      <c r="A787" s="187" t="s">
        <v>183</v>
      </c>
      <c r="B787" s="194"/>
      <c r="C787" s="192" t="s">
        <v>116</v>
      </c>
      <c r="D787" s="192" t="s">
        <v>414</v>
      </c>
      <c r="E787" s="192" t="s">
        <v>77</v>
      </c>
      <c r="F787" s="242"/>
      <c r="G787" s="161">
        <f>SUM(G788)</f>
        <v>5995.6</v>
      </c>
      <c r="H787" s="22">
        <f>SUM(H788)</f>
        <v>900</v>
      </c>
      <c r="I787" s="22" t="e">
        <f t="shared" si="9"/>
        <v>#DIV/0!</v>
      </c>
    </row>
    <row r="788" spans="1:9" ht="27" customHeight="1">
      <c r="A788" s="119" t="s">
        <v>463</v>
      </c>
      <c r="B788" s="207"/>
      <c r="C788" s="192" t="s">
        <v>116</v>
      </c>
      <c r="D788" s="192" t="s">
        <v>414</v>
      </c>
      <c r="E788" s="192" t="s">
        <v>77</v>
      </c>
      <c r="F788" s="243" t="s">
        <v>461</v>
      </c>
      <c r="G788" s="161">
        <v>5995.6</v>
      </c>
      <c r="H788" s="22">
        <v>900</v>
      </c>
      <c r="I788" s="22" t="e">
        <f t="shared" si="9"/>
        <v>#DIV/0!</v>
      </c>
    </row>
    <row r="789" spans="1:9" ht="16.5" customHeight="1" hidden="1">
      <c r="A789" s="187" t="s">
        <v>148</v>
      </c>
      <c r="B789" s="207"/>
      <c r="C789" s="192" t="s">
        <v>116</v>
      </c>
      <c r="D789" s="192" t="s">
        <v>414</v>
      </c>
      <c r="E789" s="192" t="s">
        <v>193</v>
      </c>
      <c r="F789" s="243"/>
      <c r="G789" s="161">
        <f>SUM(G794)</f>
        <v>0</v>
      </c>
      <c r="H789" s="22">
        <f>SUM(H790)</f>
        <v>3733.8</v>
      </c>
      <c r="I789" s="22">
        <f t="shared" si="9"/>
        <v>51.40143171806167</v>
      </c>
    </row>
    <row r="790" spans="1:9" ht="28.5" hidden="1">
      <c r="A790" s="187" t="s">
        <v>417</v>
      </c>
      <c r="B790" s="207"/>
      <c r="C790" s="192" t="s">
        <v>116</v>
      </c>
      <c r="D790" s="192" t="s">
        <v>414</v>
      </c>
      <c r="E790" s="192" t="s">
        <v>419</v>
      </c>
      <c r="F790" s="243"/>
      <c r="G790" s="161">
        <f>SUM(G791)</f>
        <v>0</v>
      </c>
      <c r="H790" s="22">
        <f>SUM(H791)</f>
        <v>3733.8</v>
      </c>
      <c r="I790" s="22">
        <f t="shared" si="9"/>
        <v>51.40143171806167</v>
      </c>
    </row>
    <row r="791" spans="1:9" ht="15" hidden="1">
      <c r="A791" s="187" t="s">
        <v>148</v>
      </c>
      <c r="B791" s="207"/>
      <c r="C791" s="192" t="s">
        <v>116</v>
      </c>
      <c r="D791" s="192" t="s">
        <v>414</v>
      </c>
      <c r="E791" s="192" t="s">
        <v>419</v>
      </c>
      <c r="F791" s="243" t="s">
        <v>461</v>
      </c>
      <c r="G791" s="161"/>
      <c r="H791" s="22">
        <v>3733.8</v>
      </c>
      <c r="I791" s="22">
        <f t="shared" si="9"/>
        <v>58.913187541418154</v>
      </c>
    </row>
    <row r="792" spans="1:9" ht="28.5" hidden="1">
      <c r="A792" s="119" t="s">
        <v>370</v>
      </c>
      <c r="B792" s="207"/>
      <c r="C792" s="192" t="s">
        <v>116</v>
      </c>
      <c r="D792" s="192" t="s">
        <v>414</v>
      </c>
      <c r="E792" s="192" t="s">
        <v>143</v>
      </c>
      <c r="F792" s="243"/>
      <c r="G792" s="161">
        <f>SUM(G793)</f>
        <v>0</v>
      </c>
      <c r="H792" s="22">
        <f>SUM(H797)</f>
        <v>0</v>
      </c>
      <c r="I792" s="22">
        <f>SUM(H792/G820*100)</f>
        <v>0</v>
      </c>
    </row>
    <row r="793" spans="1:9" ht="15" hidden="1">
      <c r="A793" s="119" t="s">
        <v>134</v>
      </c>
      <c r="B793" s="207"/>
      <c r="C793" s="192" t="s">
        <v>116</v>
      </c>
      <c r="D793" s="192" t="s">
        <v>414</v>
      </c>
      <c r="E793" s="192" t="s">
        <v>143</v>
      </c>
      <c r="F793" s="243" t="s">
        <v>461</v>
      </c>
      <c r="G793" s="161"/>
      <c r="H793" s="22"/>
      <c r="I793" s="22"/>
    </row>
    <row r="794" spans="1:9" ht="21" customHeight="1" hidden="1">
      <c r="A794" s="263" t="s">
        <v>144</v>
      </c>
      <c r="B794" s="207"/>
      <c r="C794" s="192" t="s">
        <v>116</v>
      </c>
      <c r="D794" s="192" t="s">
        <v>414</v>
      </c>
      <c r="E794" s="192" t="s">
        <v>565</v>
      </c>
      <c r="F794" s="243"/>
      <c r="G794" s="161">
        <f>SUM(G795)</f>
        <v>0</v>
      </c>
      <c r="H794" s="22"/>
      <c r="I794" s="22"/>
    </row>
    <row r="795" spans="1:9" ht="33.75" customHeight="1" hidden="1">
      <c r="A795" s="119" t="s">
        <v>463</v>
      </c>
      <c r="B795" s="207"/>
      <c r="C795" s="192" t="s">
        <v>116</v>
      </c>
      <c r="D795" s="192" t="s">
        <v>414</v>
      </c>
      <c r="E795" s="192" t="s">
        <v>565</v>
      </c>
      <c r="F795" s="243" t="s">
        <v>461</v>
      </c>
      <c r="G795" s="161"/>
      <c r="H795" s="22"/>
      <c r="I795" s="22"/>
    </row>
    <row r="796" spans="1:9" ht="15">
      <c r="A796" s="187" t="s">
        <v>334</v>
      </c>
      <c r="B796" s="188"/>
      <c r="C796" s="192" t="s">
        <v>116</v>
      </c>
      <c r="D796" s="192" t="s">
        <v>414</v>
      </c>
      <c r="E796" s="192" t="s">
        <v>335</v>
      </c>
      <c r="F796" s="242"/>
      <c r="G796" s="161">
        <f>SUM(G797)</f>
        <v>38122.3</v>
      </c>
      <c r="H796" s="22"/>
      <c r="I796" s="22"/>
    </row>
    <row r="797" spans="1:9" ht="28.5">
      <c r="A797" s="187" t="s">
        <v>51</v>
      </c>
      <c r="B797" s="194"/>
      <c r="C797" s="192" t="s">
        <v>116</v>
      </c>
      <c r="D797" s="192" t="s">
        <v>414</v>
      </c>
      <c r="E797" s="192" t="s">
        <v>336</v>
      </c>
      <c r="F797" s="242"/>
      <c r="G797" s="161">
        <f>SUM(G798:G800)</f>
        <v>38122.3</v>
      </c>
      <c r="H797" s="22">
        <f>SUM(H798:H804)</f>
        <v>0</v>
      </c>
      <c r="I797" s="22">
        <f>SUM(H797/G823*100)</f>
        <v>0</v>
      </c>
    </row>
    <row r="798" spans="1:9" ht="28.5">
      <c r="A798" s="187" t="s">
        <v>444</v>
      </c>
      <c r="B798" s="188"/>
      <c r="C798" s="192" t="s">
        <v>116</v>
      </c>
      <c r="D798" s="192" t="s">
        <v>414</v>
      </c>
      <c r="E798" s="192" t="s">
        <v>336</v>
      </c>
      <c r="F798" s="241" t="s">
        <v>445</v>
      </c>
      <c r="G798" s="161">
        <v>33066.9</v>
      </c>
      <c r="H798" s="22"/>
      <c r="I798" s="22">
        <f>SUM(H798/G824*100)</f>
        <v>0</v>
      </c>
    </row>
    <row r="799" spans="1:9" ht="28.5">
      <c r="A799" s="187" t="s">
        <v>697</v>
      </c>
      <c r="B799" s="188"/>
      <c r="C799" s="192" t="s">
        <v>116</v>
      </c>
      <c r="D799" s="192" t="s">
        <v>414</v>
      </c>
      <c r="E799" s="192" t="s">
        <v>336</v>
      </c>
      <c r="F799" s="241" t="s">
        <v>112</v>
      </c>
      <c r="G799" s="169">
        <v>4522.8</v>
      </c>
      <c r="H799" s="22"/>
      <c r="I799" s="22">
        <f>SUM(H799/G825*100)</f>
        <v>0</v>
      </c>
    </row>
    <row r="800" spans="1:9" ht="15">
      <c r="A800" s="187" t="s">
        <v>450</v>
      </c>
      <c r="B800" s="188"/>
      <c r="C800" s="192" t="s">
        <v>116</v>
      </c>
      <c r="D800" s="192" t="s">
        <v>414</v>
      </c>
      <c r="E800" s="192" t="s">
        <v>336</v>
      </c>
      <c r="F800" s="242" t="s">
        <v>160</v>
      </c>
      <c r="G800" s="161">
        <v>532.6</v>
      </c>
      <c r="H800" s="22"/>
      <c r="I800" s="22"/>
    </row>
    <row r="801" spans="1:9" ht="42.75">
      <c r="A801" s="149" t="s">
        <v>690</v>
      </c>
      <c r="B801" s="207"/>
      <c r="C801" s="192" t="s">
        <v>116</v>
      </c>
      <c r="D801" s="192" t="s">
        <v>414</v>
      </c>
      <c r="E801" s="192" t="s">
        <v>691</v>
      </c>
      <c r="F801" s="243"/>
      <c r="G801" s="161">
        <f>SUM(G802)</f>
        <v>57</v>
      </c>
      <c r="H801" s="22"/>
      <c r="I801" s="22"/>
    </row>
    <row r="802" spans="1:9" ht="36" customHeight="1">
      <c r="A802" s="187" t="s">
        <v>697</v>
      </c>
      <c r="B802" s="207"/>
      <c r="C802" s="192" t="s">
        <v>116</v>
      </c>
      <c r="D802" s="192" t="s">
        <v>414</v>
      </c>
      <c r="E802" s="192" t="s">
        <v>691</v>
      </c>
      <c r="F802" s="243" t="s">
        <v>112</v>
      </c>
      <c r="G802" s="161">
        <v>57</v>
      </c>
      <c r="H802" s="22"/>
      <c r="I802" s="22"/>
    </row>
    <row r="803" spans="1:9" ht="15" hidden="1">
      <c r="A803" s="119" t="s">
        <v>337</v>
      </c>
      <c r="B803" s="207"/>
      <c r="C803" s="192" t="s">
        <v>116</v>
      </c>
      <c r="D803" s="192" t="s">
        <v>414</v>
      </c>
      <c r="E803" s="192" t="s">
        <v>338</v>
      </c>
      <c r="F803" s="243"/>
      <c r="G803" s="161">
        <f>SUM(G806+G804)</f>
        <v>0</v>
      </c>
      <c r="H803" s="22"/>
      <c r="I803" s="22" t="e">
        <f>SUM(H803/G829*100)</f>
        <v>#DIV/0!</v>
      </c>
    </row>
    <row r="804" spans="1:9" ht="15" hidden="1">
      <c r="A804" s="119" t="s">
        <v>220</v>
      </c>
      <c r="B804" s="207"/>
      <c r="C804" s="192" t="s">
        <v>116</v>
      </c>
      <c r="D804" s="192" t="s">
        <v>414</v>
      </c>
      <c r="E804" s="192" t="s">
        <v>338</v>
      </c>
      <c r="F804" s="243" t="s">
        <v>221</v>
      </c>
      <c r="G804" s="161"/>
      <c r="H804" s="22"/>
      <c r="I804" s="22">
        <f>SUM(H804/G832*100)</f>
        <v>0</v>
      </c>
    </row>
    <row r="805" spans="1:9" ht="28.5" hidden="1">
      <c r="A805" s="119" t="s">
        <v>339</v>
      </c>
      <c r="B805" s="207"/>
      <c r="C805" s="192" t="s">
        <v>116</v>
      </c>
      <c r="D805" s="192" t="s">
        <v>414</v>
      </c>
      <c r="E805" s="192" t="s">
        <v>340</v>
      </c>
      <c r="F805" s="243"/>
      <c r="G805" s="161">
        <f>SUM(G806)</f>
        <v>0</v>
      </c>
      <c r="H805" s="85" t="e">
        <f>SUM(H806+H816)</f>
        <v>#REF!</v>
      </c>
      <c r="I805" s="85" t="e">
        <f>SUM(H805/G833*100)</f>
        <v>#REF!</v>
      </c>
    </row>
    <row r="806" spans="1:9" ht="15" hidden="1">
      <c r="A806" s="119" t="s">
        <v>220</v>
      </c>
      <c r="B806" s="207"/>
      <c r="C806" s="192" t="s">
        <v>116</v>
      </c>
      <c r="D806" s="192" t="s">
        <v>414</v>
      </c>
      <c r="E806" s="192" t="s">
        <v>340</v>
      </c>
      <c r="F806" s="243" t="s">
        <v>221</v>
      </c>
      <c r="G806" s="161"/>
      <c r="H806" s="22">
        <f>SUM(H807)+H813</f>
        <v>0</v>
      </c>
      <c r="I806" s="22" t="e">
        <f>SUM(H806/#REF!*100)</f>
        <v>#REF!</v>
      </c>
    </row>
    <row r="807" spans="1:9" ht="15" hidden="1">
      <c r="A807" s="119" t="s">
        <v>120</v>
      </c>
      <c r="B807" s="194"/>
      <c r="C807" s="192" t="s">
        <v>116</v>
      </c>
      <c r="D807" s="192" t="s">
        <v>414</v>
      </c>
      <c r="E807" s="192" t="s">
        <v>121</v>
      </c>
      <c r="F807" s="242"/>
      <c r="G807" s="161">
        <f>SUM(G808)</f>
        <v>0</v>
      </c>
      <c r="H807" s="22">
        <f>SUM(H808)</f>
        <v>0</v>
      </c>
      <c r="I807" s="22" t="e">
        <f>SUM(H807/#REF!*100)</f>
        <v>#REF!</v>
      </c>
    </row>
    <row r="808" spans="1:9" ht="42.75" hidden="1">
      <c r="A808" s="187" t="s">
        <v>185</v>
      </c>
      <c r="B808" s="194"/>
      <c r="C808" s="192" t="s">
        <v>116</v>
      </c>
      <c r="D808" s="192" t="s">
        <v>414</v>
      </c>
      <c r="E808" s="192" t="s">
        <v>270</v>
      </c>
      <c r="F808" s="242"/>
      <c r="G808" s="161">
        <f>SUM(G809:G810)</f>
        <v>0</v>
      </c>
      <c r="H808" s="22">
        <f>SUM(H811)</f>
        <v>0</v>
      </c>
      <c r="I808" s="22" t="e">
        <f>SUM(H808/#REF!*100)</f>
        <v>#REF!</v>
      </c>
    </row>
    <row r="809" spans="1:9" ht="15" hidden="1">
      <c r="A809" s="119" t="s">
        <v>52</v>
      </c>
      <c r="B809" s="194"/>
      <c r="C809" s="192" t="s">
        <v>116</v>
      </c>
      <c r="D809" s="192" t="s">
        <v>414</v>
      </c>
      <c r="E809" s="192" t="s">
        <v>270</v>
      </c>
      <c r="F809" s="242" t="s">
        <v>221</v>
      </c>
      <c r="G809" s="161"/>
      <c r="H809" s="22"/>
      <c r="I809" s="22"/>
    </row>
    <row r="810" spans="1:9" ht="15" hidden="1">
      <c r="A810" s="119" t="s">
        <v>134</v>
      </c>
      <c r="B810" s="194"/>
      <c r="C810" s="192" t="s">
        <v>116</v>
      </c>
      <c r="D810" s="192" t="s">
        <v>414</v>
      </c>
      <c r="E810" s="192" t="s">
        <v>270</v>
      </c>
      <c r="F810" s="242" t="s">
        <v>78</v>
      </c>
      <c r="G810" s="161"/>
      <c r="H810" s="22"/>
      <c r="I810" s="22"/>
    </row>
    <row r="811" spans="1:9" ht="15">
      <c r="A811" s="152" t="s">
        <v>211</v>
      </c>
      <c r="B811" s="194"/>
      <c r="C811" s="192" t="s">
        <v>116</v>
      </c>
      <c r="D811" s="192" t="s">
        <v>114</v>
      </c>
      <c r="E811" s="192"/>
      <c r="F811" s="242"/>
      <c r="G811" s="161">
        <f>SUM(G815+G820+G813)</f>
        <v>10341</v>
      </c>
      <c r="H811" s="22">
        <f>SUM(H812)</f>
        <v>0</v>
      </c>
      <c r="I811" s="22" t="e">
        <f>SUM(H811/#REF!*100)</f>
        <v>#REF!</v>
      </c>
    </row>
    <row r="812" spans="1:9" ht="15" hidden="1">
      <c r="A812" s="187" t="s">
        <v>363</v>
      </c>
      <c r="B812" s="194"/>
      <c r="C812" s="192" t="s">
        <v>116</v>
      </c>
      <c r="D812" s="192" t="s">
        <v>114</v>
      </c>
      <c r="E812" s="192" t="s">
        <v>365</v>
      </c>
      <c r="F812" s="242"/>
      <c r="G812" s="161">
        <f>SUM(G813)</f>
        <v>0</v>
      </c>
      <c r="H812" s="22"/>
      <c r="I812" s="22" t="e">
        <f>SUM(H812/#REF!*100)</f>
        <v>#REF!</v>
      </c>
    </row>
    <row r="813" spans="1:9" ht="15" hidden="1">
      <c r="A813" s="187" t="s">
        <v>345</v>
      </c>
      <c r="B813" s="194"/>
      <c r="C813" s="192" t="s">
        <v>116</v>
      </c>
      <c r="D813" s="192" t="s">
        <v>114</v>
      </c>
      <c r="E813" s="192" t="s">
        <v>346</v>
      </c>
      <c r="F813" s="242"/>
      <c r="G813" s="161">
        <f>SUM(G814)</f>
        <v>0</v>
      </c>
      <c r="H813" s="22">
        <f>SUM(H814)</f>
        <v>0</v>
      </c>
      <c r="I813" s="22" t="e">
        <f>SUM(H813/#REF!*100)</f>
        <v>#REF!</v>
      </c>
    </row>
    <row r="814" spans="1:9" ht="28.5" hidden="1">
      <c r="A814" s="187" t="s">
        <v>277</v>
      </c>
      <c r="B814" s="194"/>
      <c r="C814" s="192" t="s">
        <v>116</v>
      </c>
      <c r="D814" s="192" t="s">
        <v>114</v>
      </c>
      <c r="E814" s="192" t="s">
        <v>346</v>
      </c>
      <c r="F814" s="242" t="s">
        <v>278</v>
      </c>
      <c r="G814" s="161"/>
      <c r="H814" s="22">
        <f>SUM(H815)</f>
        <v>0</v>
      </c>
      <c r="I814" s="22" t="e">
        <f>SUM(H814/#REF!*100)</f>
        <v>#REF!</v>
      </c>
    </row>
    <row r="815" spans="1:9" ht="42.75">
      <c r="A815" s="152" t="s">
        <v>263</v>
      </c>
      <c r="B815" s="194"/>
      <c r="C815" s="192" t="s">
        <v>116</v>
      </c>
      <c r="D815" s="192" t="s">
        <v>114</v>
      </c>
      <c r="E815" s="192" t="s">
        <v>264</v>
      </c>
      <c r="F815" s="242"/>
      <c r="G815" s="161">
        <f>SUM(G816)</f>
        <v>7264</v>
      </c>
      <c r="H815" s="22"/>
      <c r="I815" s="22" t="e">
        <f>SUM(H815/#REF!*100)</f>
        <v>#REF!</v>
      </c>
    </row>
    <row r="816" spans="1:11" ht="28.5">
      <c r="A816" s="187" t="s">
        <v>51</v>
      </c>
      <c r="B816" s="194"/>
      <c r="C816" s="192" t="s">
        <v>116</v>
      </c>
      <c r="D816" s="192" t="s">
        <v>114</v>
      </c>
      <c r="E816" s="192" t="s">
        <v>265</v>
      </c>
      <c r="F816" s="242"/>
      <c r="G816" s="161">
        <f>SUM(G817:G819)</f>
        <v>7264</v>
      </c>
      <c r="H816" s="22" t="e">
        <f>SUM(H817+H833+#REF!+#REF!+H851)</f>
        <v>#REF!</v>
      </c>
      <c r="I816" s="22" t="e">
        <f>SUM(H816/G834*100)</f>
        <v>#REF!</v>
      </c>
      <c r="K816" s="114"/>
    </row>
    <row r="817" spans="1:9" ht="28.5">
      <c r="A817" s="187" t="s">
        <v>444</v>
      </c>
      <c r="B817" s="207"/>
      <c r="C817" s="192" t="s">
        <v>116</v>
      </c>
      <c r="D817" s="192" t="s">
        <v>114</v>
      </c>
      <c r="E817" s="192" t="s">
        <v>265</v>
      </c>
      <c r="F817" s="243" t="s">
        <v>445</v>
      </c>
      <c r="G817" s="161">
        <v>6337.8</v>
      </c>
      <c r="H817" s="22">
        <f>SUM(H818+H821)</f>
        <v>46235.5</v>
      </c>
      <c r="I817" s="22">
        <f>SUM(H817/G835*100)</f>
        <v>507.88149742958825</v>
      </c>
    </row>
    <row r="818" spans="1:9" ht="28.5">
      <c r="A818" s="187" t="s">
        <v>697</v>
      </c>
      <c r="B818" s="207"/>
      <c r="C818" s="192" t="s">
        <v>116</v>
      </c>
      <c r="D818" s="192" t="s">
        <v>114</v>
      </c>
      <c r="E818" s="192" t="s">
        <v>265</v>
      </c>
      <c r="F818" s="243" t="s">
        <v>112</v>
      </c>
      <c r="G818" s="161">
        <v>917.3</v>
      </c>
      <c r="H818" s="22">
        <f>SUM(H819)</f>
        <v>146.8</v>
      </c>
      <c r="I818" s="22" t="e">
        <f>SUM(H818/#REF!*100)</f>
        <v>#REF!</v>
      </c>
    </row>
    <row r="819" spans="1:9" ht="15">
      <c r="A819" s="187" t="s">
        <v>450</v>
      </c>
      <c r="B819" s="207"/>
      <c r="C819" s="192" t="s">
        <v>116</v>
      </c>
      <c r="D819" s="192" t="s">
        <v>114</v>
      </c>
      <c r="E819" s="192" t="s">
        <v>265</v>
      </c>
      <c r="F819" s="243" t="s">
        <v>160</v>
      </c>
      <c r="G819" s="161">
        <v>8.9</v>
      </c>
      <c r="H819" s="22">
        <f>SUM(H820)</f>
        <v>146.8</v>
      </c>
      <c r="I819" s="22" t="e">
        <f>SUM(H819/#REF!*100)</f>
        <v>#REF!</v>
      </c>
    </row>
    <row r="820" spans="1:9" ht="15">
      <c r="A820" s="119" t="s">
        <v>120</v>
      </c>
      <c r="B820" s="194"/>
      <c r="C820" s="192" t="s">
        <v>116</v>
      </c>
      <c r="D820" s="192" t="s">
        <v>114</v>
      </c>
      <c r="E820" s="192" t="s">
        <v>121</v>
      </c>
      <c r="F820" s="242"/>
      <c r="G820" s="161">
        <f>SUM(G823)+G826+G821+G830</f>
        <v>3077</v>
      </c>
      <c r="H820" s="22">
        <v>146.8</v>
      </c>
      <c r="I820" s="22" t="e">
        <f>SUM(H820/#REF!*100)</f>
        <v>#REF!</v>
      </c>
    </row>
    <row r="821" spans="1:9" ht="42.75" hidden="1">
      <c r="A821" s="187" t="s">
        <v>185</v>
      </c>
      <c r="B821" s="194"/>
      <c r="C821" s="192" t="s">
        <v>116</v>
      </c>
      <c r="D821" s="192" t="s">
        <v>114</v>
      </c>
      <c r="E821" s="192" t="s">
        <v>270</v>
      </c>
      <c r="F821" s="242"/>
      <c r="G821" s="161">
        <f>SUM(G822)</f>
        <v>0</v>
      </c>
      <c r="H821" s="22">
        <f>SUM(H822)</f>
        <v>46088.7</v>
      </c>
      <c r="I821" s="22" t="e">
        <f>SUM(H821/#REF!*100)</f>
        <v>#REF!</v>
      </c>
    </row>
    <row r="822" spans="1:9" ht="15" hidden="1">
      <c r="A822" s="119" t="s">
        <v>52</v>
      </c>
      <c r="B822" s="194"/>
      <c r="C822" s="192" t="s">
        <v>116</v>
      </c>
      <c r="D822" s="192" t="s">
        <v>114</v>
      </c>
      <c r="E822" s="192" t="s">
        <v>270</v>
      </c>
      <c r="F822" s="242" t="s">
        <v>221</v>
      </c>
      <c r="G822" s="161"/>
      <c r="H822" s="22">
        <f>SUM(H826:H829)</f>
        <v>46088.7</v>
      </c>
      <c r="I822" s="22">
        <f>SUM(H822/G837*100)</f>
        <v>506.26894854782716</v>
      </c>
    </row>
    <row r="823" spans="1:9" ht="28.5">
      <c r="A823" s="187" t="s">
        <v>589</v>
      </c>
      <c r="B823" s="194"/>
      <c r="C823" s="192" t="s">
        <v>116</v>
      </c>
      <c r="D823" s="192" t="s">
        <v>114</v>
      </c>
      <c r="E823" s="192" t="s">
        <v>279</v>
      </c>
      <c r="F823" s="242"/>
      <c r="G823" s="161">
        <f>SUM(G824:G825)</f>
        <v>1060</v>
      </c>
      <c r="H823" s="22"/>
      <c r="I823" s="22"/>
    </row>
    <row r="824" spans="1:9" ht="28.5">
      <c r="A824" s="187" t="s">
        <v>697</v>
      </c>
      <c r="B824" s="194"/>
      <c r="C824" s="192" t="s">
        <v>116</v>
      </c>
      <c r="D824" s="192" t="s">
        <v>114</v>
      </c>
      <c r="E824" s="192" t="s">
        <v>279</v>
      </c>
      <c r="F824" s="242" t="s">
        <v>112</v>
      </c>
      <c r="G824" s="161">
        <v>230</v>
      </c>
      <c r="H824" s="22">
        <f>SUM(H825)</f>
        <v>0</v>
      </c>
      <c r="I824" s="22">
        <f>SUM(H824/G836*100)</f>
        <v>0</v>
      </c>
    </row>
    <row r="825" spans="1:9" ht="28.5">
      <c r="A825" s="119" t="s">
        <v>463</v>
      </c>
      <c r="B825" s="194"/>
      <c r="C825" s="192" t="s">
        <v>116</v>
      </c>
      <c r="D825" s="192" t="s">
        <v>114</v>
      </c>
      <c r="E825" s="192" t="s">
        <v>279</v>
      </c>
      <c r="F825" s="242" t="s">
        <v>461</v>
      </c>
      <c r="G825" s="161">
        <v>830</v>
      </c>
      <c r="H825" s="22"/>
      <c r="I825" s="22"/>
    </row>
    <row r="826" spans="1:9" ht="13.5" customHeight="1">
      <c r="A826" s="187" t="s">
        <v>462</v>
      </c>
      <c r="B826" s="194"/>
      <c r="C826" s="192" t="s">
        <v>116</v>
      </c>
      <c r="D826" s="192" t="s">
        <v>114</v>
      </c>
      <c r="E826" s="192" t="s">
        <v>280</v>
      </c>
      <c r="F826" s="242"/>
      <c r="G826" s="161">
        <f>SUM(G827:G829)</f>
        <v>1900</v>
      </c>
      <c r="H826" s="22">
        <v>46088.7</v>
      </c>
      <c r="I826" s="22">
        <f>SUM(H826/G844*100)</f>
        <v>506.26894854782716</v>
      </c>
    </row>
    <row r="827" spans="1:9" ht="28.5" hidden="1">
      <c r="A827" s="187" t="s">
        <v>444</v>
      </c>
      <c r="B827" s="194"/>
      <c r="C827" s="192" t="s">
        <v>116</v>
      </c>
      <c r="D827" s="192" t="s">
        <v>114</v>
      </c>
      <c r="E827" s="192" t="s">
        <v>280</v>
      </c>
      <c r="F827" s="242" t="s">
        <v>445</v>
      </c>
      <c r="G827" s="161"/>
      <c r="H827" s="22"/>
      <c r="I827" s="22">
        <f>SUM(H827/G845*100)</f>
        <v>0</v>
      </c>
    </row>
    <row r="828" spans="1:9" ht="27.75" customHeight="1">
      <c r="A828" s="187" t="s">
        <v>697</v>
      </c>
      <c r="B828" s="194"/>
      <c r="C828" s="192" t="s">
        <v>116</v>
      </c>
      <c r="D828" s="192" t="s">
        <v>114</v>
      </c>
      <c r="E828" s="192" t="s">
        <v>280</v>
      </c>
      <c r="F828" s="242" t="s">
        <v>112</v>
      </c>
      <c r="G828" s="161">
        <v>1900</v>
      </c>
      <c r="H828" s="22"/>
      <c r="I828" s="22" t="e">
        <f>SUM(H828/#REF!*100)</f>
        <v>#REF!</v>
      </c>
    </row>
    <row r="829" spans="1:9" ht="15" hidden="1">
      <c r="A829" s="187" t="s">
        <v>450</v>
      </c>
      <c r="B829" s="194"/>
      <c r="C829" s="192" t="s">
        <v>116</v>
      </c>
      <c r="D829" s="192" t="s">
        <v>114</v>
      </c>
      <c r="E829" s="192" t="s">
        <v>280</v>
      </c>
      <c r="F829" s="242" t="s">
        <v>160</v>
      </c>
      <c r="G829" s="161"/>
      <c r="H829" s="22">
        <f>SUM(H832)</f>
        <v>0</v>
      </c>
      <c r="I829" s="22" t="e">
        <f>SUM(H829/#REF!*100)</f>
        <v>#REF!</v>
      </c>
    </row>
    <row r="830" spans="1:9" ht="28.5">
      <c r="A830" s="187" t="s">
        <v>590</v>
      </c>
      <c r="B830" s="194"/>
      <c r="C830" s="192" t="s">
        <v>116</v>
      </c>
      <c r="D830" s="192" t="s">
        <v>114</v>
      </c>
      <c r="E830" s="192" t="s">
        <v>591</v>
      </c>
      <c r="F830" s="242"/>
      <c r="G830" s="161">
        <f>SUM(G831:G832)</f>
        <v>117</v>
      </c>
      <c r="H830" s="22"/>
      <c r="I830" s="22"/>
    </row>
    <row r="831" spans="1:9" ht="28.5">
      <c r="A831" s="187" t="s">
        <v>697</v>
      </c>
      <c r="B831" s="194"/>
      <c r="C831" s="192" t="s">
        <v>116</v>
      </c>
      <c r="D831" s="192" t="s">
        <v>114</v>
      </c>
      <c r="E831" s="192" t="s">
        <v>591</v>
      </c>
      <c r="F831" s="242" t="s">
        <v>112</v>
      </c>
      <c r="G831" s="161">
        <v>57</v>
      </c>
      <c r="H831" s="22"/>
      <c r="I831" s="22"/>
    </row>
    <row r="832" spans="1:9" ht="28.5">
      <c r="A832" s="119" t="s">
        <v>463</v>
      </c>
      <c r="B832" s="194"/>
      <c r="C832" s="192" t="s">
        <v>116</v>
      </c>
      <c r="D832" s="192" t="s">
        <v>114</v>
      </c>
      <c r="E832" s="192" t="s">
        <v>591</v>
      </c>
      <c r="F832" s="242" t="s">
        <v>461</v>
      </c>
      <c r="G832" s="161">
        <v>60</v>
      </c>
      <c r="H832" s="22"/>
      <c r="I832" s="22" t="e">
        <f>SUM(H832/#REF!*100)</f>
        <v>#REF!</v>
      </c>
    </row>
    <row r="833" spans="1:9" ht="15">
      <c r="A833" s="193" t="s">
        <v>276</v>
      </c>
      <c r="B833" s="194" t="s">
        <v>239</v>
      </c>
      <c r="C833" s="192"/>
      <c r="D833" s="192"/>
      <c r="E833" s="192"/>
      <c r="F833" s="242"/>
      <c r="G833" s="170">
        <f>SUM(G834)</f>
        <v>47219</v>
      </c>
      <c r="H833" s="22" t="e">
        <f>SUM(#REF!+#REF!+#REF!+#REF!)</f>
        <v>#REF!</v>
      </c>
      <c r="I833" s="22" t="e">
        <f>SUM(H833/G846*100)</f>
        <v>#REF!</v>
      </c>
    </row>
    <row r="834" spans="1:9" ht="15">
      <c r="A834" s="187" t="s">
        <v>293</v>
      </c>
      <c r="B834" s="188"/>
      <c r="C834" s="192" t="s">
        <v>272</v>
      </c>
      <c r="D834" s="192"/>
      <c r="E834" s="192"/>
      <c r="F834" s="242"/>
      <c r="G834" s="161">
        <f>SUM(G835+G846+G864+G873)</f>
        <v>47219</v>
      </c>
      <c r="H834" s="22"/>
      <c r="I834" s="22"/>
    </row>
    <row r="835" spans="1:9" ht="15">
      <c r="A835" s="187" t="s">
        <v>162</v>
      </c>
      <c r="B835" s="188"/>
      <c r="C835" s="192" t="s">
        <v>272</v>
      </c>
      <c r="D835" s="192" t="s">
        <v>414</v>
      </c>
      <c r="E835" s="192"/>
      <c r="F835" s="242"/>
      <c r="G835" s="161">
        <f>SUM(G836)</f>
        <v>9103.6</v>
      </c>
      <c r="H835" s="22">
        <v>21799.8</v>
      </c>
      <c r="I835" s="22">
        <f>SUM(H835/G854*100)</f>
        <v>198.85792474344356</v>
      </c>
    </row>
    <row r="836" spans="1:9" ht="28.5">
      <c r="A836" s="187" t="s">
        <v>583</v>
      </c>
      <c r="B836" s="188"/>
      <c r="C836" s="192" t="s">
        <v>272</v>
      </c>
      <c r="D836" s="192" t="s">
        <v>414</v>
      </c>
      <c r="E836" s="192" t="s">
        <v>584</v>
      </c>
      <c r="F836" s="242"/>
      <c r="G836" s="169">
        <f>SUM(G837)</f>
        <v>9103.6</v>
      </c>
      <c r="H836" s="22"/>
      <c r="I836" s="22" t="e">
        <f>SUM(H836/#REF!*100)</f>
        <v>#REF!</v>
      </c>
    </row>
    <row r="837" spans="1:9" ht="15">
      <c r="A837" s="187" t="s">
        <v>88</v>
      </c>
      <c r="B837" s="194"/>
      <c r="C837" s="192" t="s">
        <v>272</v>
      </c>
      <c r="D837" s="192" t="s">
        <v>414</v>
      </c>
      <c r="E837" s="192" t="s">
        <v>585</v>
      </c>
      <c r="F837" s="242"/>
      <c r="G837" s="161">
        <f>SUM(G845)+G838</f>
        <v>9103.6</v>
      </c>
      <c r="H837" s="22"/>
      <c r="I837" s="22" t="e">
        <f>SUM(H837/#REF!*100)</f>
        <v>#REF!</v>
      </c>
    </row>
    <row r="838" spans="1:9" ht="15" hidden="1">
      <c r="A838" s="119" t="s">
        <v>148</v>
      </c>
      <c r="B838" s="194"/>
      <c r="C838" s="192" t="s">
        <v>272</v>
      </c>
      <c r="D838" s="192" t="s">
        <v>414</v>
      </c>
      <c r="E838" s="192" t="s">
        <v>132</v>
      </c>
      <c r="F838" s="242"/>
      <c r="G838" s="161">
        <f>SUM(G840+G842)</f>
        <v>0</v>
      </c>
      <c r="H838" s="22" t="e">
        <f>SUM(#REF!)</f>
        <v>#REF!</v>
      </c>
      <c r="I838" s="22" t="e">
        <f>SUM(H838/#REF!*100)</f>
        <v>#REF!</v>
      </c>
    </row>
    <row r="839" spans="1:9" ht="15" hidden="1">
      <c r="A839" s="119" t="s">
        <v>134</v>
      </c>
      <c r="B839" s="194"/>
      <c r="C839" s="192" t="s">
        <v>272</v>
      </c>
      <c r="D839" s="192" t="s">
        <v>414</v>
      </c>
      <c r="E839" s="192" t="s">
        <v>132</v>
      </c>
      <c r="F839" s="242" t="s">
        <v>78</v>
      </c>
      <c r="G839" s="161"/>
      <c r="H839" s="22">
        <f>SUM(H845:H845)</f>
        <v>7467.6</v>
      </c>
      <c r="I839" s="22">
        <f>SUM(H839/G856*100)</f>
        <v>62.75030460905005</v>
      </c>
    </row>
    <row r="840" spans="1:9" ht="28.5" hidden="1">
      <c r="A840" s="119" t="s">
        <v>370</v>
      </c>
      <c r="B840" s="194"/>
      <c r="C840" s="192" t="s">
        <v>272</v>
      </c>
      <c r="D840" s="192" t="s">
        <v>414</v>
      </c>
      <c r="E840" s="192" t="s">
        <v>133</v>
      </c>
      <c r="F840" s="242"/>
      <c r="G840" s="161">
        <f>SUM(G841)</f>
        <v>0</v>
      </c>
      <c r="H840" s="22"/>
      <c r="I840" s="22"/>
    </row>
    <row r="841" spans="1:9" ht="15" hidden="1">
      <c r="A841" s="119" t="s">
        <v>134</v>
      </c>
      <c r="B841" s="194"/>
      <c r="C841" s="192" t="s">
        <v>272</v>
      </c>
      <c r="D841" s="192" t="s">
        <v>414</v>
      </c>
      <c r="E841" s="192" t="s">
        <v>133</v>
      </c>
      <c r="F841" s="242" t="s">
        <v>78</v>
      </c>
      <c r="G841" s="161"/>
      <c r="H841" s="22"/>
      <c r="I841" s="22"/>
    </row>
    <row r="842" spans="1:9" ht="15" hidden="1">
      <c r="A842" s="187" t="s">
        <v>191</v>
      </c>
      <c r="B842" s="194"/>
      <c r="C842" s="192" t="s">
        <v>272</v>
      </c>
      <c r="D842" s="192" t="s">
        <v>414</v>
      </c>
      <c r="E842" s="192" t="s">
        <v>194</v>
      </c>
      <c r="F842" s="242"/>
      <c r="G842" s="161">
        <f>SUM(G843)</f>
        <v>0</v>
      </c>
      <c r="H842" s="22"/>
      <c r="I842" s="22"/>
    </row>
    <row r="843" spans="1:9" ht="15" hidden="1">
      <c r="A843" s="187" t="s">
        <v>148</v>
      </c>
      <c r="B843" s="194"/>
      <c r="C843" s="192" t="s">
        <v>272</v>
      </c>
      <c r="D843" s="192" t="s">
        <v>414</v>
      </c>
      <c r="E843" s="192" t="s">
        <v>194</v>
      </c>
      <c r="F843" s="242" t="s">
        <v>78</v>
      </c>
      <c r="G843" s="161"/>
      <c r="H843" s="22"/>
      <c r="I843" s="22"/>
    </row>
    <row r="844" spans="1:9" ht="28.5">
      <c r="A844" s="187" t="s">
        <v>273</v>
      </c>
      <c r="B844" s="194"/>
      <c r="C844" s="192" t="s">
        <v>272</v>
      </c>
      <c r="D844" s="192" t="s">
        <v>414</v>
      </c>
      <c r="E844" s="192" t="s">
        <v>586</v>
      </c>
      <c r="F844" s="242"/>
      <c r="G844" s="161">
        <f>SUM(G845)</f>
        <v>9103.6</v>
      </c>
      <c r="H844" s="22"/>
      <c r="I844" s="22"/>
    </row>
    <row r="845" spans="1:9" ht="28.5">
      <c r="A845" s="119" t="s">
        <v>463</v>
      </c>
      <c r="B845" s="207"/>
      <c r="C845" s="192" t="s">
        <v>272</v>
      </c>
      <c r="D845" s="192" t="s">
        <v>414</v>
      </c>
      <c r="E845" s="192" t="s">
        <v>586</v>
      </c>
      <c r="F845" s="243" t="s">
        <v>461</v>
      </c>
      <c r="G845" s="161">
        <v>9103.6</v>
      </c>
      <c r="H845" s="22">
        <v>7467.6</v>
      </c>
      <c r="I845" s="22">
        <f>SUM(H845/G862*100)</f>
        <v>62.75030460905005</v>
      </c>
    </row>
    <row r="846" spans="1:9" ht="15">
      <c r="A846" s="187" t="s">
        <v>217</v>
      </c>
      <c r="B846" s="188"/>
      <c r="C846" s="192" t="s">
        <v>272</v>
      </c>
      <c r="D846" s="192" t="s">
        <v>416</v>
      </c>
      <c r="E846" s="192"/>
      <c r="F846" s="242"/>
      <c r="G846" s="161">
        <f>SUM(G847)</f>
        <v>22863</v>
      </c>
      <c r="H846" s="22">
        <f>SUM(H847:H848)</f>
        <v>1817.2</v>
      </c>
      <c r="I846" s="22" t="e">
        <f>SUM(H846/#REF!*100)</f>
        <v>#REF!</v>
      </c>
    </row>
    <row r="847" spans="1:9" ht="28.5">
      <c r="A847" s="187" t="s">
        <v>583</v>
      </c>
      <c r="B847" s="188"/>
      <c r="C847" s="192" t="s">
        <v>272</v>
      </c>
      <c r="D847" s="192" t="s">
        <v>416</v>
      </c>
      <c r="E847" s="192" t="s">
        <v>584</v>
      </c>
      <c r="F847" s="242"/>
      <c r="G847" s="161">
        <f>SUM(G848)+G856</f>
        <v>22863</v>
      </c>
      <c r="H847" s="22">
        <v>1817.2</v>
      </c>
      <c r="I847" s="22" t="e">
        <f>SUM(H847/#REF!*100)</f>
        <v>#REF!</v>
      </c>
    </row>
    <row r="848" spans="1:9" ht="28.5">
      <c r="A848" s="187" t="s">
        <v>592</v>
      </c>
      <c r="B848" s="194"/>
      <c r="C848" s="192" t="s">
        <v>272</v>
      </c>
      <c r="D848" s="192" t="s">
        <v>416</v>
      </c>
      <c r="E848" s="192" t="s">
        <v>671</v>
      </c>
      <c r="F848" s="242"/>
      <c r="G848" s="161">
        <f>SUM(G849+G854)</f>
        <v>10962.5</v>
      </c>
      <c r="H848" s="22"/>
      <c r="I848" s="22" t="e">
        <f>SUM(H848/#REF!*100)</f>
        <v>#REF!</v>
      </c>
    </row>
    <row r="849" spans="1:9" ht="15" hidden="1">
      <c r="A849" s="119" t="s">
        <v>148</v>
      </c>
      <c r="B849" s="194"/>
      <c r="C849" s="192" t="s">
        <v>272</v>
      </c>
      <c r="D849" s="192" t="s">
        <v>416</v>
      </c>
      <c r="E849" s="192" t="s">
        <v>132</v>
      </c>
      <c r="F849" s="242"/>
      <c r="G849" s="161">
        <f>SUM(G852)+G850</f>
        <v>0</v>
      </c>
      <c r="H849" s="22">
        <f>SUM(H850)</f>
        <v>340</v>
      </c>
      <c r="I849" s="22" t="e">
        <f>SUM(H849/#REF!*100)</f>
        <v>#REF!</v>
      </c>
    </row>
    <row r="850" spans="1:9" ht="28.5" hidden="1">
      <c r="A850" s="119" t="s">
        <v>370</v>
      </c>
      <c r="B850" s="194"/>
      <c r="C850" s="192" t="s">
        <v>272</v>
      </c>
      <c r="D850" s="192" t="s">
        <v>416</v>
      </c>
      <c r="E850" s="192" t="s">
        <v>133</v>
      </c>
      <c r="F850" s="242"/>
      <c r="G850" s="161">
        <f>SUM(G851)</f>
        <v>0</v>
      </c>
      <c r="H850" s="22">
        <v>340</v>
      </c>
      <c r="I850" s="22" t="e">
        <f>SUM(H850/#REF!*100)</f>
        <v>#REF!</v>
      </c>
    </row>
    <row r="851" spans="1:9" ht="15" hidden="1">
      <c r="A851" s="119" t="s">
        <v>134</v>
      </c>
      <c r="B851" s="194"/>
      <c r="C851" s="192" t="s">
        <v>272</v>
      </c>
      <c r="D851" s="192" t="s">
        <v>416</v>
      </c>
      <c r="E851" s="192" t="s">
        <v>133</v>
      </c>
      <c r="F851" s="242" t="s">
        <v>78</v>
      </c>
      <c r="G851" s="161"/>
      <c r="H851" s="22">
        <f>SUM(H852)</f>
        <v>9494.7</v>
      </c>
      <c r="I851" s="22" t="e">
        <f>SUM(H851/#REF!*100)</f>
        <v>#REF!</v>
      </c>
    </row>
    <row r="852" spans="1:9" ht="15" hidden="1">
      <c r="A852" s="187" t="s">
        <v>191</v>
      </c>
      <c r="B852" s="194"/>
      <c r="C852" s="192" t="s">
        <v>272</v>
      </c>
      <c r="D852" s="192" t="s">
        <v>416</v>
      </c>
      <c r="E852" s="192" t="s">
        <v>194</v>
      </c>
      <c r="F852" s="242"/>
      <c r="G852" s="161">
        <f>SUM(G853)</f>
        <v>0</v>
      </c>
      <c r="H852" s="22">
        <f>SUM(H853)</f>
        <v>9494.7</v>
      </c>
      <c r="I852" s="22" t="e">
        <f>SUM(H852/#REF!*100)</f>
        <v>#REF!</v>
      </c>
    </row>
    <row r="853" spans="1:9" ht="15" hidden="1">
      <c r="A853" s="119" t="s">
        <v>134</v>
      </c>
      <c r="B853" s="194"/>
      <c r="C853" s="192" t="s">
        <v>272</v>
      </c>
      <c r="D853" s="192" t="s">
        <v>416</v>
      </c>
      <c r="E853" s="192" t="s">
        <v>194</v>
      </c>
      <c r="F853" s="242" t="s">
        <v>78</v>
      </c>
      <c r="G853" s="161"/>
      <c r="H853" s="22">
        <f>SUM(H854:H855)</f>
        <v>9494.7</v>
      </c>
      <c r="I853" s="22" t="e">
        <f>SUM(H853/#REF!*100)</f>
        <v>#REF!</v>
      </c>
    </row>
    <row r="854" spans="1:9" ht="28.5">
      <c r="A854" s="187" t="s">
        <v>273</v>
      </c>
      <c r="B854" s="194"/>
      <c r="C854" s="192" t="s">
        <v>272</v>
      </c>
      <c r="D854" s="192" t="s">
        <v>416</v>
      </c>
      <c r="E854" s="192" t="s">
        <v>672</v>
      </c>
      <c r="F854" s="242"/>
      <c r="G854" s="161">
        <f>SUM(G855)</f>
        <v>10962.5</v>
      </c>
      <c r="H854" s="22">
        <v>9494.7</v>
      </c>
      <c r="I854" s="22" t="e">
        <f>SUM(H854/#REF!*100)</f>
        <v>#REF!</v>
      </c>
    </row>
    <row r="855" spans="1:9" ht="28.5">
      <c r="A855" s="119" t="s">
        <v>463</v>
      </c>
      <c r="B855" s="207"/>
      <c r="C855" s="192" t="s">
        <v>272</v>
      </c>
      <c r="D855" s="192" t="s">
        <v>416</v>
      </c>
      <c r="E855" s="192" t="s">
        <v>672</v>
      </c>
      <c r="F855" s="243" t="s">
        <v>461</v>
      </c>
      <c r="G855" s="161">
        <v>10962.5</v>
      </c>
      <c r="H855" s="22"/>
      <c r="I855" s="22" t="e">
        <f>SUM(H855/#REF!*100)</f>
        <v>#REF!</v>
      </c>
    </row>
    <row r="856" spans="1:9" ht="33" customHeight="1">
      <c r="A856" s="187" t="s">
        <v>593</v>
      </c>
      <c r="B856" s="188"/>
      <c r="C856" s="192" t="s">
        <v>272</v>
      </c>
      <c r="D856" s="192" t="s">
        <v>416</v>
      </c>
      <c r="E856" s="192" t="s">
        <v>673</v>
      </c>
      <c r="F856" s="242"/>
      <c r="G856" s="161">
        <f>SUM(G862:G862)+G857</f>
        <v>11900.5</v>
      </c>
      <c r="H856" s="22">
        <v>7467.6</v>
      </c>
      <c r="I856" s="22" t="e">
        <f>SUM(H856/#REF!*100)</f>
        <v>#REF!</v>
      </c>
    </row>
    <row r="857" spans="1:9" ht="15" hidden="1">
      <c r="A857" s="119" t="s">
        <v>148</v>
      </c>
      <c r="B857" s="188"/>
      <c r="C857" s="192" t="s">
        <v>272</v>
      </c>
      <c r="D857" s="192" t="s">
        <v>416</v>
      </c>
      <c r="E857" s="192" t="s">
        <v>195</v>
      </c>
      <c r="F857" s="242"/>
      <c r="G857" s="161">
        <f>SUM(G858)+G860</f>
        <v>0</v>
      </c>
      <c r="H857" s="22">
        <f>SUM(H858)</f>
        <v>0</v>
      </c>
      <c r="I857" s="22" t="e">
        <f>SUM(H857/G871*100)</f>
        <v>#DIV/0!</v>
      </c>
    </row>
    <row r="858" spans="1:9" ht="28.5" hidden="1">
      <c r="A858" s="119" t="s">
        <v>135</v>
      </c>
      <c r="B858" s="194"/>
      <c r="C858" s="192" t="s">
        <v>272</v>
      </c>
      <c r="D858" s="192" t="s">
        <v>416</v>
      </c>
      <c r="E858" s="192" t="s">
        <v>136</v>
      </c>
      <c r="F858" s="242"/>
      <c r="G858" s="161">
        <f>SUM(G859)</f>
        <v>0</v>
      </c>
      <c r="H858" s="22"/>
      <c r="I858" s="22" t="e">
        <f>SUM(H858/G872*100)</f>
        <v>#DIV/0!</v>
      </c>
    </row>
    <row r="859" spans="1:9" ht="28.5" hidden="1">
      <c r="A859" s="119" t="s">
        <v>463</v>
      </c>
      <c r="B859" s="207"/>
      <c r="C859" s="192" t="s">
        <v>272</v>
      </c>
      <c r="D859" s="192" t="s">
        <v>416</v>
      </c>
      <c r="E859" s="192" t="s">
        <v>136</v>
      </c>
      <c r="F859" s="243" t="s">
        <v>461</v>
      </c>
      <c r="G859" s="161"/>
      <c r="H859" s="22">
        <f>SUM(H860:H861)</f>
        <v>6864.8</v>
      </c>
      <c r="I859" s="22">
        <f>SUM(H859/G877*100)</f>
        <v>53.32380493715919</v>
      </c>
    </row>
    <row r="860" spans="1:9" ht="28.5" hidden="1">
      <c r="A860" s="119" t="s">
        <v>370</v>
      </c>
      <c r="B860" s="194"/>
      <c r="C860" s="192" t="s">
        <v>272</v>
      </c>
      <c r="D860" s="192" t="s">
        <v>416</v>
      </c>
      <c r="E860" s="192" t="s">
        <v>436</v>
      </c>
      <c r="F860" s="242"/>
      <c r="G860" s="161">
        <f>SUM(G861)</f>
        <v>0</v>
      </c>
      <c r="H860" s="22">
        <v>6864.8</v>
      </c>
      <c r="I860" s="22">
        <f>SUM(H860/G878*100)</f>
        <v>60.406180704656656</v>
      </c>
    </row>
    <row r="861" spans="1:9" ht="15" hidden="1">
      <c r="A861" s="119" t="s">
        <v>134</v>
      </c>
      <c r="B861" s="194"/>
      <c r="C861" s="192" t="s">
        <v>272</v>
      </c>
      <c r="D861" s="192" t="s">
        <v>416</v>
      </c>
      <c r="E861" s="192" t="s">
        <v>436</v>
      </c>
      <c r="F861" s="242" t="s">
        <v>78</v>
      </c>
      <c r="G861" s="161"/>
      <c r="H861" s="22"/>
      <c r="I861" s="22" t="e">
        <f>SUM(H861/#REF!*100)</f>
        <v>#REF!</v>
      </c>
    </row>
    <row r="862" spans="1:9" ht="28.5">
      <c r="A862" s="119" t="s">
        <v>273</v>
      </c>
      <c r="B862" s="188"/>
      <c r="C862" s="192" t="s">
        <v>272</v>
      </c>
      <c r="D862" s="192" t="s">
        <v>416</v>
      </c>
      <c r="E862" s="192" t="s">
        <v>674</v>
      </c>
      <c r="F862" s="242"/>
      <c r="G862" s="161">
        <f>SUM(G863)</f>
        <v>11900.5</v>
      </c>
      <c r="H862" s="22" t="e">
        <f>SUM(H863+#REF!)</f>
        <v>#REF!</v>
      </c>
      <c r="I862" s="22" t="e">
        <f>SUM(H862/#REF!*100)</f>
        <v>#REF!</v>
      </c>
    </row>
    <row r="863" spans="1:9" ht="28.5">
      <c r="A863" s="119" t="s">
        <v>463</v>
      </c>
      <c r="B863" s="207"/>
      <c r="C863" s="192" t="s">
        <v>272</v>
      </c>
      <c r="D863" s="192" t="s">
        <v>416</v>
      </c>
      <c r="E863" s="192" t="s">
        <v>674</v>
      </c>
      <c r="F863" s="243" t="s">
        <v>461</v>
      </c>
      <c r="G863" s="161">
        <v>11900.5</v>
      </c>
      <c r="H863" s="22" t="e">
        <f>SUM(#REF!)</f>
        <v>#REF!</v>
      </c>
      <c r="I863" s="22" t="e">
        <f>SUM(H863/#REF!*100)</f>
        <v>#REF!</v>
      </c>
    </row>
    <row r="864" spans="1:9" ht="14.25" customHeight="1">
      <c r="A864" s="119" t="s">
        <v>218</v>
      </c>
      <c r="B864" s="188"/>
      <c r="C864" s="192" t="s">
        <v>272</v>
      </c>
      <c r="D864" s="192" t="s">
        <v>114</v>
      </c>
      <c r="E864" s="192"/>
      <c r="F864" s="242"/>
      <c r="G864" s="161">
        <f>SUM(G867)</f>
        <v>1586.9</v>
      </c>
      <c r="H864" s="22"/>
      <c r="I864" s="22"/>
    </row>
    <row r="865" spans="1:9" ht="15" hidden="1">
      <c r="A865" s="119" t="s">
        <v>345</v>
      </c>
      <c r="B865" s="188"/>
      <c r="C865" s="192" t="s">
        <v>272</v>
      </c>
      <c r="D865" s="192" t="s">
        <v>114</v>
      </c>
      <c r="E865" s="192" t="s">
        <v>346</v>
      </c>
      <c r="F865" s="242"/>
      <c r="G865" s="161">
        <f>SUM(G866)</f>
        <v>0</v>
      </c>
      <c r="H865" s="22">
        <v>340</v>
      </c>
      <c r="I865" s="22" t="e">
        <f>SUM(H865/#REF!*100)</f>
        <v>#REF!</v>
      </c>
    </row>
    <row r="866" spans="1:9" ht="15" hidden="1">
      <c r="A866" s="119" t="s">
        <v>220</v>
      </c>
      <c r="B866" s="188"/>
      <c r="C866" s="192" t="s">
        <v>272</v>
      </c>
      <c r="D866" s="192" t="s">
        <v>114</v>
      </c>
      <c r="E866" s="192" t="s">
        <v>346</v>
      </c>
      <c r="F866" s="242" t="s">
        <v>221</v>
      </c>
      <c r="G866" s="161"/>
      <c r="H866" s="22">
        <v>1424.2</v>
      </c>
      <c r="I866" s="22" t="e">
        <f>SUM(H866/#REF!*100)</f>
        <v>#REF!</v>
      </c>
    </row>
    <row r="867" spans="1:9" ht="31.5" customHeight="1">
      <c r="A867" s="187" t="s">
        <v>583</v>
      </c>
      <c r="B867" s="188"/>
      <c r="C867" s="192" t="s">
        <v>272</v>
      </c>
      <c r="D867" s="192" t="s">
        <v>114</v>
      </c>
      <c r="E867" s="192" t="s">
        <v>584</v>
      </c>
      <c r="F867" s="242"/>
      <c r="G867" s="161">
        <f>SUM(G868)</f>
        <v>1586.9</v>
      </c>
      <c r="H867" s="22"/>
      <c r="I867" s="22"/>
    </row>
    <row r="868" spans="1:9" ht="18" customHeight="1">
      <c r="A868" s="187" t="s">
        <v>88</v>
      </c>
      <c r="B868" s="188"/>
      <c r="C868" s="192" t="s">
        <v>272</v>
      </c>
      <c r="D868" s="192" t="s">
        <v>114</v>
      </c>
      <c r="E868" s="192" t="s">
        <v>585</v>
      </c>
      <c r="F868" s="242"/>
      <c r="G868" s="161">
        <f>SUM(G869)</f>
        <v>1586.9</v>
      </c>
      <c r="H868" s="22"/>
      <c r="I868" s="22"/>
    </row>
    <row r="869" spans="1:9" ht="28.5">
      <c r="A869" s="119" t="s">
        <v>273</v>
      </c>
      <c r="B869" s="188"/>
      <c r="C869" s="192" t="s">
        <v>272</v>
      </c>
      <c r="D869" s="192" t="s">
        <v>114</v>
      </c>
      <c r="E869" s="192" t="s">
        <v>586</v>
      </c>
      <c r="F869" s="242"/>
      <c r="G869" s="161">
        <f>SUM(G870)</f>
        <v>1586.9</v>
      </c>
      <c r="H869" s="22"/>
      <c r="I869" s="22" t="e">
        <f>SUM(H869/#REF!*100)</f>
        <v>#REF!</v>
      </c>
    </row>
    <row r="870" spans="1:9" ht="29.25" thickBot="1">
      <c r="A870" s="119" t="s">
        <v>463</v>
      </c>
      <c r="B870" s="207"/>
      <c r="C870" s="192" t="s">
        <v>272</v>
      </c>
      <c r="D870" s="192" t="s">
        <v>114</v>
      </c>
      <c r="E870" s="192" t="s">
        <v>586</v>
      </c>
      <c r="F870" s="243" t="s">
        <v>461</v>
      </c>
      <c r="G870" s="161">
        <v>1586.9</v>
      </c>
      <c r="H870" s="22"/>
      <c r="I870" s="22" t="e">
        <f>SUM(H870/#REF!*100)</f>
        <v>#REF!</v>
      </c>
    </row>
    <row r="871" spans="1:9" ht="15.75" hidden="1" thickBot="1">
      <c r="A871" s="152" t="s">
        <v>3</v>
      </c>
      <c r="B871" s="188"/>
      <c r="C871" s="192" t="s">
        <v>272</v>
      </c>
      <c r="D871" s="192" t="s">
        <v>414</v>
      </c>
      <c r="E871" s="192" t="s">
        <v>240</v>
      </c>
      <c r="F871" s="241"/>
      <c r="G871" s="161">
        <f>SUM(G872)</f>
        <v>0</v>
      </c>
      <c r="H871" s="22"/>
      <c r="I871" s="22" t="e">
        <f>SUM(H871/#REF!*100)</f>
        <v>#REF!</v>
      </c>
    </row>
    <row r="872" spans="1:9" ht="29.25" hidden="1" thickBot="1">
      <c r="A872" s="187" t="s">
        <v>306</v>
      </c>
      <c r="B872" s="188"/>
      <c r="C872" s="192" t="s">
        <v>272</v>
      </c>
      <c r="D872" s="192" t="s">
        <v>414</v>
      </c>
      <c r="E872" s="192" t="s">
        <v>240</v>
      </c>
      <c r="F872" s="241" t="s">
        <v>241</v>
      </c>
      <c r="G872" s="161"/>
      <c r="H872" s="88"/>
      <c r="I872" s="88" t="e">
        <f>SUM(H872/#REF!*100)</f>
        <v>#REF!</v>
      </c>
    </row>
    <row r="873" spans="1:9" ht="16.5" thickBot="1">
      <c r="A873" s="152" t="s">
        <v>216</v>
      </c>
      <c r="B873" s="196"/>
      <c r="C873" s="192" t="s">
        <v>272</v>
      </c>
      <c r="D873" s="192" t="s">
        <v>272</v>
      </c>
      <c r="E873" s="192"/>
      <c r="F873" s="242"/>
      <c r="G873" s="161">
        <f>SUM(G876)+G881</f>
        <v>13665.500000000002</v>
      </c>
      <c r="H873" s="89" t="e">
        <f>SUM(H11+H35+H54+#REF!+H353+#REF!+H574+#REF!+#REF!+H805)</f>
        <v>#REF!</v>
      </c>
      <c r="I873" s="89" t="e">
        <f>SUM(H873/G884*100)</f>
        <v>#REF!</v>
      </c>
    </row>
    <row r="874" spans="1:9" ht="43.5" hidden="1" thickBot="1">
      <c r="A874" s="152" t="s">
        <v>197</v>
      </c>
      <c r="B874" s="196"/>
      <c r="C874" s="192" t="s">
        <v>272</v>
      </c>
      <c r="D874" s="192" t="s">
        <v>272</v>
      </c>
      <c r="E874" s="192" t="s">
        <v>198</v>
      </c>
      <c r="F874" s="242"/>
      <c r="G874" s="161">
        <f>SUM(G875)</f>
        <v>0</v>
      </c>
      <c r="H874" s="90">
        <f>-76000-174.5-350</f>
        <v>-76524.5</v>
      </c>
      <c r="I874" s="90">
        <f>-76000-174.5-350</f>
        <v>-76524.5</v>
      </c>
    </row>
    <row r="875" spans="1:7" ht="15" hidden="1">
      <c r="A875" s="119" t="s">
        <v>148</v>
      </c>
      <c r="B875" s="196"/>
      <c r="C875" s="192" t="s">
        <v>272</v>
      </c>
      <c r="D875" s="192" t="s">
        <v>272</v>
      </c>
      <c r="E875" s="192" t="s">
        <v>198</v>
      </c>
      <c r="F875" s="242" t="s">
        <v>78</v>
      </c>
      <c r="G875" s="161"/>
    </row>
    <row r="876" spans="1:7" ht="28.5">
      <c r="A876" s="187" t="s">
        <v>583</v>
      </c>
      <c r="B876" s="188"/>
      <c r="C876" s="192" t="s">
        <v>272</v>
      </c>
      <c r="D876" s="192" t="s">
        <v>272</v>
      </c>
      <c r="E876" s="192" t="s">
        <v>584</v>
      </c>
      <c r="F876" s="242"/>
      <c r="G876" s="161">
        <f>SUM(G877)</f>
        <v>12873.800000000001</v>
      </c>
    </row>
    <row r="877" spans="1:7" ht="28.5">
      <c r="A877" s="187" t="s">
        <v>51</v>
      </c>
      <c r="B877" s="188"/>
      <c r="C877" s="192" t="s">
        <v>272</v>
      </c>
      <c r="D877" s="192" t="s">
        <v>272</v>
      </c>
      <c r="E877" s="192" t="s">
        <v>587</v>
      </c>
      <c r="F877" s="242"/>
      <c r="G877" s="161">
        <f>SUM(G878:G880)</f>
        <v>12873.800000000001</v>
      </c>
    </row>
    <row r="878" spans="1:7" ht="28.5">
      <c r="A878" s="187" t="s">
        <v>444</v>
      </c>
      <c r="B878" s="188"/>
      <c r="C878" s="192" t="s">
        <v>272</v>
      </c>
      <c r="D878" s="192" t="s">
        <v>272</v>
      </c>
      <c r="E878" s="192" t="s">
        <v>587</v>
      </c>
      <c r="F878" s="241" t="s">
        <v>445</v>
      </c>
      <c r="G878" s="161">
        <v>11364.4</v>
      </c>
    </row>
    <row r="879" spans="1:7" ht="28.5">
      <c r="A879" s="187" t="s">
        <v>697</v>
      </c>
      <c r="B879" s="188"/>
      <c r="C879" s="192" t="s">
        <v>272</v>
      </c>
      <c r="D879" s="192" t="s">
        <v>272</v>
      </c>
      <c r="E879" s="192" t="s">
        <v>587</v>
      </c>
      <c r="F879" s="241" t="s">
        <v>112</v>
      </c>
      <c r="G879" s="169">
        <v>1463.2</v>
      </c>
    </row>
    <row r="880" spans="1:7" ht="15">
      <c r="A880" s="268" t="s">
        <v>450</v>
      </c>
      <c r="B880" s="269"/>
      <c r="C880" s="270" t="s">
        <v>272</v>
      </c>
      <c r="D880" s="270" t="s">
        <v>272</v>
      </c>
      <c r="E880" s="270" t="s">
        <v>587</v>
      </c>
      <c r="F880" s="271" t="s">
        <v>160</v>
      </c>
      <c r="G880" s="358">
        <v>46.2</v>
      </c>
    </row>
    <row r="881" spans="1:7" ht="15">
      <c r="A881" s="119" t="s">
        <v>120</v>
      </c>
      <c r="B881" s="188"/>
      <c r="C881" s="270" t="s">
        <v>272</v>
      </c>
      <c r="D881" s="270" t="s">
        <v>272</v>
      </c>
      <c r="E881" s="192" t="s">
        <v>121</v>
      </c>
      <c r="F881" s="242"/>
      <c r="G881" s="180">
        <f>SUM(G882)</f>
        <v>791.7</v>
      </c>
    </row>
    <row r="882" spans="1:7" ht="28.5">
      <c r="A882" s="354" t="s">
        <v>675</v>
      </c>
      <c r="B882" s="355"/>
      <c r="C882" s="270" t="s">
        <v>272</v>
      </c>
      <c r="D882" s="270" t="s">
        <v>272</v>
      </c>
      <c r="E882" s="192" t="s">
        <v>676</v>
      </c>
      <c r="F882" s="356"/>
      <c r="G882" s="357">
        <f>SUM(G883)</f>
        <v>791.7</v>
      </c>
    </row>
    <row r="883" spans="1:7" ht="36" customHeight="1" thickBot="1">
      <c r="A883" s="119" t="s">
        <v>463</v>
      </c>
      <c r="B883" s="188"/>
      <c r="C883" s="192" t="s">
        <v>272</v>
      </c>
      <c r="D883" s="192" t="s">
        <v>272</v>
      </c>
      <c r="E883" s="192" t="s">
        <v>676</v>
      </c>
      <c r="F883" s="242" t="s">
        <v>461</v>
      </c>
      <c r="G883" s="161">
        <v>791.7</v>
      </c>
    </row>
    <row r="884" spans="1:11" ht="25.5" customHeight="1" thickBot="1">
      <c r="A884" s="217" t="s">
        <v>157</v>
      </c>
      <c r="B884" s="218"/>
      <c r="C884" s="219"/>
      <c r="D884" s="219"/>
      <c r="E884" s="219"/>
      <c r="F884" s="272"/>
      <c r="G884" s="178">
        <f>SUM(G11+G35+G54+G314+G360+G554+G594+G728+G833)</f>
        <v>3454603.8</v>
      </c>
      <c r="K884" s="151"/>
    </row>
    <row r="885" ht="12.75" customHeight="1">
      <c r="G885" s="115"/>
    </row>
    <row r="886" ht="15">
      <c r="G886" s="121"/>
    </row>
    <row r="887" ht="3.75" customHeight="1"/>
    <row r="888" ht="15" hidden="1">
      <c r="G888" s="116">
        <f>SUM(G884-G886)</f>
        <v>3454603.8</v>
      </c>
    </row>
    <row r="889" ht="15" hidden="1">
      <c r="G889" s="117">
        <f>SUM(G884-2951239.5)</f>
        <v>503364.2999999998</v>
      </c>
    </row>
  </sheetData>
  <sheetProtection/>
  <mergeCells count="3">
    <mergeCell ref="F5:G5"/>
    <mergeCell ref="A9:A10"/>
    <mergeCell ref="B2:D2"/>
  </mergeCells>
  <printOptions/>
  <pageMargins left="1.062992125984252" right="0.15748031496062992" top="0.15748031496062992" bottom="0.03937007874015748" header="0.5118110236220472" footer="0.2362204724409449"/>
  <pageSetup fitToHeight="12" fitToWidth="1" horizontalDpi="600" verticalDpi="600" orientation="portrait" paperSize="9" scale="63" r:id="rId1"/>
  <ignoredErrors>
    <ignoredError sqref="B11 C12:C14 D13:D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63.125" style="80" customWidth="1"/>
    <col min="2" max="2" width="15.00390625" style="80" customWidth="1"/>
    <col min="3" max="3" width="13.25390625" style="80" customWidth="1"/>
    <col min="4" max="4" width="13.00390625" style="80" customWidth="1"/>
    <col min="5" max="16384" width="9.125" style="80" customWidth="1"/>
  </cols>
  <sheetData>
    <row r="1" spans="3:4" ht="12.75">
      <c r="C1" s="81" t="s">
        <v>749</v>
      </c>
      <c r="D1" s="82"/>
    </row>
    <row r="2" spans="3:4" ht="12.75">
      <c r="C2" s="80" t="s">
        <v>754</v>
      </c>
      <c r="D2" s="82"/>
    </row>
    <row r="3" spans="3:4" ht="12.75">
      <c r="C3" s="80" t="s">
        <v>243</v>
      </c>
      <c r="D3" s="82"/>
    </row>
    <row r="4" spans="3:4" ht="12.75">
      <c r="C4" s="80" t="s">
        <v>244</v>
      </c>
      <c r="D4" s="82"/>
    </row>
    <row r="5" spans="3:4" ht="12.75" customHeight="1">
      <c r="C5" s="412" t="s">
        <v>756</v>
      </c>
      <c r="D5" s="412"/>
    </row>
    <row r="7" spans="1:4" ht="33.75" customHeight="1">
      <c r="A7" s="419" t="s">
        <v>701</v>
      </c>
      <c r="B7" s="419"/>
      <c r="C7" s="419"/>
      <c r="D7" s="419"/>
    </row>
    <row r="9" ht="13.5" thickBot="1">
      <c r="D9" s="80" t="s">
        <v>702</v>
      </c>
    </row>
    <row r="10" spans="1:4" s="366" customFormat="1" ht="15" thickBot="1">
      <c r="A10" s="420" t="s">
        <v>703</v>
      </c>
      <c r="B10" s="422" t="s">
        <v>704</v>
      </c>
      <c r="C10" s="423"/>
      <c r="D10" s="424"/>
    </row>
    <row r="11" spans="1:4" s="366" customFormat="1" ht="15" thickBot="1">
      <c r="A11" s="421"/>
      <c r="B11" s="367" t="s">
        <v>705</v>
      </c>
      <c r="C11" s="367" t="s">
        <v>706</v>
      </c>
      <c r="D11" s="367" t="s">
        <v>707</v>
      </c>
    </row>
    <row r="12" spans="1:4" s="366" customFormat="1" ht="28.5">
      <c r="A12" s="368" t="s">
        <v>708</v>
      </c>
      <c r="B12" s="369"/>
      <c r="C12" s="369"/>
      <c r="D12" s="369"/>
    </row>
    <row r="13" spans="1:4" s="366" customFormat="1" ht="14.25">
      <c r="A13" s="370" t="s">
        <v>709</v>
      </c>
      <c r="B13" s="371">
        <v>2010.2</v>
      </c>
      <c r="C13" s="372"/>
      <c r="D13" s="372"/>
    </row>
    <row r="14" spans="1:4" s="366" customFormat="1" ht="14.25">
      <c r="A14" s="373" t="s">
        <v>710</v>
      </c>
      <c r="B14" s="374">
        <v>1500</v>
      </c>
      <c r="C14" s="387">
        <v>889.5</v>
      </c>
      <c r="D14" s="375"/>
    </row>
    <row r="15" spans="1:4" s="366" customFormat="1" ht="14.25">
      <c r="A15" s="368" t="s">
        <v>711</v>
      </c>
      <c r="B15" s="376">
        <v>500</v>
      </c>
      <c r="C15" s="369"/>
      <c r="D15" s="369"/>
    </row>
    <row r="16" spans="1:4" s="366" customFormat="1" ht="14.25" customHeight="1" thickBot="1">
      <c r="A16" s="370" t="s">
        <v>712</v>
      </c>
      <c r="B16" s="371"/>
      <c r="C16" s="372"/>
      <c r="D16" s="372"/>
    </row>
    <row r="17" spans="1:4" s="366" customFormat="1" ht="14.25" customHeight="1" hidden="1" thickBot="1">
      <c r="A17" s="368" t="s">
        <v>713</v>
      </c>
      <c r="B17" s="376"/>
      <c r="C17" s="369"/>
      <c r="D17" s="369"/>
    </row>
    <row r="18" spans="1:4" s="366" customFormat="1" ht="15" hidden="1" thickBot="1">
      <c r="A18" s="368" t="s">
        <v>712</v>
      </c>
      <c r="B18" s="376"/>
      <c r="C18" s="369"/>
      <c r="D18" s="369"/>
    </row>
    <row r="19" spans="1:4" s="366" customFormat="1" ht="19.5" customHeight="1" thickBot="1">
      <c r="A19" s="377" t="s">
        <v>714</v>
      </c>
      <c r="B19" s="378">
        <f>SUM(B13:B17)</f>
        <v>4010.2</v>
      </c>
      <c r="C19" s="378">
        <f>SUM(C13:C17)</f>
        <v>889.5</v>
      </c>
      <c r="D19" s="378">
        <v>0</v>
      </c>
    </row>
    <row r="20" spans="1:4" s="366" customFormat="1" ht="57">
      <c r="A20" s="368" t="s">
        <v>715</v>
      </c>
      <c r="B20" s="376"/>
      <c r="C20" s="379"/>
      <c r="D20" s="379"/>
    </row>
    <row r="21" spans="1:4" s="366" customFormat="1" ht="14.25">
      <c r="A21" s="370" t="s">
        <v>716</v>
      </c>
      <c r="B21" s="371">
        <v>5530.7</v>
      </c>
      <c r="C21" s="380"/>
      <c r="D21" s="380"/>
    </row>
    <row r="22" spans="1:4" s="366" customFormat="1" ht="28.5">
      <c r="A22" s="373" t="s">
        <v>717</v>
      </c>
      <c r="B22" s="374">
        <v>1500</v>
      </c>
      <c r="C22" s="381"/>
      <c r="D22" s="381"/>
    </row>
    <row r="23" spans="1:4" s="366" customFormat="1" ht="29.25" thickBot="1">
      <c r="A23" s="368" t="s">
        <v>718</v>
      </c>
      <c r="B23" s="376">
        <v>100</v>
      </c>
      <c r="C23" s="379"/>
      <c r="D23" s="379"/>
    </row>
    <row r="24" spans="1:4" s="366" customFormat="1" ht="21" customHeight="1" thickBot="1">
      <c r="A24" s="382" t="s">
        <v>714</v>
      </c>
      <c r="B24" s="383">
        <f>SUM(B21:B23)</f>
        <v>7130.7</v>
      </c>
      <c r="C24" s="378">
        <v>0</v>
      </c>
      <c r="D24" s="378">
        <v>0</v>
      </c>
    </row>
    <row r="25" spans="1:4" s="366" customFormat="1" ht="70.5" customHeight="1">
      <c r="A25" s="368" t="s">
        <v>720</v>
      </c>
      <c r="B25" s="376"/>
      <c r="C25" s="379"/>
      <c r="D25" s="379"/>
    </row>
    <row r="26" spans="1:4" s="366" customFormat="1" ht="45" customHeight="1" thickBot="1">
      <c r="A26" s="370" t="s">
        <v>721</v>
      </c>
      <c r="B26" s="371">
        <v>896.4</v>
      </c>
      <c r="C26" s="380"/>
      <c r="D26" s="380"/>
    </row>
    <row r="27" spans="1:4" s="366" customFormat="1" ht="15.75" customHeight="1" thickBot="1">
      <c r="A27" s="382" t="s">
        <v>714</v>
      </c>
      <c r="B27" s="378">
        <f>SUM(B26)</f>
        <v>896.4</v>
      </c>
      <c r="C27" s="378">
        <f>SUM(C26)</f>
        <v>0</v>
      </c>
      <c r="D27" s="378">
        <f>SUM(D26)</f>
        <v>0</v>
      </c>
    </row>
    <row r="28" spans="1:4" s="366" customFormat="1" ht="45" customHeight="1">
      <c r="A28" s="388" t="s">
        <v>722</v>
      </c>
      <c r="B28" s="374"/>
      <c r="C28" s="381"/>
      <c r="D28" s="381"/>
    </row>
    <row r="29" spans="1:4" s="366" customFormat="1" ht="36.75" customHeight="1" thickBot="1">
      <c r="A29" s="368" t="s">
        <v>723</v>
      </c>
      <c r="B29" s="376">
        <v>31300</v>
      </c>
      <c r="C29" s="379"/>
      <c r="D29" s="379"/>
    </row>
    <row r="30" spans="1:4" s="366" customFormat="1" ht="21" customHeight="1" thickBot="1">
      <c r="A30" s="382" t="s">
        <v>714</v>
      </c>
      <c r="B30" s="378">
        <f>SUM(B29)</f>
        <v>31300</v>
      </c>
      <c r="C30" s="378">
        <f>SUM(C29)</f>
        <v>0</v>
      </c>
      <c r="D30" s="378">
        <f>SUM(D29)</f>
        <v>0</v>
      </c>
    </row>
    <row r="31" spans="1:4" s="366" customFormat="1" ht="15" thickBot="1">
      <c r="A31" s="384" t="s">
        <v>719</v>
      </c>
      <c r="B31" s="385">
        <f>SUM(B19+B24+B27+B30)</f>
        <v>43337.3</v>
      </c>
      <c r="C31" s="385">
        <f>SUM(C19+C24+C27+C30)</f>
        <v>889.5</v>
      </c>
      <c r="D31" s="385">
        <f>SUM(D19+D24+D27+D30)</f>
        <v>0</v>
      </c>
    </row>
    <row r="32" ht="16.5">
      <c r="A32" s="386"/>
    </row>
  </sheetData>
  <sheetProtection/>
  <mergeCells count="4">
    <mergeCell ref="C5:D5"/>
    <mergeCell ref="A7:D7"/>
    <mergeCell ref="A10:A11"/>
    <mergeCell ref="B10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30.625" style="41" customWidth="1"/>
    <col min="2" max="2" width="57.75390625" style="44" customWidth="1"/>
    <col min="3" max="3" width="18.875" style="45" hidden="1" customWidth="1"/>
    <col min="4" max="4" width="12.25390625" style="42" hidden="1" customWidth="1"/>
    <col min="5" max="5" width="21.25390625" style="45" customWidth="1"/>
    <col min="6" max="6" width="17.625" style="42" hidden="1" customWidth="1"/>
    <col min="7" max="7" width="10.125" style="42" hidden="1" customWidth="1"/>
    <col min="8" max="16384" width="9.125" style="42" customWidth="1"/>
  </cols>
  <sheetData>
    <row r="1" spans="2:5" ht="12.75">
      <c r="B1" s="145"/>
      <c r="C1" s="145" t="s">
        <v>435</v>
      </c>
      <c r="D1" s="145"/>
      <c r="E1" s="71" t="s">
        <v>750</v>
      </c>
    </row>
    <row r="2" spans="2:5" ht="12" customHeight="1">
      <c r="B2" s="43"/>
      <c r="C2" s="43" t="s">
        <v>242</v>
      </c>
      <c r="D2" s="145"/>
      <c r="E2" s="43" t="s">
        <v>754</v>
      </c>
    </row>
    <row r="3" spans="1:5" ht="15.75" customHeight="1">
      <c r="A3" s="68"/>
      <c r="B3" s="43"/>
      <c r="C3" s="43" t="s">
        <v>243</v>
      </c>
      <c r="D3" s="145"/>
      <c r="E3" s="43" t="s">
        <v>243</v>
      </c>
    </row>
    <row r="4" spans="3:5" ht="15">
      <c r="C4" s="43" t="s">
        <v>244</v>
      </c>
      <c r="D4" s="145"/>
      <c r="E4" s="43" t="s">
        <v>244</v>
      </c>
    </row>
    <row r="5" spans="3:6" ht="19.5" customHeight="1">
      <c r="C5" s="412" t="s">
        <v>553</v>
      </c>
      <c r="D5" s="412"/>
      <c r="E5" s="432" t="s">
        <v>755</v>
      </c>
      <c r="F5" s="432"/>
    </row>
    <row r="6" spans="1:5" ht="74.25" customHeight="1">
      <c r="A6" s="426" t="s">
        <v>581</v>
      </c>
      <c r="B6" s="427"/>
      <c r="C6" s="427"/>
      <c r="E6" s="42"/>
    </row>
    <row r="7" spans="1:2" s="45" customFormat="1" ht="15">
      <c r="A7" s="41"/>
      <c r="B7" s="44"/>
    </row>
    <row r="8" spans="1:5" s="45" customFormat="1" ht="12.75" customHeight="1">
      <c r="A8" s="428" t="s">
        <v>58</v>
      </c>
      <c r="B8" s="431" t="s">
        <v>9</v>
      </c>
      <c r="C8" s="425" t="s">
        <v>10</v>
      </c>
      <c r="D8" s="425" t="s">
        <v>10</v>
      </c>
      <c r="E8" s="425" t="s">
        <v>10</v>
      </c>
    </row>
    <row r="9" spans="1:5" s="45" customFormat="1" ht="11.25" customHeight="1">
      <c r="A9" s="429"/>
      <c r="B9" s="431"/>
      <c r="C9" s="425"/>
      <c r="D9" s="425"/>
      <c r="E9" s="425"/>
    </row>
    <row r="10" spans="1:5" s="146" customFormat="1" ht="37.5" customHeight="1">
      <c r="A10" s="430"/>
      <c r="B10" s="431"/>
      <c r="C10" s="425"/>
      <c r="D10" s="425"/>
      <c r="E10" s="425"/>
    </row>
    <row r="11" spans="1:6" s="51" customFormat="1" ht="30" customHeight="1">
      <c r="A11" s="46" t="s">
        <v>11</v>
      </c>
      <c r="B11" s="53" t="s">
        <v>693</v>
      </c>
      <c r="C11" s="144">
        <f>C12+C18+C23+C28</f>
        <v>73995.59999999998</v>
      </c>
      <c r="D11" s="48">
        <f>D12+D18+D23+D28</f>
        <v>98939.79999999999</v>
      </c>
      <c r="E11" s="144">
        <f>E12+E18+E28+E23</f>
        <v>55015.799999999996</v>
      </c>
      <c r="F11" s="51">
        <v>73995.6</v>
      </c>
    </row>
    <row r="12" spans="1:5" s="51" customFormat="1" ht="30" customHeight="1">
      <c r="A12" s="46" t="s">
        <v>27</v>
      </c>
      <c r="B12" s="150" t="s">
        <v>28</v>
      </c>
      <c r="C12" s="144">
        <f>SUM(C13-C15)</f>
        <v>73995.59999999998</v>
      </c>
      <c r="D12" s="48">
        <f>SUM(D13-D15)</f>
        <v>148939.8</v>
      </c>
      <c r="E12" s="144">
        <f>SUM(E13-E15)</f>
        <v>79119.4</v>
      </c>
    </row>
    <row r="13" spans="1:7" s="51" customFormat="1" ht="33" customHeight="1">
      <c r="A13" s="46" t="s">
        <v>29</v>
      </c>
      <c r="B13" s="47" t="s">
        <v>30</v>
      </c>
      <c r="C13" s="144">
        <f>SUM(C14)</f>
        <v>291614.1</v>
      </c>
      <c r="D13" s="48">
        <f>259071.6+50000</f>
        <v>309071.6</v>
      </c>
      <c r="E13" s="144">
        <f>SUM(E14)</f>
        <v>246737.9</v>
      </c>
      <c r="G13" s="147">
        <f>SUM(C13+C19)</f>
        <v>291614.1</v>
      </c>
    </row>
    <row r="14" spans="1:5" s="51" customFormat="1" ht="50.25" customHeight="1">
      <c r="A14" s="46" t="s">
        <v>31</v>
      </c>
      <c r="B14" s="58" t="s">
        <v>554</v>
      </c>
      <c r="C14" s="144">
        <f>223995.6-15000+82618.5</f>
        <v>291614.1</v>
      </c>
      <c r="D14" s="48">
        <v>100580.5</v>
      </c>
      <c r="E14" s="144">
        <v>246737.9</v>
      </c>
    </row>
    <row r="15" spans="1:5" s="51" customFormat="1" ht="49.5" customHeight="1">
      <c r="A15" s="46" t="s">
        <v>32</v>
      </c>
      <c r="B15" s="73" t="s">
        <v>307</v>
      </c>
      <c r="C15" s="144">
        <f>SUM(C16)</f>
        <v>217618.5</v>
      </c>
      <c r="D15" s="48">
        <v>160131.8</v>
      </c>
      <c r="E15" s="144">
        <f>SUM(E16)</f>
        <v>167618.5</v>
      </c>
    </row>
    <row r="16" spans="1:5" s="51" customFormat="1" ht="46.5" customHeight="1">
      <c r="A16" s="46" t="s">
        <v>308</v>
      </c>
      <c r="B16" s="58" t="s">
        <v>555</v>
      </c>
      <c r="C16" s="144">
        <v>217618.5</v>
      </c>
      <c r="D16" s="48">
        <v>60000</v>
      </c>
      <c r="E16" s="144">
        <v>167618.5</v>
      </c>
    </row>
    <row r="17" spans="1:5" s="51" customFormat="1" ht="46.5" customHeight="1">
      <c r="A17" s="46" t="s">
        <v>694</v>
      </c>
      <c r="B17" s="73" t="s">
        <v>695</v>
      </c>
      <c r="C17" s="144"/>
      <c r="D17" s="48"/>
      <c r="E17" s="144">
        <f>E18</f>
        <v>-45000</v>
      </c>
    </row>
    <row r="18" spans="1:5" s="51" customFormat="1" ht="49.5" customHeight="1">
      <c r="A18" s="46" t="s">
        <v>558</v>
      </c>
      <c r="B18" s="49" t="s">
        <v>696</v>
      </c>
      <c r="C18" s="144">
        <f>SUM(C19)-C21</f>
        <v>-15000</v>
      </c>
      <c r="D18" s="48">
        <f>SUM(D19)-D21</f>
        <v>-50000</v>
      </c>
      <c r="E18" s="144">
        <f>SUM(E19)-E21</f>
        <v>-45000</v>
      </c>
    </row>
    <row r="19" spans="1:5" s="51" customFormat="1" ht="45" customHeight="1" hidden="1">
      <c r="A19" s="46" t="s">
        <v>309</v>
      </c>
      <c r="B19" s="50" t="s">
        <v>310</v>
      </c>
      <c r="C19" s="144"/>
      <c r="D19" s="48"/>
      <c r="E19" s="144"/>
    </row>
    <row r="20" spans="1:5" s="51" customFormat="1" ht="20.25" customHeight="1" hidden="1">
      <c r="A20" s="46" t="s">
        <v>391</v>
      </c>
      <c r="B20" s="49" t="s">
        <v>158</v>
      </c>
      <c r="C20" s="144"/>
      <c r="D20" s="48"/>
      <c r="E20" s="144"/>
    </row>
    <row r="21" spans="1:5" s="51" customFormat="1" ht="49.5" customHeight="1">
      <c r="A21" s="46" t="s">
        <v>559</v>
      </c>
      <c r="B21" s="52" t="s">
        <v>392</v>
      </c>
      <c r="C21" s="144">
        <v>15000</v>
      </c>
      <c r="D21" s="48">
        <v>50000</v>
      </c>
      <c r="E21" s="144">
        <f>SUM(E22)</f>
        <v>45000</v>
      </c>
    </row>
    <row r="22" spans="1:5" s="51" customFormat="1" ht="66.75" customHeight="1">
      <c r="A22" s="46" t="s">
        <v>560</v>
      </c>
      <c r="B22" s="58" t="s">
        <v>557</v>
      </c>
      <c r="C22" s="144">
        <v>15000</v>
      </c>
      <c r="D22" s="48"/>
      <c r="E22" s="144">
        <f>35000+10000</f>
        <v>45000</v>
      </c>
    </row>
    <row r="23" spans="1:5" s="51" customFormat="1" ht="31.5" customHeight="1">
      <c r="A23" s="46" t="s">
        <v>311</v>
      </c>
      <c r="B23" s="53" t="s">
        <v>556</v>
      </c>
      <c r="C23" s="144">
        <f aca="true" t="shared" si="0" ref="C23:E26">SUM(C24)</f>
        <v>15000</v>
      </c>
      <c r="D23" s="48">
        <f t="shared" si="0"/>
        <v>0</v>
      </c>
      <c r="E23" s="144">
        <f>SUM(E24)</f>
        <v>20896.4</v>
      </c>
    </row>
    <row r="24" spans="1:5" s="51" customFormat="1" ht="32.25" customHeight="1">
      <c r="A24" s="46" t="s">
        <v>312</v>
      </c>
      <c r="B24" s="53" t="s">
        <v>313</v>
      </c>
      <c r="C24" s="144">
        <f>SUM(C25)</f>
        <v>15000</v>
      </c>
      <c r="D24" s="48">
        <f t="shared" si="0"/>
        <v>0</v>
      </c>
      <c r="E24" s="144">
        <f>SUM(E25)</f>
        <v>20896.4</v>
      </c>
    </row>
    <row r="25" spans="1:5" s="51" customFormat="1" ht="31.5" customHeight="1">
      <c r="A25" s="46" t="s">
        <v>314</v>
      </c>
      <c r="B25" s="53" t="s">
        <v>315</v>
      </c>
      <c r="C25" s="144">
        <f>SUM(C26)</f>
        <v>15000</v>
      </c>
      <c r="D25" s="48">
        <f t="shared" si="0"/>
        <v>0</v>
      </c>
      <c r="E25" s="144">
        <f>SUM(E26)</f>
        <v>20896.4</v>
      </c>
    </row>
    <row r="26" spans="1:5" s="51" customFormat="1" ht="32.25" customHeight="1">
      <c r="A26" s="46" t="s">
        <v>316</v>
      </c>
      <c r="B26" s="53" t="s">
        <v>317</v>
      </c>
      <c r="C26" s="144">
        <f t="shared" si="0"/>
        <v>15000</v>
      </c>
      <c r="D26" s="48">
        <f t="shared" si="0"/>
        <v>0</v>
      </c>
      <c r="E26" s="144">
        <f t="shared" si="0"/>
        <v>20896.4</v>
      </c>
    </row>
    <row r="27" spans="1:5" s="51" customFormat="1" ht="38.25" customHeight="1">
      <c r="A27" s="46" t="s">
        <v>318</v>
      </c>
      <c r="B27" s="53" t="s">
        <v>319</v>
      </c>
      <c r="C27" s="144">
        <v>15000</v>
      </c>
      <c r="D27" s="48"/>
      <c r="E27" s="144">
        <f>20000+896.4</f>
        <v>20896.4</v>
      </c>
    </row>
    <row r="28" spans="1:7" ht="35.25" customHeight="1">
      <c r="A28" s="54" t="s">
        <v>320</v>
      </c>
      <c r="B28" s="148" t="s">
        <v>161</v>
      </c>
      <c r="C28" s="56">
        <f>C29+C32</f>
        <v>0</v>
      </c>
      <c r="D28" s="56">
        <f>D29+D32</f>
        <v>0</v>
      </c>
      <c r="E28" s="364">
        <f>E29+E32</f>
        <v>0</v>
      </c>
      <c r="F28" s="51"/>
      <c r="G28" s="51"/>
    </row>
    <row r="29" spans="1:7" ht="30.75" customHeight="1" hidden="1">
      <c r="A29" s="54" t="s">
        <v>321</v>
      </c>
      <c r="B29" s="55" t="s">
        <v>322</v>
      </c>
      <c r="C29" s="56">
        <f>SUM(C30)</f>
        <v>0</v>
      </c>
      <c r="D29" s="56">
        <f>SUM(D30)</f>
        <v>0</v>
      </c>
      <c r="E29" s="364">
        <f>SUM(E30)</f>
        <v>0</v>
      </c>
      <c r="F29" s="51"/>
      <c r="G29" s="51"/>
    </row>
    <row r="30" spans="1:7" ht="123.75" customHeight="1" hidden="1">
      <c r="A30" s="54" t="s">
        <v>323</v>
      </c>
      <c r="B30" s="57" t="s">
        <v>209</v>
      </c>
      <c r="C30" s="56"/>
      <c r="D30" s="56">
        <f>SUM(D31)</f>
        <v>0</v>
      </c>
      <c r="E30" s="364"/>
      <c r="F30" s="51"/>
      <c r="G30" s="51"/>
    </row>
    <row r="31" spans="1:7" ht="110.25" customHeight="1" hidden="1">
      <c r="A31" s="54" t="s">
        <v>210</v>
      </c>
      <c r="B31" s="58" t="s">
        <v>281</v>
      </c>
      <c r="C31" s="56">
        <v>-10000</v>
      </c>
      <c r="D31" s="56"/>
      <c r="E31" s="364"/>
      <c r="F31" s="51"/>
      <c r="G31" s="51"/>
    </row>
    <row r="32" spans="1:7" ht="30" customHeight="1" hidden="1">
      <c r="A32" s="54" t="s">
        <v>282</v>
      </c>
      <c r="B32" s="55" t="s">
        <v>283</v>
      </c>
      <c r="C32" s="56">
        <f>SUM(C33)</f>
        <v>0</v>
      </c>
      <c r="D32" s="56">
        <f>SUM(D33)</f>
        <v>0</v>
      </c>
      <c r="E32" s="364">
        <f>SUM(E33)</f>
        <v>0</v>
      </c>
      <c r="F32" s="51"/>
      <c r="G32" s="51"/>
    </row>
    <row r="33" spans="1:7" ht="30" customHeight="1" hidden="1">
      <c r="A33" s="54" t="s">
        <v>284</v>
      </c>
      <c r="B33" s="55" t="s">
        <v>285</v>
      </c>
      <c r="C33" s="56"/>
      <c r="D33" s="56">
        <f>SUM(D34)</f>
        <v>0</v>
      </c>
      <c r="E33" s="364"/>
      <c r="F33" s="51"/>
      <c r="G33" s="51"/>
    </row>
    <row r="34" spans="1:7" ht="45" hidden="1">
      <c r="A34" s="54" t="s">
        <v>286</v>
      </c>
      <c r="B34" s="58" t="s">
        <v>287</v>
      </c>
      <c r="C34" s="56">
        <v>10000</v>
      </c>
      <c r="D34" s="56"/>
      <c r="E34" s="364"/>
      <c r="F34" s="51"/>
      <c r="G34" s="51"/>
    </row>
    <row r="35" spans="1:7" ht="30">
      <c r="A35" s="54" t="s">
        <v>700</v>
      </c>
      <c r="B35" s="361" t="s">
        <v>699</v>
      </c>
      <c r="C35" s="362"/>
      <c r="D35" s="363"/>
      <c r="E35" s="365">
        <v>0</v>
      </c>
      <c r="F35" s="51"/>
      <c r="G35" s="51"/>
    </row>
  </sheetData>
  <sheetProtection/>
  <mergeCells count="8">
    <mergeCell ref="E8:E10"/>
    <mergeCell ref="C5:D5"/>
    <mergeCell ref="A6:C6"/>
    <mergeCell ref="A8:A10"/>
    <mergeCell ref="B8:B10"/>
    <mergeCell ref="C8:C10"/>
    <mergeCell ref="D8:D10"/>
    <mergeCell ref="E5:F5"/>
  </mergeCells>
  <printOptions/>
  <pageMargins left="1.1023622047244095" right="0.31496062992125984" top="0.7480314960629921" bottom="0.15748031496062992" header="0.31496062992125984" footer="0.31496062992125984"/>
  <pageSetup fitToHeight="3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2015-04-21T07:41:50Z</cp:lastPrinted>
  <dcterms:created xsi:type="dcterms:W3CDTF">2010-10-13T06:28:56Z</dcterms:created>
  <dcterms:modified xsi:type="dcterms:W3CDTF">2015-04-27T09:57:49Z</dcterms:modified>
  <cp:category/>
  <cp:version/>
  <cp:contentType/>
  <cp:contentStatus/>
</cp:coreProperties>
</file>