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8910" activeTab="0"/>
  </bookViews>
  <sheets>
    <sheet name="функцион.2016-17" sheetId="1" r:id="rId1"/>
    <sheet name="ведомствен.2016-201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<sst xmlns="http://schemas.openxmlformats.org/spreadsheetml/2006/main" count="6389" uniqueCount="679">
  <si>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</si>
  <si>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</si>
  <si>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</si>
  <si>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</si>
  <si>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</si>
  <si>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</si>
  <si>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</si>
  <si>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</si>
  <si>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</si>
  <si>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795 00 28</t>
  </si>
  <si>
    <t>795 00 29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</si>
  <si>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</si>
  <si>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</si>
  <si>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</si>
  <si>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</si>
  <si>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</si>
  <si>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</si>
  <si>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</si>
  <si>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</si>
  <si>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</si>
  <si>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</si>
  <si>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</si>
  <si>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</si>
  <si>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</si>
  <si>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</si>
  <si>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</si>
  <si>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</si>
  <si>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</si>
  <si>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</si>
  <si>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</si>
  <si>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</si>
  <si>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</si>
  <si>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</si>
  <si>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</si>
  <si>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</si>
  <si>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</si>
  <si>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</si>
  <si>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</si>
  <si>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</si>
  <si>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</si>
  <si>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</si>
  <si>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</si>
  <si>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</si>
  <si>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</si>
  <si>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</si>
  <si>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</si>
  <si>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</si>
  <si>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</si>
  <si>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</si>
  <si>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</si>
  <si>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</si>
  <si>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</si>
  <si>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</si>
  <si>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</si>
  <si>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</si>
  <si>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</si>
  <si>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</si>
  <si>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</si>
  <si>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</si>
  <si>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</si>
  <si>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</si>
  <si>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</si>
  <si>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</si>
  <si>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</si>
  <si>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</si>
  <si>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</si>
  <si>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</si>
  <si>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</si>
  <si>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</si>
  <si>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</si>
  <si>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</si>
  <si>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</si>
  <si>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</si>
  <si>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423 82 70</t>
  </si>
  <si>
    <t>441 82 00</t>
  </si>
  <si>
    <t>441 82 10</t>
  </si>
  <si>
    <t>612</t>
  </si>
  <si>
    <t>478 82 00</t>
  </si>
  <si>
    <t>420 82 00</t>
  </si>
  <si>
    <t>420 82 10</t>
  </si>
  <si>
    <t>421 82 00</t>
  </si>
  <si>
    <t>421 82 10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</si>
  <si>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</si>
  <si>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</si>
  <si>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</si>
  <si>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</si>
  <si>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</si>
  <si>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</si>
  <si>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</si>
  <si>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</si>
  <si>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</si>
  <si>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</si>
  <si>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</si>
  <si>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</si>
  <si>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</si>
  <si>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</si>
  <si>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</si>
  <si>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</si>
  <si>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</si>
  <si>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</si>
  <si>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</si>
  <si>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</si>
  <si>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</si>
  <si>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</si>
  <si>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</si>
  <si>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</si>
  <si>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</si>
  <si>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</si>
  <si>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</si>
  <si>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</si>
  <si>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</si>
  <si>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</si>
  <si>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</si>
  <si>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</si>
  <si>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</si>
  <si>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</si>
  <si>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</si>
  <si>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</si>
  <si>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</si>
  <si>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</si>
  <si>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</si>
  <si>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</si>
  <si>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</si>
  <si>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</si>
  <si>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</si>
  <si>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</si>
  <si>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</si>
  <si>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</si>
  <si>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</si>
  <si>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</si>
  <si>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</si>
  <si>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Национальная безопасность и правоохранительная деятельность</t>
  </si>
  <si>
    <t>098 01 04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</si>
  <si>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</si>
  <si>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</si>
  <si>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</si>
  <si>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</si>
  <si>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</si>
  <si>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</si>
  <si>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</si>
  <si>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</si>
  <si>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</si>
  <si>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</si>
  <si>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</si>
  <si>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</si>
  <si>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</si>
  <si>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795 00 37</t>
  </si>
  <si>
    <t>Другие субсидии бюджетным и автономным учреждениям на иные цели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</si>
  <si>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</si>
  <si>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</si>
  <si>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</si>
  <si>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</si>
  <si>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</si>
  <si>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Выплаты приемной семье на содержание подопечных детей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</si>
  <si>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</si>
  <si>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</si>
  <si>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</si>
  <si>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</si>
  <si>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</si>
  <si>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ВСЕГО РАСХОДОВ</t>
  </si>
  <si>
    <t>700</t>
  </si>
  <si>
    <t>800</t>
  </si>
  <si>
    <t>447</t>
  </si>
  <si>
    <t>Стационарная медицинская помощь</t>
  </si>
  <si>
    <t>470 00 00</t>
  </si>
  <si>
    <t>470 99 00</t>
  </si>
  <si>
    <t xml:space="preserve">09 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</si>
  <si>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</si>
  <si>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</si>
  <si>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</si>
  <si>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</si>
  <si>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</si>
  <si>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</si>
  <si>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</si>
  <si>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</si>
  <si>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</si>
  <si>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</si>
  <si>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</si>
  <si>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</si>
  <si>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</si>
  <si>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</si>
  <si>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</si>
  <si>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</si>
  <si>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</si>
  <si>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</si>
  <si>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</si>
  <si>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</si>
  <si>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</si>
  <si>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</si>
  <si>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</si>
  <si>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</si>
  <si>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</si>
  <si>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</si>
  <si>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</si>
  <si>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</si>
  <si>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</si>
  <si>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</si>
  <si>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</si>
  <si>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</si>
  <si>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</si>
  <si>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470 82 24</t>
  </si>
  <si>
    <t>471 82 20</t>
  </si>
  <si>
    <t>423 82 24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</si>
  <si>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</si>
  <si>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</si>
  <si>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Меры социальной поддержки граждан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</si>
  <si>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</si>
  <si>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</si>
  <si>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</si>
  <si>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</si>
  <si>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</si>
  <si>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</si>
  <si>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</si>
  <si>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</si>
  <si>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</si>
  <si>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</si>
  <si>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</si>
  <si>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Другие вопросы в области образования</t>
  </si>
  <si>
    <t xml:space="preserve">Другие вопросы в области культуры, кинематографии 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</si>
  <si>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</si>
  <si>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</si>
  <si>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</si>
  <si>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</si>
  <si>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</si>
  <si>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</si>
  <si>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</si>
  <si>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470 99 68</t>
  </si>
  <si>
    <t>Амбулаторная помощь</t>
  </si>
  <si>
    <t>471 99 00</t>
  </si>
  <si>
    <t>905</t>
  </si>
  <si>
    <t>Фельдшерско-акушерские пункты</t>
  </si>
  <si>
    <t>478 00 00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</si>
  <si>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</si>
  <si>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</si>
  <si>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</si>
  <si>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</si>
  <si>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477 99 00</t>
  </si>
  <si>
    <t>Физическая культура и спорт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</si>
  <si>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</si>
  <si>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</si>
  <si>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</si>
  <si>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</si>
  <si>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</si>
  <si>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</si>
  <si>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</si>
  <si>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</si>
  <si>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</si>
  <si>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</si>
  <si>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</si>
  <si>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</si>
  <si>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</si>
  <si>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</si>
  <si>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</si>
  <si>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</si>
  <si>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</si>
  <si>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</si>
  <si>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</si>
  <si>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</si>
  <si>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</si>
  <si>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</si>
  <si>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</si>
  <si>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</si>
  <si>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</si>
  <si>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</si>
  <si>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</si>
  <si>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</si>
  <si>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</si>
  <si>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</si>
  <si>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</si>
  <si>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</si>
  <si>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</si>
  <si>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</si>
  <si>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</si>
  <si>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</si>
  <si>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</si>
  <si>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</si>
  <si>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</si>
  <si>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</si>
  <si>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</si>
  <si>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</si>
  <si>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</si>
  <si>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</si>
  <si>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</si>
  <si>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</si>
  <si>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</si>
  <si>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</si>
  <si>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522 08 00</t>
  </si>
  <si>
    <t>079</t>
  </si>
  <si>
    <t xml:space="preserve">Поддержка коммунального хозяйства </t>
  </si>
  <si>
    <t>Социальные выплаты</t>
  </si>
  <si>
    <t>005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</si>
  <si>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</si>
  <si>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</si>
  <si>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</si>
  <si>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</si>
  <si>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Финансовое обеспечение государственного задания на оказание государственных услуг (выполнение работ)</t>
  </si>
  <si>
    <t>478 82 30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</si>
  <si>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</si>
  <si>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</si>
  <si>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</si>
  <si>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</si>
  <si>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</si>
  <si>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</si>
  <si>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</si>
  <si>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Проведение детей для детей и молодежи</t>
  </si>
  <si>
    <t>Учреждения по внешкольной работе с детьми</t>
  </si>
  <si>
    <t xml:space="preserve">423 00 00 </t>
  </si>
  <si>
    <t>423 99 00</t>
  </si>
  <si>
    <t>424 99 00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</si>
  <si>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</si>
  <si>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</si>
  <si>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</si>
  <si>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</si>
  <si>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</si>
  <si>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</si>
  <si>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</si>
  <si>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</si>
  <si>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Иные безвозмездные и безвозвратные перечисления</t>
  </si>
  <si>
    <t xml:space="preserve">520 00 00 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</si>
  <si>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</si>
  <si>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</si>
  <si>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</si>
  <si>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</si>
  <si>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</si>
  <si>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</si>
  <si>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</si>
  <si>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</si>
  <si>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</si>
  <si>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</si>
  <si>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Мероприятия в области здравоохранения, спорта и физической культуры, туризма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</si>
  <si>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</si>
  <si>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</si>
  <si>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</si>
  <si>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</si>
  <si>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</si>
  <si>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</si>
  <si>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795 00 42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</si>
  <si>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</si>
  <si>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</si>
  <si>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</si>
  <si>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</si>
  <si>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</si>
  <si>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</si>
  <si>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</si>
  <si>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</si>
  <si>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</si>
  <si>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</si>
  <si>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</si>
  <si>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</si>
  <si>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</si>
  <si>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</si>
  <si>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</si>
  <si>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</si>
  <si>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</si>
  <si>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</si>
  <si>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</si>
  <si>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</si>
  <si>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</si>
  <si>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</si>
  <si>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</si>
  <si>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</si>
  <si>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</si>
  <si>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</si>
  <si>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</si>
  <si>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</si>
  <si>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</si>
  <si>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</si>
  <si>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</si>
  <si>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</si>
  <si>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</si>
  <si>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</si>
  <si>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</si>
  <si>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</si>
  <si>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</si>
  <si>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</si>
  <si>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</si>
  <si>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</si>
  <si>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</si>
  <si>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</si>
  <si>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</si>
  <si>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</si>
  <si>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795 00 30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</si>
  <si>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</si>
  <si>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</si>
  <si>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</si>
  <si>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</si>
  <si>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</si>
  <si>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</si>
  <si>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</si>
  <si>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</si>
  <si>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</si>
  <si>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</si>
  <si>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</si>
  <si>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</si>
  <si>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</si>
  <si>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</si>
  <si>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</si>
  <si>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</si>
  <si>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</si>
  <si>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</si>
  <si>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</si>
  <si>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</si>
  <si>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</si>
  <si>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</si>
  <si>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</si>
  <si>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</si>
  <si>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</si>
  <si>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</si>
  <si>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</si>
  <si>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</si>
  <si>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</si>
  <si>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</si>
  <si>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</si>
  <si>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</si>
  <si>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</si>
  <si>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</si>
  <si>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</si>
  <si>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</si>
  <si>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</si>
  <si>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</si>
  <si>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</si>
  <si>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</si>
  <si>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</si>
  <si>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</si>
  <si>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</si>
  <si>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</si>
  <si>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</si>
  <si>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</si>
  <si>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</si>
  <si>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</si>
  <si>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</si>
  <si>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</si>
  <si>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</si>
  <si>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</si>
  <si>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</si>
  <si>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Приложение 5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</si>
  <si>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</si>
  <si>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</si>
  <si>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</si>
  <si>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</si>
  <si>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</si>
  <si>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</si>
  <si>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</si>
  <si>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</si>
  <si>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</si>
  <si>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</si>
  <si>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</si>
  <si>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</si>
  <si>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</si>
  <si>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Вознаграждение, причитающееся приемному родителю</t>
  </si>
  <si>
    <t>Содержание ребенка в семье опекуна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</si>
  <si>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</si>
  <si>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</si>
  <si>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 годы"</t>
  </si>
  <si>
    <t>Приложение 7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</si>
  <si>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</si>
  <si>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</si>
  <si>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МКУ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</si>
  <si>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</si>
  <si>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</si>
  <si>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</si>
  <si>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</si>
  <si>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</si>
  <si>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</si>
  <si>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</si>
  <si>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</si>
  <si>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</si>
  <si>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</si>
  <si>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</si>
  <si>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</si>
  <si>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</si>
  <si>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</si>
  <si>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</si>
  <si>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</si>
  <si>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Расходы на оплату задолженности по договорам 2013 года</t>
  </si>
  <si>
    <t>655 00 10</t>
  </si>
  <si>
    <t>Обслуживание муниципального долга</t>
  </si>
  <si>
    <t>600</t>
  </si>
  <si>
    <t xml:space="preserve">Муниципальная целевая программа "Безопасность учреждений культуры" на 2013-2015 годы 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</si>
  <si>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</si>
  <si>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</si>
  <si>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Оценка недвижимости, признание прав и регулирование отношений по муниципальной собственности</t>
  </si>
  <si>
    <t>005 02 03</t>
  </si>
  <si>
    <t>Учреждения культуры, мероприятия в сфере культуры и кинематографии, архивного дела</t>
  </si>
  <si>
    <t>Предоставление субсидий бюджетным, автономным учреждениям и иным некоммерческим организациям</t>
  </si>
  <si>
    <t>Реализация полномочий Российской Федерации на государственную регистрацию актов гражданского состояния</t>
  </si>
  <si>
    <t>001 59 03</t>
  </si>
  <si>
    <t>Реализция других функций, связанных с обеспечением национальной безопасности и правоохранительной деятельности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</si>
  <si>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</si>
  <si>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</si>
  <si>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</si>
  <si>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</si>
  <si>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</si>
  <si>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</si>
  <si>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</si>
  <si>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</si>
  <si>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</si>
  <si>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</si>
  <si>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</si>
  <si>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</si>
  <si>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Предупреждение и ликвидация последствий чрезвычайных ситуаций и стихийных бедствий</t>
  </si>
  <si>
    <t>008 00 00</t>
  </si>
  <si>
    <t xml:space="preserve">Мероприятия по предупреждению и ликвидации последствий чрезвычайных ситуаций и стихийных бедствий </t>
  </si>
  <si>
    <t>008 01 00</t>
  </si>
  <si>
    <t>008 01 50</t>
  </si>
  <si>
    <t>009 00 00</t>
  </si>
  <si>
    <t>009 01 00</t>
  </si>
  <si>
    <t xml:space="preserve">Муниципальные программы  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</si>
  <si>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</si>
  <si>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</si>
  <si>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</si>
  <si>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</si>
  <si>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</si>
  <si>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</si>
  <si>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</si>
  <si>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</si>
  <si>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</si>
  <si>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Прочая закупка товаров, работ и услуг для обеспечения муниципальных нужд (дорожный фонд)</t>
  </si>
  <si>
    <t>314 00 00</t>
  </si>
  <si>
    <t>Отдельные мероприятия по землеустройству и землепользованию</t>
  </si>
  <si>
    <t>314 03 00</t>
  </si>
  <si>
    <t>314 82 00</t>
  </si>
  <si>
    <t>314 82 10</t>
  </si>
  <si>
    <t>МП "Капитальное строительство на территории Миасского городского округа на 2014-2015 годы"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</si>
  <si>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</si>
  <si>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651  00 00</t>
  </si>
  <si>
    <t>651 05 00</t>
  </si>
  <si>
    <t>Прочие мероприятия по благоустройству
городских округов и поселений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</si>
  <si>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</si>
  <si>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</si>
  <si>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Муниципальная  программа "Чистая вода" на территории МГО на 2014-2020 г.г.</t>
  </si>
  <si>
    <t>Муниципальная программа "Обеспечение безопасности гидротехнических сооружений на территории Миасского городского округа на 2014-2015 годы"</t>
  </si>
  <si>
    <t xml:space="preserve">05 </t>
  </si>
  <si>
    <t>Капитальные вложения в объекты недвижимого имущества
муниципальной собственности</t>
  </si>
  <si>
    <t>400</t>
  </si>
  <si>
    <t>МП по реализации НП "Доступное и комфортное жилье - гражданам России"  на территории МГО на 2014-2015 г.г., подпрограмма "Модернизация объектов коммунальной инфраструктуры"</t>
  </si>
  <si>
    <t>006 00 00</t>
  </si>
  <si>
    <t>006 99 00</t>
  </si>
  <si>
    <t>МП "Экология Миасского городского округа 2014-2016"</t>
  </si>
  <si>
    <t>Капитальные вложения в объекты недвижимого имущества муниципальной собственности</t>
  </si>
  <si>
    <t xml:space="preserve">795 25 00 </t>
  </si>
  <si>
    <t>Обеспечение жилыми помещения-ми  детей-сирот и детей, оставших-ся без попечения родителей при наличии судебных решений о предоставлении жилых помещений по договорам социального найма, вынесенных  до 1 января 2013 года и вступивших в законную силу</t>
  </si>
  <si>
    <t>505 21 03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</si>
  <si>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</si>
  <si>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</si>
  <si>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</si>
  <si>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</si>
  <si>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001 51 20</t>
  </si>
  <si>
    <t>340 82 00</t>
  </si>
  <si>
    <t>340 82 10</t>
  </si>
  <si>
    <t>505 52 50</t>
  </si>
  <si>
    <t>505 52 80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</si>
  <si>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</si>
  <si>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505 53 80</t>
  </si>
  <si>
    <t>505 63 65</t>
  </si>
  <si>
    <t>505 75 00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</si>
  <si>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</si>
  <si>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</si>
  <si>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</si>
  <si>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</si>
  <si>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</si>
  <si>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</si>
  <si>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</si>
  <si>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</si>
  <si>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 xml:space="preserve">Муниципальная программа "Формирование доступной среды для инвалидов и маломобильных групп населения Миасского городского округа" на 2014-2016 годы 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</si>
  <si>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</si>
  <si>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</si>
  <si>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</si>
  <si>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487 99 01</t>
  </si>
  <si>
    <t>Муниципальная целевая программа "Развитие физической культуры и спорта в Миасском городском округе на 2012-2016 годы"</t>
  </si>
  <si>
    <t>Предоставление субсидий бюджетным и автономным организациям</t>
  </si>
  <si>
    <t>Муниципальная программа "Поддержка и  развитие дошкольного образования в МГО на 2014-2015гг."</t>
  </si>
  <si>
    <t>433 9901</t>
  </si>
  <si>
    <t>Муниципальная программа "Молодежь Миасса на 2014-2016 годы"</t>
  </si>
  <si>
    <t>471 82 23</t>
  </si>
  <si>
    <t>655 00 20</t>
  </si>
  <si>
    <t>Расходы на реализацию мероприятий по обеспечению своевременной и полной выплаты заработной платы</t>
  </si>
  <si>
    <t>на 2016 год  (тыс. руб.)</t>
  </si>
  <si>
    <t>вид расходов (группы)</t>
  </si>
  <si>
    <t>Коды бюджетной классификации</t>
  </si>
  <si>
    <t>Финансовое обеспечение муниципального задания на оказание государственных услуг</t>
  </si>
  <si>
    <t>Организации  по внешкольной работе с детьми</t>
  </si>
  <si>
    <t>Обеспечение деятельности (оказание услуг) подведомственных казенных учреждений в области физической культуры и спорта</t>
  </si>
  <si>
    <t>Организации по внешкольной работе с детьми</t>
  </si>
  <si>
    <t>на 2016 год                 (тыс. руб.)</t>
  </si>
  <si>
    <t>Муниципальная программа"Обеспечение безопасности жизнедеятельности населения Миасского городского округа на 2014-2016гг."</t>
  </si>
  <si>
    <t>795 00 83</t>
  </si>
  <si>
    <t>Муниципальная программа  "Развитие муниципальной службы в Миасском городском округе"</t>
  </si>
  <si>
    <t>795 00 10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</si>
  <si>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специализиро-ванных жилых помещений</t>
  </si>
  <si>
    <t>Физкультурно-оздоровительная работа и спортивные мероприятия</t>
  </si>
  <si>
    <t>Мероприятия в области спорта, физической культуры и туризма</t>
  </si>
  <si>
    <t>Иные выплаты персоналу казенных учреждений, за исключением
фонда оплаты труда</t>
  </si>
  <si>
    <t>Государственная программа Челябинской области "Развитие здравоохранения Челябинской области" на 2015-2017 годы</t>
  </si>
  <si>
    <t>601 00 00</t>
  </si>
  <si>
    <t>601 82 00</t>
  </si>
  <si>
    <t>601 82 30</t>
  </si>
  <si>
    <t>601 99 00</t>
  </si>
  <si>
    <t>440 02 00</t>
  </si>
  <si>
    <t>Предоставление субсидий бюджетным и автономным учреждениям, оказывающим амбулатоно-поликлиническую помощь в городских больницах</t>
  </si>
  <si>
    <t xml:space="preserve">Предоставление субсидий бюджетным и автономным учреждениям, оказывающим амбулаторную помощь в поликлиниках </t>
  </si>
  <si>
    <t>Государственная программа Челябинской области "Дети Южного Урала" на 2014-2017 годы</t>
  </si>
  <si>
    <t>607 00 00</t>
  </si>
  <si>
    <t>607 99 00</t>
  </si>
  <si>
    <t>607 99 01</t>
  </si>
  <si>
    <t>607 50 82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</si>
  <si>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</si>
  <si>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505 51 37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</si>
  <si>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</si>
  <si>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505 52 20</t>
  </si>
  <si>
    <t>Государственная программа Челябинской области "Повышение качества жизни граждан пожилого возраста в Челябинской области" на 2014-2017 годы</t>
  </si>
  <si>
    <t>606 00 00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</si>
  <si>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 в рамках государственной программы Челябинской области "Повышение качества жизни пожилого возраста в Челябинской области" на 2014-2017 годы</t>
  </si>
  <si>
    <t>606 02 00</t>
  </si>
  <si>
    <t>606 02 22</t>
  </si>
  <si>
    <t>606 02 25</t>
  </si>
  <si>
    <t>606 02 32</t>
  </si>
  <si>
    <t>606 02 35</t>
  </si>
  <si>
    <t>606 02 42</t>
  </si>
  <si>
    <t>606 02 51</t>
  </si>
  <si>
    <t>606 02 53</t>
  </si>
  <si>
    <t>Государственная программа Челябинской области  "Дети Южного Урала" на 2014-2017 годы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</si>
  <si>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 в рамках государственной программы Челябинской области "Дети Южного Урала" на 2014-2017 годы</t>
  </si>
  <si>
    <t>607 02 00</t>
  </si>
  <si>
    <t>607 02 08</t>
  </si>
  <si>
    <t>607 02 11</t>
  </si>
  <si>
    <t>607 02 70</t>
  </si>
  <si>
    <t>607 02 90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</si>
  <si>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лиувидацией организаций (прекращение деятельности, полномочий физическими лицами), в соотвествии с Федеральным законом от 19 мая 1995 года №81-ФЗ "О государственных пособиях гражданам имеющим детей"</t>
  </si>
  <si>
    <t>607 53 80</t>
  </si>
  <si>
    <t>607 02 10</t>
  </si>
  <si>
    <t>607 02 12</t>
  </si>
  <si>
    <t>607 02 76</t>
  </si>
  <si>
    <t>607 02 09</t>
  </si>
  <si>
    <t>Муниципальная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муницпальных услуг" Миасского городского округа на 2014 - 2016 годы"</t>
  </si>
  <si>
    <t>Предоставление субсидий бюджетным,автономным учреждениям и иным некоммерческим организациям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</si>
  <si>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</si>
  <si>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604 00 00</t>
  </si>
  <si>
    <t>604 82 00</t>
  </si>
  <si>
    <t>604 82 10</t>
  </si>
  <si>
    <t>604 82 20</t>
  </si>
  <si>
    <t>604 82 23</t>
  </si>
  <si>
    <t>604 99 00</t>
  </si>
  <si>
    <t>Государственная программа Челябинской области «Развитие образования в Челябинской области на 2014–2017 годы»</t>
  </si>
  <si>
    <t>603 00 00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</si>
  <si>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</si>
  <si>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603 02 00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</si>
  <si>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</si>
  <si>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603 02 73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</si>
  <si>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</si>
  <si>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603 02 82</t>
  </si>
  <si>
    <t>603 82 00</t>
  </si>
  <si>
    <t>603 82 10</t>
  </si>
  <si>
    <t>603 82 20</t>
  </si>
  <si>
    <t>603 82 23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</si>
  <si>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</si>
  <si>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603 99 00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</si>
  <si>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</si>
  <si>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603 02 03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</si>
  <si>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</si>
  <si>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604 02 00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</si>
  <si>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</si>
  <si>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604 02 04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</si>
  <si>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</si>
  <si>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РАСПРЕДЕЛЕНИЕ БЮДЖЕТНЫХ АССИГНОВАНИЙ НА ПЛАНОВЫЙ ПЕРИОД 2016-2017 ГОДЫ</t>
  </si>
  <si>
    <t>на 2017 год  (тыс. руб.)</t>
  </si>
  <si>
    <t>НА ПЛАНОВЫЙ ПЕРИОД 2016 И 2017 гг.</t>
  </si>
  <si>
    <t>на 2017 год                 (тыс. руб.)</t>
  </si>
  <si>
    <t>Мероприятия в области малого и среднего предпринимательства</t>
  </si>
  <si>
    <t>312 00 00</t>
  </si>
  <si>
    <t>312 82 00</t>
  </si>
  <si>
    <t>312 82 10</t>
  </si>
  <si>
    <t>601 8Г 00</t>
  </si>
  <si>
    <t>601 8Г 30</t>
  </si>
  <si>
    <t>601 8Д 00</t>
  </si>
  <si>
    <t>601 8Д 30</t>
  </si>
  <si>
    <t>к Решению Собрания</t>
  </si>
  <si>
    <t>от 19.12.2014 г. №3</t>
  </si>
  <si>
    <t>от19.12.2014 г. №3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</si>
</sst>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#,##0.0_ ;\-#,##0.0\ "/>
    <numFmt numFmtId="190" formatCode="[$-FC19]d\ mmmm\ yyyy\ &quot;г.&quot;"/>
  </numFmts>
  <fonts count="41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.5"/>
      <name val="Arial Cyr"/>
      <family val="2"/>
    </font>
    <font>
      <sz val="11.5"/>
      <name val="Arial"/>
      <family val="2"/>
    </font>
    <font>
      <b/>
      <sz val="11.5"/>
      <name val="Arial Cyr"/>
      <family val="2"/>
    </font>
    <font>
      <b/>
      <sz val="11.5"/>
      <name val="Arial"/>
      <family val="2"/>
    </font>
    <font>
      <i/>
      <sz val="11.5"/>
      <name val="Arial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0" fontId="2" fillId="0" borderId="0" xfId="0" applyFont="1" applyAlignment="1">
      <alignment/>
    </xf>
    <xf numFmtId="164" fontId="5" fillId="0" borderId="12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4" fontId="3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14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3" fontId="0" fillId="0" borderId="0" xfId="61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25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25" borderId="19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25" borderId="19" xfId="0" applyFont="1" applyFill="1" applyBorder="1" applyAlignment="1">
      <alignment vertical="center" wrapText="1"/>
    </xf>
    <xf numFmtId="0" fontId="6" fillId="25" borderId="19" xfId="0" applyFont="1" applyFill="1" applyBorder="1" applyAlignment="1">
      <alignment vertical="center" wrapText="1"/>
    </xf>
    <xf numFmtId="0" fontId="30" fillId="0" borderId="20" xfId="0" applyFont="1" applyBorder="1" applyAlignment="1">
      <alignment horizontal="left" vertical="center" wrapText="1"/>
    </xf>
    <xf numFmtId="0" fontId="6" fillId="25" borderId="19" xfId="0" applyFont="1" applyFill="1" applyBorder="1" applyAlignment="1">
      <alignment horizontal="left" vertical="center" wrapText="1"/>
    </xf>
    <xf numFmtId="49" fontId="7" fillId="25" borderId="1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49" fontId="7" fillId="0" borderId="21" xfId="0" applyNumberFormat="1" applyFont="1" applyFill="1" applyBorder="1" applyAlignment="1">
      <alignment vertical="center" wrapText="1"/>
    </xf>
    <xf numFmtId="49" fontId="7" fillId="25" borderId="17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7" fillId="25" borderId="16" xfId="0" applyNumberFormat="1" applyFont="1" applyFill="1" applyBorder="1" applyAlignment="1">
      <alignment vertical="center" wrapText="1"/>
    </xf>
    <xf numFmtId="49" fontId="7" fillId="25" borderId="17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/>
    </xf>
    <xf numFmtId="165" fontId="33" fillId="0" borderId="22" xfId="0" applyNumberFormat="1" applyFont="1" applyFill="1" applyBorder="1" applyAlignment="1">
      <alignment horizontal="center" vertical="center" wrapText="1"/>
    </xf>
    <xf numFmtId="165" fontId="35" fillId="0" borderId="12" xfId="0" applyNumberFormat="1" applyFont="1" applyFill="1" applyBorder="1" applyAlignment="1">
      <alignment horizontal="center" vertical="center"/>
    </xf>
    <xf numFmtId="165" fontId="33" fillId="0" borderId="22" xfId="0" applyNumberFormat="1" applyFont="1" applyBorder="1" applyAlignment="1">
      <alignment horizontal="center"/>
    </xf>
    <xf numFmtId="165" fontId="35" fillId="0" borderId="12" xfId="0" applyNumberFormat="1" applyFont="1" applyFill="1" applyBorder="1" applyAlignment="1">
      <alignment horizontal="center" vertical="center" wrapText="1"/>
    </xf>
    <xf numFmtId="165" fontId="33" fillId="25" borderId="12" xfId="0" applyNumberFormat="1" applyFont="1" applyFill="1" applyBorder="1" applyAlignment="1">
      <alignment horizontal="center" vertical="center" wrapText="1"/>
    </xf>
    <xf numFmtId="165" fontId="33" fillId="25" borderId="12" xfId="0" applyNumberFormat="1" applyFont="1" applyFill="1" applyBorder="1" applyAlignment="1">
      <alignment horizontal="center" vertical="center"/>
    </xf>
    <xf numFmtId="165" fontId="36" fillId="0" borderId="12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49" fontId="30" fillId="0" borderId="16" xfId="0" applyNumberFormat="1" applyFont="1" applyFill="1" applyBorder="1" applyAlignment="1">
      <alignment vertical="center" wrapText="1"/>
    </xf>
    <xf numFmtId="49" fontId="7" fillId="25" borderId="21" xfId="0" applyNumberFormat="1" applyFont="1" applyFill="1" applyBorder="1" applyAlignment="1">
      <alignment vertical="center" wrapText="1"/>
    </xf>
    <xf numFmtId="0" fontId="7" fillId="0" borderId="23" xfId="0" applyFont="1" applyBorder="1" applyAlignment="1">
      <alignment wrapText="1"/>
    </xf>
    <xf numFmtId="49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26" xfId="0" applyFont="1" applyBorder="1" applyAlignment="1">
      <alignment wrapText="1"/>
    </xf>
    <xf numFmtId="0" fontId="1" fillId="0" borderId="27" xfId="0" applyFont="1" applyBorder="1" applyAlignment="1">
      <alignment vertical="justify"/>
    </xf>
    <xf numFmtId="0" fontId="7" fillId="0" borderId="28" xfId="0" applyFont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49" fontId="30" fillId="0" borderId="27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/>
    </xf>
    <xf numFmtId="49" fontId="7" fillId="0" borderId="30" xfId="0" applyNumberFormat="1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49" fontId="7" fillId="0" borderId="33" xfId="0" applyNumberFormat="1" applyFont="1" applyBorder="1" applyAlignment="1">
      <alignment horizontal="left" vertical="justify"/>
    </xf>
    <xf numFmtId="0" fontId="7" fillId="0" borderId="34" xfId="0" applyFont="1" applyBorder="1" applyAlignment="1">
      <alignment horizontal="left" vertical="justify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 vertical="justify"/>
    </xf>
    <xf numFmtId="49" fontId="7" fillId="25" borderId="16" xfId="0" applyNumberFormat="1" applyFont="1" applyFill="1" applyBorder="1" applyAlignment="1">
      <alignment horizontal="left"/>
    </xf>
    <xf numFmtId="49" fontId="7" fillId="25" borderId="17" xfId="0" applyNumberFormat="1" applyFont="1" applyFill="1" applyBorder="1" applyAlignment="1">
      <alignment horizontal="left"/>
    </xf>
    <xf numFmtId="49" fontId="7" fillId="25" borderId="21" xfId="0" applyNumberFormat="1" applyFont="1" applyFill="1" applyBorder="1" applyAlignment="1">
      <alignment horizontal="left"/>
    </xf>
    <xf numFmtId="49" fontId="30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21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left" wrapText="1"/>
    </xf>
    <xf numFmtId="186" fontId="7" fillId="0" borderId="21" xfId="61" applyNumberFormat="1" applyFont="1" applyFill="1" applyBorder="1" applyAlignment="1">
      <alignment horizontal="left"/>
    </xf>
    <xf numFmtId="49" fontId="7" fillId="24" borderId="21" xfId="0" applyNumberFormat="1" applyFont="1" applyFill="1" applyBorder="1" applyAlignment="1">
      <alignment horizontal="left" vertical="center" wrapText="1"/>
    </xf>
    <xf numFmtId="49" fontId="31" fillId="0" borderId="16" xfId="0" applyNumberFormat="1" applyFont="1" applyFill="1" applyBorder="1" applyAlignment="1">
      <alignment horizontal="left" vertical="center" wrapText="1"/>
    </xf>
    <xf numFmtId="49" fontId="7" fillId="25" borderId="17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/>
    </xf>
    <xf numFmtId="49" fontId="30" fillId="0" borderId="16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30" fillId="24" borderId="16" xfId="0" applyNumberFormat="1" applyFont="1" applyFill="1" applyBorder="1" applyAlignment="1">
      <alignment horizontal="left" vertical="center" wrapText="1"/>
    </xf>
    <xf numFmtId="49" fontId="31" fillId="24" borderId="16" xfId="0" applyNumberFormat="1" applyFont="1" applyFill="1" applyBorder="1" applyAlignment="1">
      <alignment horizontal="left" vertical="center" wrapText="1"/>
    </xf>
    <xf numFmtId="0" fontId="7" fillId="25" borderId="19" xfId="0" applyFont="1" applyFill="1" applyBorder="1" applyAlignment="1">
      <alignment horizontal="left" vertical="justify" wrapText="1"/>
    </xf>
    <xf numFmtId="49" fontId="31" fillId="25" borderId="16" xfId="0" applyNumberFormat="1" applyFont="1" applyFill="1" applyBorder="1" applyAlignment="1">
      <alignment horizontal="left"/>
    </xf>
    <xf numFmtId="49" fontId="30" fillId="0" borderId="37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9" fontId="30" fillId="0" borderId="21" xfId="0" applyNumberFormat="1" applyFont="1" applyFill="1" applyBorder="1" applyAlignment="1">
      <alignment horizontal="left" vertical="center" wrapText="1"/>
    </xf>
    <xf numFmtId="49" fontId="7" fillId="25" borderId="21" xfId="0" applyNumberFormat="1" applyFont="1" applyFill="1" applyBorder="1" applyAlignment="1">
      <alignment horizontal="left" vertical="center" wrapText="1"/>
    </xf>
    <xf numFmtId="49" fontId="30" fillId="25" borderId="16" xfId="0" applyNumberFormat="1" applyFont="1" applyFill="1" applyBorder="1" applyAlignment="1">
      <alignment horizontal="left" vertical="center" wrapText="1"/>
    </xf>
    <xf numFmtId="0" fontId="6" fillId="25" borderId="35" xfId="0" applyFont="1" applyFill="1" applyBorder="1" applyAlignment="1">
      <alignment horizontal="left"/>
    </xf>
    <xf numFmtId="49" fontId="31" fillId="25" borderId="16" xfId="0" applyNumberFormat="1" applyFont="1" applyFill="1" applyBorder="1" applyAlignment="1">
      <alignment horizontal="left" vertical="center" wrapText="1"/>
    </xf>
    <xf numFmtId="49" fontId="6" fillId="25" borderId="16" xfId="0" applyNumberFormat="1" applyFont="1" applyFill="1" applyBorder="1" applyAlignment="1">
      <alignment horizontal="left"/>
    </xf>
    <xf numFmtId="0" fontId="6" fillId="25" borderId="21" xfId="0" applyFont="1" applyFill="1" applyBorder="1" applyAlignment="1">
      <alignment horizontal="left"/>
    </xf>
    <xf numFmtId="0" fontId="1" fillId="0" borderId="40" xfId="0" applyFont="1" applyBorder="1" applyAlignment="1">
      <alignment vertical="justify"/>
    </xf>
    <xf numFmtId="0" fontId="1" fillId="0" borderId="41" xfId="0" applyFont="1" applyBorder="1" applyAlignment="1">
      <alignment horizontal="left" vertical="justify" wrapText="1"/>
    </xf>
    <xf numFmtId="49" fontId="37" fillId="0" borderId="42" xfId="0" applyNumberFormat="1" applyFont="1" applyBorder="1" applyAlignment="1">
      <alignment vertical="justify"/>
    </xf>
    <xf numFmtId="0" fontId="1" fillId="0" borderId="43" xfId="0" applyFont="1" applyBorder="1" applyAlignment="1">
      <alignment vertical="justify"/>
    </xf>
    <xf numFmtId="0" fontId="30" fillId="0" borderId="30" xfId="0" applyFont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164" fontId="3" fillId="0" borderId="45" xfId="0" applyNumberFormat="1" applyFont="1" applyFill="1" applyBorder="1" applyAlignment="1">
      <alignment horizontal="center" vertical="center" wrapText="1"/>
    </xf>
    <xf numFmtId="49" fontId="30" fillId="0" borderId="46" xfId="0" applyNumberFormat="1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0" borderId="48" xfId="0" applyNumberFormat="1" applyFont="1" applyFill="1" applyBorder="1" applyAlignment="1">
      <alignment horizontal="left" vertical="center" wrapText="1"/>
    </xf>
    <xf numFmtId="49" fontId="30" fillId="0" borderId="40" xfId="0" applyNumberFormat="1" applyFont="1" applyBorder="1" applyAlignment="1">
      <alignment horizontal="left" vertical="center" wrapText="1"/>
    </xf>
    <xf numFmtId="49" fontId="30" fillId="0" borderId="41" xfId="0" applyNumberFormat="1" applyFont="1" applyFill="1" applyBorder="1" applyAlignment="1">
      <alignment horizontal="left" vertical="center" wrapText="1"/>
    </xf>
    <xf numFmtId="165" fontId="34" fillId="0" borderId="49" xfId="0" applyNumberFormat="1" applyFont="1" applyFill="1" applyBorder="1" applyAlignment="1">
      <alignment horizontal="center" vertical="center" wrapText="1"/>
    </xf>
    <xf numFmtId="165" fontId="32" fillId="0" borderId="22" xfId="0" applyNumberFormat="1" applyFont="1" applyFill="1" applyBorder="1" applyAlignment="1">
      <alignment horizontal="center" vertical="center" wrapText="1"/>
    </xf>
    <xf numFmtId="165" fontId="32" fillId="0" borderId="22" xfId="0" applyNumberFormat="1" applyFont="1" applyFill="1" applyBorder="1" applyAlignment="1">
      <alignment horizontal="center" vertical="center"/>
    </xf>
    <xf numFmtId="165" fontId="34" fillId="25" borderId="22" xfId="0" applyNumberFormat="1" applyFont="1" applyFill="1" applyBorder="1" applyAlignment="1">
      <alignment horizontal="center" vertical="center" wrapText="1"/>
    </xf>
    <xf numFmtId="165" fontId="34" fillId="25" borderId="12" xfId="0" applyNumberFormat="1" applyFont="1" applyFill="1" applyBorder="1" applyAlignment="1">
      <alignment horizontal="center" vertical="center" wrapText="1"/>
    </xf>
    <xf numFmtId="165" fontId="34" fillId="0" borderId="22" xfId="0" applyNumberFormat="1" applyFont="1" applyFill="1" applyBorder="1" applyAlignment="1">
      <alignment horizontal="center" vertical="center" wrapText="1"/>
    </xf>
    <xf numFmtId="165" fontId="34" fillId="0" borderId="12" xfId="0" applyNumberFormat="1" applyFont="1" applyFill="1" applyBorder="1" applyAlignment="1">
      <alignment horizontal="center" vertical="center" wrapText="1"/>
    </xf>
    <xf numFmtId="165" fontId="33" fillId="0" borderId="22" xfId="0" applyNumberFormat="1" applyFont="1" applyFill="1" applyBorder="1" applyAlignment="1">
      <alignment horizontal="center" vertical="center"/>
    </xf>
    <xf numFmtId="165" fontId="32" fillId="0" borderId="22" xfId="61" applyNumberFormat="1" applyFont="1" applyFill="1" applyBorder="1" applyAlignment="1">
      <alignment horizontal="center"/>
    </xf>
    <xf numFmtId="165" fontId="33" fillId="0" borderId="22" xfId="61" applyNumberFormat="1" applyFont="1" applyFill="1" applyBorder="1" applyAlignment="1">
      <alignment horizontal="center"/>
    </xf>
    <xf numFmtId="165" fontId="33" fillId="25" borderId="22" xfId="61" applyNumberFormat="1" applyFont="1" applyFill="1" applyBorder="1" applyAlignment="1">
      <alignment horizontal="center"/>
    </xf>
    <xf numFmtId="165" fontId="33" fillId="24" borderId="22" xfId="0" applyNumberFormat="1" applyFont="1" applyFill="1" applyBorder="1" applyAlignment="1">
      <alignment horizontal="center" vertical="center" wrapText="1"/>
    </xf>
    <xf numFmtId="165" fontId="35" fillId="0" borderId="22" xfId="0" applyNumberFormat="1" applyFont="1" applyFill="1" applyBorder="1" applyAlignment="1">
      <alignment horizontal="center" vertical="center" wrapText="1"/>
    </xf>
    <xf numFmtId="165" fontId="33" fillId="25" borderId="22" xfId="0" applyNumberFormat="1" applyFont="1" applyFill="1" applyBorder="1" applyAlignment="1">
      <alignment horizontal="center"/>
    </xf>
    <xf numFmtId="165" fontId="35" fillId="0" borderId="50" xfId="0" applyNumberFormat="1" applyFont="1" applyFill="1" applyBorder="1" applyAlignment="1">
      <alignment horizontal="center" vertical="center" wrapText="1"/>
    </xf>
    <xf numFmtId="165" fontId="33" fillId="25" borderId="22" xfId="0" applyNumberFormat="1" applyFont="1" applyFill="1" applyBorder="1" applyAlignment="1">
      <alignment horizontal="center" vertical="center" wrapText="1"/>
    </xf>
    <xf numFmtId="165" fontId="33" fillId="25" borderId="22" xfId="0" applyNumberFormat="1" applyFont="1" applyFill="1" applyBorder="1" applyAlignment="1">
      <alignment horizontal="center" vertical="center"/>
    </xf>
    <xf numFmtId="165" fontId="32" fillId="0" borderId="22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65" fontId="32" fillId="0" borderId="51" xfId="0" applyNumberFormat="1" applyFont="1" applyFill="1" applyBorder="1" applyAlignment="1">
      <alignment horizontal="center" vertical="center" wrapText="1"/>
    </xf>
    <xf numFmtId="165" fontId="32" fillId="0" borderId="1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52" xfId="0" applyNumberFormat="1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49" fontId="7" fillId="0" borderId="52" xfId="0" applyNumberFormat="1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165" fontId="7" fillId="0" borderId="22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vertical="center" wrapText="1"/>
    </xf>
    <xf numFmtId="49" fontId="4" fillId="25" borderId="17" xfId="0" applyNumberFormat="1" applyFont="1" applyFill="1" applyBorder="1" applyAlignment="1">
      <alignment/>
    </xf>
    <xf numFmtId="49" fontId="4" fillId="25" borderId="17" xfId="0" applyNumberFormat="1" applyFont="1" applyFill="1" applyBorder="1" applyAlignment="1">
      <alignment horizontal="center"/>
    </xf>
    <xf numFmtId="0" fontId="4" fillId="25" borderId="16" xfId="0" applyFont="1" applyFill="1" applyBorder="1" applyAlignment="1">
      <alignment horizontal="left" vertical="center" wrapText="1"/>
    </xf>
    <xf numFmtId="164" fontId="5" fillId="25" borderId="17" xfId="0" applyNumberFormat="1" applyFont="1" applyFill="1" applyBorder="1" applyAlignment="1">
      <alignment horizontal="center"/>
    </xf>
    <xf numFmtId="164" fontId="5" fillId="25" borderId="21" xfId="0" applyNumberFormat="1" applyFont="1" applyFill="1" applyBorder="1" applyAlignment="1">
      <alignment horizontal="center"/>
    </xf>
    <xf numFmtId="164" fontId="4" fillId="25" borderId="17" xfId="0" applyNumberFormat="1" applyFont="1" applyFill="1" applyBorder="1" applyAlignment="1">
      <alignment horizontal="center"/>
    </xf>
    <xf numFmtId="164" fontId="4" fillId="25" borderId="21" xfId="0" applyNumberFormat="1" applyFont="1" applyFill="1" applyBorder="1" applyAlignment="1">
      <alignment horizontal="center"/>
    </xf>
    <xf numFmtId="0" fontId="4" fillId="25" borderId="16" xfId="0" applyNumberFormat="1" applyFont="1" applyFill="1" applyBorder="1" applyAlignment="1">
      <alignment vertical="center" wrapText="1"/>
    </xf>
    <xf numFmtId="49" fontId="4" fillId="25" borderId="17" xfId="0" applyNumberFormat="1" applyFont="1" applyFill="1" applyBorder="1" applyAlignment="1">
      <alignment horizontal="left"/>
    </xf>
    <xf numFmtId="0" fontId="6" fillId="25" borderId="16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vertical="justify" wrapText="1"/>
    </xf>
    <xf numFmtId="49" fontId="4" fillId="25" borderId="17" xfId="0" applyNumberFormat="1" applyFont="1" applyFill="1" applyBorder="1" applyAlignment="1">
      <alignment horizontal="center"/>
    </xf>
    <xf numFmtId="164" fontId="5" fillId="25" borderId="17" xfId="0" applyNumberFormat="1" applyFont="1" applyFill="1" applyBorder="1" applyAlignment="1">
      <alignment horizontal="center"/>
    </xf>
    <xf numFmtId="164" fontId="5" fillId="25" borderId="21" xfId="0" applyNumberFormat="1" applyFont="1" applyFill="1" applyBorder="1" applyAlignment="1">
      <alignment horizontal="center"/>
    </xf>
    <xf numFmtId="49" fontId="4" fillId="25" borderId="17" xfId="0" applyNumberFormat="1" applyFont="1" applyFill="1" applyBorder="1" applyAlignment="1">
      <alignment/>
    </xf>
    <xf numFmtId="49" fontId="7" fillId="25" borderId="17" xfId="0" applyNumberFormat="1" applyFont="1" applyFill="1" applyBorder="1" applyAlignment="1">
      <alignment horizontal="center"/>
    </xf>
    <xf numFmtId="0" fontId="4" fillId="25" borderId="16" xfId="0" applyFont="1" applyFill="1" applyBorder="1" applyAlignment="1">
      <alignment vertical="center" wrapText="1"/>
    </xf>
    <xf numFmtId="49" fontId="0" fillId="25" borderId="17" xfId="0" applyNumberFormat="1" applyFill="1" applyBorder="1" applyAlignment="1">
      <alignment/>
    </xf>
    <xf numFmtId="0" fontId="39" fillId="0" borderId="19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164" fontId="33" fillId="0" borderId="22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164" fontId="33" fillId="25" borderId="22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49" fontId="7" fillId="0" borderId="53" xfId="0" applyNumberFormat="1" applyFont="1" applyBorder="1" applyAlignment="1">
      <alignment horizontal="left" vertical="center" wrapText="1"/>
    </xf>
    <xf numFmtId="49" fontId="30" fillId="0" borderId="53" xfId="0" applyNumberFormat="1" applyFont="1" applyBorder="1" applyAlignment="1">
      <alignment horizontal="left" vertical="center" wrapText="1"/>
    </xf>
    <xf numFmtId="49" fontId="30" fillId="24" borderId="53" xfId="0" applyNumberFormat="1" applyFont="1" applyFill="1" applyBorder="1" applyAlignment="1">
      <alignment horizontal="left" vertical="center" wrapText="1"/>
    </xf>
    <xf numFmtId="49" fontId="30" fillId="25" borderId="53" xfId="0" applyNumberFormat="1" applyFont="1" applyFill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25" borderId="12" xfId="0" applyNumberFormat="1" applyFont="1" applyFill="1" applyBorder="1" applyAlignment="1">
      <alignment horizontal="left" vertical="center" wrapText="1"/>
    </xf>
    <xf numFmtId="0" fontId="7" fillId="25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25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left" vertical="center" wrapText="1"/>
    </xf>
    <xf numFmtId="49" fontId="7" fillId="24" borderId="52" xfId="0" applyNumberFormat="1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center" vertical="justify"/>
    </xf>
    <xf numFmtId="165" fontId="35" fillId="0" borderId="15" xfId="0" applyNumberFormat="1" applyFont="1" applyFill="1" applyBorder="1" applyAlignment="1">
      <alignment horizontal="center" vertical="center" wrapText="1"/>
    </xf>
    <xf numFmtId="165" fontId="35" fillId="0" borderId="24" xfId="0" applyNumberFormat="1" applyFont="1" applyBorder="1" applyAlignment="1">
      <alignment horizontal="center" vertical="center" wrapText="1"/>
    </xf>
    <xf numFmtId="165" fontId="33" fillId="0" borderId="0" xfId="0" applyNumberFormat="1" applyFont="1" applyBorder="1" applyAlignment="1">
      <alignment horizontal="center" vertical="center" wrapText="1"/>
    </xf>
    <xf numFmtId="165" fontId="33" fillId="24" borderId="0" xfId="0" applyNumberFormat="1" applyFont="1" applyFill="1" applyBorder="1" applyAlignment="1">
      <alignment horizontal="center" vertical="center" wrapText="1"/>
    </xf>
    <xf numFmtId="165" fontId="35" fillId="0" borderId="0" xfId="0" applyNumberFormat="1" applyFont="1" applyBorder="1" applyAlignment="1">
      <alignment horizontal="center" vertical="center" wrapText="1"/>
    </xf>
    <xf numFmtId="165" fontId="33" fillId="0" borderId="0" xfId="0" applyNumberFormat="1" applyFont="1" applyFill="1" applyBorder="1" applyAlignment="1">
      <alignment horizontal="center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33" fillId="0" borderId="55" xfId="0" applyNumberFormat="1" applyFont="1" applyFill="1" applyBorder="1" applyAlignment="1">
      <alignment horizontal="center" vertical="center" wrapText="1"/>
    </xf>
    <xf numFmtId="165" fontId="33" fillId="0" borderId="56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49" fontId="30" fillId="0" borderId="57" xfId="0" applyNumberFormat="1" applyFont="1" applyBorder="1" applyAlignment="1">
      <alignment horizontal="left" vertical="center" wrapText="1"/>
    </xf>
    <xf numFmtId="49" fontId="30" fillId="0" borderId="38" xfId="0" applyNumberFormat="1" applyFont="1" applyBorder="1" applyAlignment="1">
      <alignment horizontal="left" vertical="center" wrapText="1"/>
    </xf>
    <xf numFmtId="49" fontId="30" fillId="0" borderId="58" xfId="0" applyNumberFormat="1" applyFont="1" applyBorder="1" applyAlignment="1">
      <alignment horizontal="left" vertical="center" wrapText="1"/>
    </xf>
    <xf numFmtId="49" fontId="7" fillId="0" borderId="59" xfId="0" applyNumberFormat="1" applyFont="1" applyBorder="1" applyAlignment="1">
      <alignment horizontal="left" vertical="center" wrapText="1"/>
    </xf>
    <xf numFmtId="49" fontId="7" fillId="0" borderId="59" xfId="0" applyNumberFormat="1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49" fontId="30" fillId="0" borderId="59" xfId="0" applyNumberFormat="1" applyFont="1" applyBorder="1" applyAlignment="1">
      <alignment horizontal="left" vertical="center" wrapText="1"/>
    </xf>
    <xf numFmtId="49" fontId="30" fillId="0" borderId="5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left" vertical="center" wrapText="1"/>
    </xf>
    <xf numFmtId="49" fontId="30" fillId="0" borderId="52" xfId="0" applyNumberFormat="1" applyFont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49" fontId="30" fillId="0" borderId="59" xfId="0" applyNumberFormat="1" applyFont="1" applyFill="1" applyBorder="1" applyAlignment="1">
      <alignment horizontal="left" vertical="center" wrapText="1"/>
    </xf>
    <xf numFmtId="49" fontId="30" fillId="24" borderId="5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31" fillId="0" borderId="59" xfId="0" applyNumberFormat="1" applyFont="1" applyFill="1" applyBorder="1" applyAlignment="1">
      <alignment horizontal="left" vertical="center" wrapText="1"/>
    </xf>
    <xf numFmtId="49" fontId="30" fillId="25" borderId="59" xfId="0" applyNumberFormat="1" applyFont="1" applyFill="1" applyBorder="1" applyAlignment="1">
      <alignment horizontal="left" vertical="center" wrapText="1"/>
    </xf>
    <xf numFmtId="49" fontId="7" fillId="25" borderId="52" xfId="0" applyNumberFormat="1" applyFont="1" applyFill="1" applyBorder="1" applyAlignment="1">
      <alignment horizontal="left" vertical="center" wrapText="1"/>
    </xf>
    <xf numFmtId="49" fontId="7" fillId="25" borderId="59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49" fontId="30" fillId="0" borderId="53" xfId="0" applyNumberFormat="1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40" fillId="0" borderId="52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49" fontId="31" fillId="25" borderId="59" xfId="0" applyNumberFormat="1" applyFont="1" applyFill="1" applyBorder="1" applyAlignment="1">
      <alignment horizontal="left" vertical="center" wrapText="1"/>
    </xf>
    <xf numFmtId="0" fontId="39" fillId="0" borderId="5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25" borderId="12" xfId="0" applyNumberFormat="1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/>
    </xf>
    <xf numFmtId="0" fontId="4" fillId="25" borderId="12" xfId="0" applyFont="1" applyFill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wrapText="1"/>
    </xf>
    <xf numFmtId="49" fontId="30" fillId="0" borderId="60" xfId="0" applyNumberFormat="1" applyFont="1" applyBorder="1" applyAlignment="1">
      <alignment horizontal="left" wrapText="1"/>
    </xf>
    <xf numFmtId="49" fontId="30" fillId="0" borderId="40" xfId="0" applyNumberFormat="1" applyFont="1" applyFill="1" applyBorder="1" applyAlignment="1">
      <alignment horizontal="left" wrapText="1"/>
    </xf>
    <xf numFmtId="49" fontId="30" fillId="0" borderId="27" xfId="0" applyNumberFormat="1" applyFont="1" applyFill="1" applyBorder="1" applyAlignment="1">
      <alignment horizontal="left" wrapText="1"/>
    </xf>
    <xf numFmtId="49" fontId="30" fillId="0" borderId="61" xfId="0" applyNumberFormat="1" applyFont="1" applyFill="1" applyBorder="1" applyAlignment="1">
      <alignment horizontal="left" wrapText="1"/>
    </xf>
    <xf numFmtId="49" fontId="7" fillId="0" borderId="59" xfId="0" applyNumberFormat="1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49" fontId="7" fillId="0" borderId="52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53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7" fillId="25" borderId="59" xfId="0" applyNumberFormat="1" applyFont="1" applyFill="1" applyBorder="1" applyAlignment="1">
      <alignment horizontal="left" vertical="center"/>
    </xf>
    <xf numFmtId="49" fontId="7" fillId="25" borderId="16" xfId="0" applyNumberFormat="1" applyFont="1" applyFill="1" applyBorder="1" applyAlignment="1">
      <alignment horizontal="left" vertical="center"/>
    </xf>
    <xf numFmtId="49" fontId="7" fillId="25" borderId="17" xfId="0" applyNumberFormat="1" applyFont="1" applyFill="1" applyBorder="1" applyAlignment="1">
      <alignment horizontal="left" vertical="center"/>
    </xf>
    <xf numFmtId="49" fontId="7" fillId="25" borderId="52" xfId="0" applyNumberFormat="1" applyFont="1" applyFill="1" applyBorder="1" applyAlignment="1">
      <alignment horizontal="left" vertical="center"/>
    </xf>
    <xf numFmtId="49" fontId="30" fillId="0" borderId="59" xfId="0" applyNumberFormat="1" applyFont="1" applyFill="1" applyBorder="1" applyAlignment="1">
      <alignment horizontal="left" vertical="center"/>
    </xf>
    <xf numFmtId="186" fontId="7" fillId="0" borderId="52" xfId="61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49" fontId="6" fillId="25" borderId="59" xfId="0" applyNumberFormat="1" applyFont="1" applyFill="1" applyBorder="1" applyAlignment="1">
      <alignment horizontal="left" vertical="center"/>
    </xf>
    <xf numFmtId="0" fontId="6" fillId="25" borderId="52" xfId="0" applyFont="1" applyFill="1" applyBorder="1" applyAlignment="1">
      <alignment horizontal="left" vertical="center"/>
    </xf>
    <xf numFmtId="0" fontId="6" fillId="25" borderId="54" xfId="0" applyFont="1" applyFill="1" applyBorder="1" applyAlignment="1">
      <alignment horizontal="left" vertical="center"/>
    </xf>
    <xf numFmtId="49" fontId="4" fillId="25" borderId="53" xfId="0" applyNumberFormat="1" applyFont="1" applyFill="1" applyBorder="1" applyAlignment="1">
      <alignment horizontal="left" vertical="center"/>
    </xf>
    <xf numFmtId="49" fontId="4" fillId="25" borderId="17" xfId="0" applyNumberFormat="1" applyFont="1" applyFill="1" applyBorder="1" applyAlignment="1">
      <alignment horizontal="left" vertical="center"/>
    </xf>
    <xf numFmtId="49" fontId="4" fillId="25" borderId="52" xfId="0" applyNumberFormat="1" applyFont="1" applyFill="1" applyBorder="1" applyAlignment="1">
      <alignment horizontal="left" vertical="center"/>
    </xf>
    <xf numFmtId="49" fontId="7" fillId="25" borderId="53" xfId="0" applyNumberFormat="1" applyFont="1" applyFill="1" applyBorder="1" applyAlignment="1">
      <alignment horizontal="left" vertical="center"/>
    </xf>
    <xf numFmtId="49" fontId="4" fillId="25" borderId="17" xfId="0" applyNumberFormat="1" applyFont="1" applyFill="1" applyBorder="1" applyAlignment="1">
      <alignment horizontal="left" vertical="center"/>
    </xf>
    <xf numFmtId="49" fontId="4" fillId="25" borderId="52" xfId="0" applyNumberFormat="1" applyFont="1" applyFill="1" applyBorder="1" applyAlignment="1">
      <alignment horizontal="left" vertical="center"/>
    </xf>
    <xf numFmtId="49" fontId="31" fillId="25" borderId="59" xfId="0" applyNumberFormat="1" applyFont="1" applyFill="1" applyBorder="1" applyAlignment="1">
      <alignment horizontal="left" vertical="center"/>
    </xf>
    <xf numFmtId="49" fontId="4" fillId="25" borderId="53" xfId="0" applyNumberFormat="1" applyFont="1" applyFill="1" applyBorder="1" applyAlignment="1">
      <alignment horizontal="left" vertical="center"/>
    </xf>
    <xf numFmtId="165" fontId="33" fillId="0" borderId="12" xfId="61" applyNumberFormat="1" applyFont="1" applyFill="1" applyBorder="1" applyAlignment="1">
      <alignment horizontal="center" vertical="center"/>
    </xf>
    <xf numFmtId="165" fontId="33" fillId="0" borderId="22" xfId="61" applyNumberFormat="1" applyFont="1" applyFill="1" applyBorder="1" applyAlignment="1">
      <alignment horizontal="center" vertical="center"/>
    </xf>
    <xf numFmtId="165" fontId="33" fillId="25" borderId="12" xfId="61" applyNumberFormat="1" applyFont="1" applyFill="1" applyBorder="1" applyAlignment="1">
      <alignment horizontal="center" vertical="center"/>
    </xf>
    <xf numFmtId="165" fontId="33" fillId="0" borderId="12" xfId="0" applyNumberFormat="1" applyFont="1" applyBorder="1" applyAlignment="1">
      <alignment horizontal="center" vertical="center"/>
    </xf>
    <xf numFmtId="164" fontId="4" fillId="25" borderId="21" xfId="0" applyNumberFormat="1" applyFont="1" applyFill="1" applyBorder="1" applyAlignment="1">
      <alignment horizontal="center" vertical="center"/>
    </xf>
    <xf numFmtId="164" fontId="5" fillId="25" borderId="21" xfId="0" applyNumberFormat="1" applyFont="1" applyFill="1" applyBorder="1" applyAlignment="1">
      <alignment horizontal="center" vertical="center"/>
    </xf>
    <xf numFmtId="164" fontId="5" fillId="25" borderId="21" xfId="0" applyNumberFormat="1" applyFont="1" applyFill="1" applyBorder="1" applyAlignment="1">
      <alignment horizontal="center" vertical="center"/>
    </xf>
    <xf numFmtId="164" fontId="4" fillId="25" borderId="12" xfId="0" applyNumberFormat="1" applyFont="1" applyFill="1" applyBorder="1" applyAlignment="1">
      <alignment horizontal="center" vertical="center"/>
    </xf>
    <xf numFmtId="164" fontId="5" fillId="25" borderId="12" xfId="0" applyNumberFormat="1" applyFont="1" applyFill="1" applyBorder="1" applyAlignment="1">
      <alignment horizontal="center" vertical="center"/>
    </xf>
    <xf numFmtId="164" fontId="5" fillId="25" borderId="12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left" vertical="justify" wrapText="1"/>
    </xf>
    <xf numFmtId="0" fontId="7" fillId="0" borderId="49" xfId="0" applyFont="1" applyBorder="1" applyAlignment="1">
      <alignment horizontal="left"/>
    </xf>
    <xf numFmtId="49" fontId="7" fillId="0" borderId="16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164" fontId="33" fillId="0" borderId="22" xfId="61" applyNumberFormat="1" applyFont="1" applyFill="1" applyBorder="1" applyAlignment="1">
      <alignment horizontal="center"/>
    </xf>
    <xf numFmtId="49" fontId="4" fillId="25" borderId="17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3"/>
  <sheetViews>
    <sheetView tabSelected="1" zoomScalePageLayoutView="0" workbookViewId="0" topLeftCell="A1">
      <selection activeCell="G6" sqref="G6"/>
    </sheetView>
  </sheetViews>
  <sheetFormatPr defaultColWidth="9.125" defaultRowHeight="12.75"/>
  <cols>
    <col min="1" max="1" width="65.00390625" style="34" customWidth="1"/>
    <col min="2" max="2" width="2.00390625" style="1" hidden="1" customWidth="1"/>
    <col min="3" max="3" width="7.75390625" style="0" customWidth="1"/>
    <col min="4" max="4" width="6.875" style="0" customWidth="1"/>
    <col min="5" max="5" width="12.25390625" style="0" customWidth="1"/>
    <col min="6" max="6" width="9.625" style="0" customWidth="1"/>
    <col min="7" max="7" width="13.75390625" style="3" customWidth="1"/>
    <col min="8" max="8" width="6.125" style="3" hidden="1" customWidth="1"/>
    <col min="9" max="9" width="10.25390625" style="3" hidden="1" customWidth="1"/>
    <col min="10" max="10" width="13.625" style="32" hidden="1" customWidth="1"/>
    <col min="11" max="11" width="12.25390625" style="0" hidden="1" customWidth="1"/>
    <col min="12" max="12" width="14.375" style="0" hidden="1" customWidth="1"/>
    <col min="13" max="13" width="14.875" style="0" customWidth="1"/>
    <col min="14" max="14" width="12.75390625" style="0" hidden="1" customWidth="1"/>
    <col min="15" max="15" width="9.125" style="0" hidden="1" customWidth="1"/>
  </cols>
  <sheetData>
    <row r="1" spans="7:8" ht="12.75">
      <c r="G1" s="15" t="s">
        <v>435</v>
      </c>
      <c r="H1" s="31"/>
    </row>
    <row r="2" spans="7:8" ht="12.75">
      <c r="G2" s="4" t="s">
        <v>676</v>
      </c>
      <c r="H2" s="31"/>
    </row>
    <row r="3" spans="7:8" ht="12.75">
      <c r="G3" s="4" t="s">
        <v>263</v>
      </c>
      <c r="H3" s="31"/>
    </row>
    <row r="4" spans="7:8" ht="12.75">
      <c r="G4" s="4" t="s">
        <v>264</v>
      </c>
      <c r="H4" s="31"/>
    </row>
    <row r="5" spans="7:13" ht="12.75" customHeight="1">
      <c r="G5" s="332" t="s">
        <v>677</v>
      </c>
      <c r="H5" s="333"/>
      <c r="I5" s="333"/>
      <c r="J5" s="333"/>
      <c r="K5" s="333"/>
      <c r="L5" s="333"/>
      <c r="M5" s="333"/>
    </row>
    <row r="6" spans="7:13" ht="12.75" customHeight="1">
      <c r="G6" s="65"/>
      <c r="H6" s="25"/>
      <c r="I6" s="25"/>
      <c r="J6" s="25"/>
      <c r="K6" s="25"/>
      <c r="L6" s="25"/>
      <c r="M6" s="25"/>
    </row>
    <row r="7" spans="3:6" ht="12.75">
      <c r="C7" s="6" t="s">
        <v>664</v>
      </c>
      <c r="F7" s="4"/>
    </row>
    <row r="8" spans="3:6" ht="12.75">
      <c r="C8" s="6" t="s">
        <v>265</v>
      </c>
      <c r="F8" s="7"/>
    </row>
    <row r="9" spans="3:11" ht="12.75">
      <c r="C9" s="6" t="s">
        <v>266</v>
      </c>
      <c r="F9" s="7"/>
      <c r="K9" s="32"/>
    </row>
    <row r="10" ht="12.75">
      <c r="C10" s="8" t="s">
        <v>267</v>
      </c>
    </row>
    <row r="11" spans="2:11" ht="16.5" thickBot="1">
      <c r="B11" s="9"/>
      <c r="G11" s="5"/>
      <c r="H11" s="5"/>
      <c r="I11" s="5"/>
      <c r="K11" s="32"/>
    </row>
    <row r="12" spans="1:13" ht="15" thickBot="1">
      <c r="A12" s="86" t="s">
        <v>268</v>
      </c>
      <c r="C12" s="87" t="s">
        <v>579</v>
      </c>
      <c r="D12" s="88"/>
      <c r="E12" s="88"/>
      <c r="F12" s="89"/>
      <c r="G12" s="90" t="s">
        <v>270</v>
      </c>
      <c r="H12" s="90" t="s">
        <v>271</v>
      </c>
      <c r="I12" s="90" t="s">
        <v>272</v>
      </c>
      <c r="J12" s="91"/>
      <c r="K12" s="92"/>
      <c r="L12" s="92"/>
      <c r="M12" s="90" t="s">
        <v>270</v>
      </c>
    </row>
    <row r="13" spans="1:13" ht="43.5" customHeight="1" thickBot="1">
      <c r="A13" s="93"/>
      <c r="B13" s="146" t="s">
        <v>273</v>
      </c>
      <c r="C13" s="144" t="s">
        <v>274</v>
      </c>
      <c r="D13" s="147" t="s">
        <v>275</v>
      </c>
      <c r="E13" s="94" t="s">
        <v>276</v>
      </c>
      <c r="F13" s="145" t="s">
        <v>578</v>
      </c>
      <c r="G13" s="239" t="s">
        <v>577</v>
      </c>
      <c r="H13" s="239" t="s">
        <v>426</v>
      </c>
      <c r="I13" s="239" t="s">
        <v>427</v>
      </c>
      <c r="J13" s="91"/>
      <c r="K13" s="91"/>
      <c r="L13" s="92"/>
      <c r="M13" s="239" t="s">
        <v>665</v>
      </c>
    </row>
    <row r="14" spans="1:13" s="12" customFormat="1" ht="15">
      <c r="A14" s="252" t="s">
        <v>428</v>
      </c>
      <c r="B14" s="253"/>
      <c r="C14" s="134" t="s">
        <v>429</v>
      </c>
      <c r="D14" s="254"/>
      <c r="E14" s="254"/>
      <c r="F14" s="255"/>
      <c r="G14" s="240">
        <f>SUM(G15+G19+G24+G43+G47+G56+G62+G65)</f>
        <v>193593.69999999998</v>
      </c>
      <c r="H14" s="240" t="e">
        <f>SUM(H15+H19+H24+H46+H49+H67+H71+H63+H57)</f>
        <v>#REF!</v>
      </c>
      <c r="I14" s="240" t="e">
        <f>SUM(H14/G14*100)</f>
        <v>#REF!</v>
      </c>
      <c r="J14" s="241"/>
      <c r="K14" s="241"/>
      <c r="L14" s="241" t="e">
        <f>SUM('ведомствен.2016-2014'!G26+'ведомствен.2016-2014'!G36+'ведомствен.2016-2014'!G55+'ведомствен.2016-2014'!G295+'ведомствен.2016-2014'!G338+'ведомствен.2016-2014'!#REF!)</f>
        <v>#REF!</v>
      </c>
      <c r="M14" s="240">
        <f>SUM(M15+M19+M24+M43+M47+M56+M62+M65)</f>
        <v>193560.9</v>
      </c>
    </row>
    <row r="15" spans="1:13" ht="28.5">
      <c r="A15" s="232" t="s">
        <v>430</v>
      </c>
      <c r="B15" s="256"/>
      <c r="C15" s="36" t="s">
        <v>429</v>
      </c>
      <c r="D15" s="46" t="s">
        <v>431</v>
      </c>
      <c r="E15" s="46"/>
      <c r="F15" s="237"/>
      <c r="G15" s="73">
        <f>SUM(G16)</f>
        <v>1725</v>
      </c>
      <c r="H15" s="73">
        <f>SUM(H16)</f>
        <v>983.5</v>
      </c>
      <c r="I15" s="73">
        <f>SUM(H15/G15*100)</f>
        <v>57.014492753623195</v>
      </c>
      <c r="J15" s="242"/>
      <c r="K15" s="242"/>
      <c r="L15" s="242">
        <f>SUM(J18:J88)</f>
        <v>193593.69999999998</v>
      </c>
      <c r="M15" s="73">
        <f>SUM(M16)</f>
        <v>1725</v>
      </c>
    </row>
    <row r="16" spans="1:13" ht="42.75">
      <c r="A16" s="232" t="s">
        <v>91</v>
      </c>
      <c r="B16" s="256"/>
      <c r="C16" s="36" t="s">
        <v>429</v>
      </c>
      <c r="D16" s="46" t="s">
        <v>431</v>
      </c>
      <c r="E16" s="46" t="s">
        <v>92</v>
      </c>
      <c r="F16" s="237"/>
      <c r="G16" s="73">
        <f>SUM(G18:G18)</f>
        <v>1725</v>
      </c>
      <c r="H16" s="73">
        <f>SUM(H18:H18)</f>
        <v>983.5</v>
      </c>
      <c r="I16" s="73">
        <f aca="true" t="shared" si="0" ref="I16:I55">SUM(H16/G16*100)</f>
        <v>57.014492753623195</v>
      </c>
      <c r="J16" s="242"/>
      <c r="K16" s="242"/>
      <c r="L16" s="242"/>
      <c r="M16" s="73">
        <f>SUM(M18:M18)</f>
        <v>1725</v>
      </c>
    </row>
    <row r="17" spans="1:13" ht="14.25">
      <c r="A17" s="232" t="s">
        <v>93</v>
      </c>
      <c r="B17" s="256"/>
      <c r="C17" s="36" t="s">
        <v>429</v>
      </c>
      <c r="D17" s="46" t="s">
        <v>431</v>
      </c>
      <c r="E17" s="46" t="s">
        <v>94</v>
      </c>
      <c r="F17" s="237"/>
      <c r="G17" s="73">
        <f>SUM(G18)</f>
        <v>1725</v>
      </c>
      <c r="H17" s="73">
        <f>SUM(H18)</f>
        <v>983.5</v>
      </c>
      <c r="I17" s="73">
        <f t="shared" si="0"/>
        <v>57.014492753623195</v>
      </c>
      <c r="J17" s="242"/>
      <c r="K17" s="242"/>
      <c r="L17" s="242"/>
      <c r="M17" s="73">
        <f>SUM(M18)</f>
        <v>1725</v>
      </c>
    </row>
    <row r="18" spans="1:13" ht="42.75">
      <c r="A18" s="232" t="s">
        <v>461</v>
      </c>
      <c r="B18" s="256"/>
      <c r="C18" s="36" t="s">
        <v>429</v>
      </c>
      <c r="D18" s="46" t="s">
        <v>431</v>
      </c>
      <c r="E18" s="46" t="s">
        <v>94</v>
      </c>
      <c r="F18" s="237" t="s">
        <v>462</v>
      </c>
      <c r="G18" s="73">
        <v>1725</v>
      </c>
      <c r="H18" s="73">
        <v>983.5</v>
      </c>
      <c r="I18" s="73">
        <f t="shared" si="0"/>
        <v>57.014492753623195</v>
      </c>
      <c r="J18" s="242">
        <f>SUM('ведомствен.2016-2014'!G16)</f>
        <v>1725</v>
      </c>
      <c r="K18" s="242">
        <f>SUM('ведомствен.2016-2014'!H16)</f>
        <v>1725</v>
      </c>
      <c r="L18" s="242">
        <f>SUM(G18-J18)</f>
        <v>0</v>
      </c>
      <c r="M18" s="73">
        <v>1725</v>
      </c>
    </row>
    <row r="19" spans="1:13" ht="42.75">
      <c r="A19" s="232" t="s">
        <v>97</v>
      </c>
      <c r="B19" s="256"/>
      <c r="C19" s="36" t="s">
        <v>429</v>
      </c>
      <c r="D19" s="46" t="s">
        <v>98</v>
      </c>
      <c r="E19" s="46"/>
      <c r="F19" s="237"/>
      <c r="G19" s="73">
        <f>SUM(G20)</f>
        <v>11501.1</v>
      </c>
      <c r="H19" s="73" t="e">
        <f>SUM(H20)</f>
        <v>#REF!</v>
      </c>
      <c r="I19" s="73" t="e">
        <f t="shared" si="0"/>
        <v>#REF!</v>
      </c>
      <c r="J19" s="242"/>
      <c r="K19" s="242"/>
      <c r="L19" s="242"/>
      <c r="M19" s="73">
        <f>SUM(M20)</f>
        <v>11501.1</v>
      </c>
    </row>
    <row r="20" spans="1:13" ht="42.75">
      <c r="A20" s="232" t="s">
        <v>91</v>
      </c>
      <c r="B20" s="256"/>
      <c r="C20" s="36" t="s">
        <v>429</v>
      </c>
      <c r="D20" s="46" t="s">
        <v>98</v>
      </c>
      <c r="E20" s="46" t="s">
        <v>92</v>
      </c>
      <c r="F20" s="187"/>
      <c r="G20" s="73">
        <f>SUM(G21+G23)</f>
        <v>11501.1</v>
      </c>
      <c r="H20" s="73" t="e">
        <f>SUM(H21+H23)</f>
        <v>#REF!</v>
      </c>
      <c r="I20" s="73" t="e">
        <f t="shared" si="0"/>
        <v>#REF!</v>
      </c>
      <c r="J20" s="242"/>
      <c r="K20" s="242"/>
      <c r="L20" s="242"/>
      <c r="M20" s="73">
        <f>SUM(M21+M23)</f>
        <v>11501.1</v>
      </c>
    </row>
    <row r="21" spans="1:13" ht="14.25">
      <c r="A21" s="232" t="s">
        <v>99</v>
      </c>
      <c r="B21" s="256"/>
      <c r="C21" s="36" t="s">
        <v>100</v>
      </c>
      <c r="D21" s="46" t="s">
        <v>98</v>
      </c>
      <c r="E21" s="46" t="s">
        <v>101</v>
      </c>
      <c r="F21" s="187"/>
      <c r="G21" s="73">
        <f>SUM(G22)</f>
        <v>11491.5</v>
      </c>
      <c r="H21" s="73">
        <f>SUM(H22)</f>
        <v>8068.7</v>
      </c>
      <c r="I21" s="73">
        <f t="shared" si="0"/>
        <v>70.21450637427664</v>
      </c>
      <c r="J21" s="242"/>
      <c r="K21" s="242"/>
      <c r="L21" s="242"/>
      <c r="M21" s="73">
        <f>SUM(M22)</f>
        <v>11491.5</v>
      </c>
    </row>
    <row r="22" spans="1:13" ht="42.75">
      <c r="A22" s="232" t="s">
        <v>461</v>
      </c>
      <c r="B22" s="256"/>
      <c r="C22" s="36" t="s">
        <v>429</v>
      </c>
      <c r="D22" s="46" t="s">
        <v>98</v>
      </c>
      <c r="E22" s="46" t="s">
        <v>101</v>
      </c>
      <c r="F22" s="237" t="s">
        <v>462</v>
      </c>
      <c r="G22" s="73">
        <v>11491.5</v>
      </c>
      <c r="H22" s="73">
        <v>8068.7</v>
      </c>
      <c r="I22" s="73">
        <f t="shared" si="0"/>
        <v>70.21450637427664</v>
      </c>
      <c r="J22" s="242">
        <f>SUM('ведомствен.2016-2014'!G20)</f>
        <v>11491.5</v>
      </c>
      <c r="K22" s="242">
        <f>SUM('ведомствен.2016-2014'!H20)</f>
        <v>11491.5</v>
      </c>
      <c r="L22" s="242">
        <f>SUM(G22-J22)</f>
        <v>0</v>
      </c>
      <c r="M22" s="73">
        <v>11491.5</v>
      </c>
    </row>
    <row r="23" spans="1:13" ht="14.25">
      <c r="A23" s="232" t="s">
        <v>463</v>
      </c>
      <c r="B23" s="256"/>
      <c r="C23" s="36" t="s">
        <v>429</v>
      </c>
      <c r="D23" s="46" t="s">
        <v>98</v>
      </c>
      <c r="E23" s="46" t="s">
        <v>101</v>
      </c>
      <c r="F23" s="237" t="s">
        <v>112</v>
      </c>
      <c r="G23" s="74">
        <v>9.6</v>
      </c>
      <c r="H23" s="73" t="e">
        <f>SUM(#REF!)</f>
        <v>#REF!</v>
      </c>
      <c r="I23" s="73" t="e">
        <f t="shared" si="0"/>
        <v>#REF!</v>
      </c>
      <c r="J23" s="242">
        <f>SUM('ведомствен.2016-2014'!G21)</f>
        <v>9.6</v>
      </c>
      <c r="K23" s="242">
        <f>SUM('ведомствен.2016-2014'!H21)</f>
        <v>9.6</v>
      </c>
      <c r="L23" s="242"/>
      <c r="M23" s="74">
        <v>9.6</v>
      </c>
    </row>
    <row r="24" spans="1:13" ht="42.75">
      <c r="A24" s="232" t="s">
        <v>248</v>
      </c>
      <c r="B24" s="256"/>
      <c r="C24" s="36" t="s">
        <v>429</v>
      </c>
      <c r="D24" s="46" t="s">
        <v>114</v>
      </c>
      <c r="E24" s="46"/>
      <c r="F24" s="237"/>
      <c r="G24" s="73">
        <f>SUM(G25)</f>
        <v>96567.19999999998</v>
      </c>
      <c r="H24" s="73">
        <f>SUM(H25)+H40+H38</f>
        <v>52319.90000000001</v>
      </c>
      <c r="I24" s="73">
        <f t="shared" si="0"/>
        <v>54.17978361182681</v>
      </c>
      <c r="J24" s="242"/>
      <c r="K24" s="242"/>
      <c r="L24" s="242"/>
      <c r="M24" s="73">
        <f>SUM(M25)</f>
        <v>96567.19999999998</v>
      </c>
    </row>
    <row r="25" spans="1:13" ht="42.75">
      <c r="A25" s="232" t="s">
        <v>91</v>
      </c>
      <c r="B25" s="256"/>
      <c r="C25" s="36" t="s">
        <v>429</v>
      </c>
      <c r="D25" s="46" t="s">
        <v>114</v>
      </c>
      <c r="E25" s="46" t="s">
        <v>92</v>
      </c>
      <c r="F25" s="187"/>
      <c r="G25" s="73">
        <f>SUM(G26+G41+G29+G32+G35+G38)</f>
        <v>96567.19999999998</v>
      </c>
      <c r="H25" s="73">
        <f>SUM(H26+H36)</f>
        <v>51899.200000000004</v>
      </c>
      <c r="I25" s="73">
        <f t="shared" si="0"/>
        <v>53.744128441127025</v>
      </c>
      <c r="J25" s="242"/>
      <c r="K25" s="242"/>
      <c r="L25" s="242"/>
      <c r="M25" s="73">
        <f>SUM(M26+M41+M29+M32+M35+M38)</f>
        <v>96567.19999999998</v>
      </c>
    </row>
    <row r="26" spans="1:13" ht="14.25">
      <c r="A26" s="232" t="s">
        <v>99</v>
      </c>
      <c r="B26" s="256"/>
      <c r="C26" s="36" t="s">
        <v>429</v>
      </c>
      <c r="D26" s="46" t="s">
        <v>114</v>
      </c>
      <c r="E26" s="46" t="s">
        <v>101</v>
      </c>
      <c r="F26" s="187"/>
      <c r="G26" s="73">
        <f>SUM(G27+G28)</f>
        <v>93257.59999999999</v>
      </c>
      <c r="H26" s="73">
        <f>SUM(H27:H27+H28+H30+H33)+H29</f>
        <v>51161.8</v>
      </c>
      <c r="I26" s="73">
        <f t="shared" si="0"/>
        <v>54.86072984936349</v>
      </c>
      <c r="J26" s="242"/>
      <c r="K26" s="242"/>
      <c r="L26" s="242"/>
      <c r="M26" s="73">
        <f>SUM(M27+M28)</f>
        <v>93257.59999999999</v>
      </c>
    </row>
    <row r="27" spans="1:13" ht="42.75">
      <c r="A27" s="232" t="s">
        <v>461</v>
      </c>
      <c r="B27" s="256"/>
      <c r="C27" s="36" t="s">
        <v>429</v>
      </c>
      <c r="D27" s="46" t="s">
        <v>114</v>
      </c>
      <c r="E27" s="46" t="s">
        <v>101</v>
      </c>
      <c r="F27" s="237" t="s">
        <v>462</v>
      </c>
      <c r="G27" s="73">
        <v>93161.4</v>
      </c>
      <c r="H27" s="73">
        <v>50612.1</v>
      </c>
      <c r="I27" s="73">
        <f t="shared" si="0"/>
        <v>54.3273287005133</v>
      </c>
      <c r="J27" s="242">
        <f>SUM('ведомствен.2016-2014'!G59)</f>
        <v>93161.4</v>
      </c>
      <c r="K27" s="242">
        <f>SUM('ведомствен.2016-2014'!H59)</f>
        <v>93161.4</v>
      </c>
      <c r="L27" s="242">
        <f>SUM(G27-J27)</f>
        <v>0</v>
      </c>
      <c r="M27" s="73">
        <v>93161.4</v>
      </c>
    </row>
    <row r="28" spans="1:13" ht="14.25">
      <c r="A28" s="232" t="s">
        <v>463</v>
      </c>
      <c r="B28" s="256"/>
      <c r="C28" s="36" t="s">
        <v>429</v>
      </c>
      <c r="D28" s="46" t="s">
        <v>114</v>
      </c>
      <c r="E28" s="46" t="s">
        <v>101</v>
      </c>
      <c r="F28" s="237" t="s">
        <v>112</v>
      </c>
      <c r="G28" s="74">
        <v>96.2</v>
      </c>
      <c r="H28" s="73">
        <v>507.8</v>
      </c>
      <c r="I28" s="73">
        <f t="shared" si="0"/>
        <v>527.8586278586279</v>
      </c>
      <c r="J28" s="242">
        <f>SUM('ведомствен.2016-2014'!G60)</f>
        <v>96.2</v>
      </c>
      <c r="K28" s="242">
        <f>SUM('ведомствен.2016-2014'!H60)</f>
        <v>96.2</v>
      </c>
      <c r="L28" s="242"/>
      <c r="M28" s="74">
        <v>96.2</v>
      </c>
    </row>
    <row r="29" spans="1:13" ht="42.75">
      <c r="A29" s="232" t="s">
        <v>119</v>
      </c>
      <c r="B29" s="256"/>
      <c r="C29" s="36" t="s">
        <v>429</v>
      </c>
      <c r="D29" s="46" t="s">
        <v>114</v>
      </c>
      <c r="E29" s="46" t="s">
        <v>120</v>
      </c>
      <c r="F29" s="237"/>
      <c r="G29" s="73">
        <f>SUM(G30:G31)</f>
        <v>1392.3999999999999</v>
      </c>
      <c r="H29" s="73"/>
      <c r="I29" s="73">
        <f t="shared" si="0"/>
        <v>0</v>
      </c>
      <c r="J29" s="242"/>
      <c r="K29" s="242"/>
      <c r="L29" s="242"/>
      <c r="M29" s="73">
        <f>SUM(M30:M31)</f>
        <v>1392.3999999999999</v>
      </c>
    </row>
    <row r="30" spans="1:13" ht="42.75">
      <c r="A30" s="232" t="s">
        <v>461</v>
      </c>
      <c r="B30" s="256"/>
      <c r="C30" s="36" t="s">
        <v>429</v>
      </c>
      <c r="D30" s="46" t="s">
        <v>114</v>
      </c>
      <c r="E30" s="46" t="s">
        <v>120</v>
      </c>
      <c r="F30" s="237" t="s">
        <v>462</v>
      </c>
      <c r="G30" s="73">
        <v>1368.8</v>
      </c>
      <c r="H30" s="73">
        <v>41.9</v>
      </c>
      <c r="I30" s="73">
        <f t="shared" si="0"/>
        <v>3.061075394506137</v>
      </c>
      <c r="J30" s="242">
        <f>SUM('ведомствен.2016-2014'!G62)</f>
        <v>1368.8</v>
      </c>
      <c r="K30" s="242">
        <f>SUM('ведомствен.2016-2014'!H62)</f>
        <v>1368.8</v>
      </c>
      <c r="L30" s="242">
        <f>SUM(G30-J30)</f>
        <v>0</v>
      </c>
      <c r="M30" s="73">
        <v>1368.8</v>
      </c>
    </row>
    <row r="31" spans="1:13" ht="14.25">
      <c r="A31" s="232" t="s">
        <v>463</v>
      </c>
      <c r="B31" s="256"/>
      <c r="C31" s="36" t="s">
        <v>429</v>
      </c>
      <c r="D31" s="46" t="s">
        <v>114</v>
      </c>
      <c r="E31" s="46" t="s">
        <v>120</v>
      </c>
      <c r="F31" s="237" t="s">
        <v>112</v>
      </c>
      <c r="G31" s="74">
        <v>23.6</v>
      </c>
      <c r="H31" s="73"/>
      <c r="I31" s="73">
        <f>SUM(H31/G31*100)</f>
        <v>0</v>
      </c>
      <c r="J31" s="242">
        <f>SUM('ведомствен.2016-2014'!G63)</f>
        <v>23.6</v>
      </c>
      <c r="K31" s="242">
        <f>SUM('ведомствен.2016-2014'!H63)</f>
        <v>23.6</v>
      </c>
      <c r="L31" s="242"/>
      <c r="M31" s="74">
        <v>23.6</v>
      </c>
    </row>
    <row r="32" spans="1:13" ht="42.75">
      <c r="A32" s="232" t="s">
        <v>353</v>
      </c>
      <c r="B32" s="256"/>
      <c r="C32" s="36" t="s">
        <v>429</v>
      </c>
      <c r="D32" s="46" t="s">
        <v>114</v>
      </c>
      <c r="E32" s="46" t="s">
        <v>354</v>
      </c>
      <c r="F32" s="237"/>
      <c r="G32" s="73">
        <f>SUM(G33:G34)</f>
        <v>93.8</v>
      </c>
      <c r="H32" s="73"/>
      <c r="I32" s="73"/>
      <c r="J32" s="242"/>
      <c r="K32" s="242"/>
      <c r="L32" s="242"/>
      <c r="M32" s="73">
        <f>SUM(M33:M34)</f>
        <v>93.8</v>
      </c>
    </row>
    <row r="33" spans="1:13" ht="42.75">
      <c r="A33" s="232" t="s">
        <v>461</v>
      </c>
      <c r="B33" s="256"/>
      <c r="C33" s="36" t="s">
        <v>429</v>
      </c>
      <c r="D33" s="46" t="s">
        <v>114</v>
      </c>
      <c r="E33" s="46" t="s">
        <v>354</v>
      </c>
      <c r="F33" s="237" t="s">
        <v>462</v>
      </c>
      <c r="G33" s="73">
        <v>72.3</v>
      </c>
      <c r="H33" s="73"/>
      <c r="I33" s="73">
        <f t="shared" si="0"/>
        <v>0</v>
      </c>
      <c r="J33" s="242">
        <f>SUM('ведомствен.2016-2014'!G65)</f>
        <v>72.3</v>
      </c>
      <c r="K33" s="242">
        <f>SUM('ведомствен.2016-2014'!H65)</f>
        <v>72.3</v>
      </c>
      <c r="L33" s="242">
        <f>SUM(G33-J33)</f>
        <v>0</v>
      </c>
      <c r="M33" s="73">
        <v>72.3</v>
      </c>
    </row>
    <row r="34" spans="1:13" ht="14.25">
      <c r="A34" s="232" t="s">
        <v>463</v>
      </c>
      <c r="B34" s="256"/>
      <c r="C34" s="36" t="s">
        <v>429</v>
      </c>
      <c r="D34" s="46" t="s">
        <v>114</v>
      </c>
      <c r="E34" s="46" t="s">
        <v>354</v>
      </c>
      <c r="F34" s="237" t="s">
        <v>112</v>
      </c>
      <c r="G34" s="74">
        <v>21.5</v>
      </c>
      <c r="H34" s="73"/>
      <c r="I34" s="73"/>
      <c r="J34" s="242">
        <f>SUM('ведомствен.2016-2014'!G66)</f>
        <v>21.5</v>
      </c>
      <c r="K34" s="242">
        <f>SUM('ведомствен.2016-2014'!H66)</f>
        <v>21.5</v>
      </c>
      <c r="L34" s="242">
        <f>SUM(G34-J34)</f>
        <v>0</v>
      </c>
      <c r="M34" s="74">
        <v>21.5</v>
      </c>
    </row>
    <row r="35" spans="1:13" ht="28.5">
      <c r="A35" s="229" t="s">
        <v>51</v>
      </c>
      <c r="B35" s="257"/>
      <c r="C35" s="47" t="s">
        <v>429</v>
      </c>
      <c r="D35" s="97" t="s">
        <v>114</v>
      </c>
      <c r="E35" s="97" t="s">
        <v>52</v>
      </c>
      <c r="F35" s="187"/>
      <c r="G35" s="73">
        <f>SUM(G36:G37)</f>
        <v>179.2</v>
      </c>
      <c r="H35" s="73"/>
      <c r="I35" s="73"/>
      <c r="J35" s="242"/>
      <c r="K35" s="242"/>
      <c r="L35" s="242"/>
      <c r="M35" s="73">
        <f>SUM(M36:M37)</f>
        <v>179.2</v>
      </c>
    </row>
    <row r="36" spans="1:13" ht="42.75">
      <c r="A36" s="232" t="s">
        <v>461</v>
      </c>
      <c r="B36" s="256"/>
      <c r="C36" s="36" t="s">
        <v>429</v>
      </c>
      <c r="D36" s="46" t="s">
        <v>114</v>
      </c>
      <c r="E36" s="97" t="s">
        <v>52</v>
      </c>
      <c r="F36" s="237" t="s">
        <v>462</v>
      </c>
      <c r="G36" s="73">
        <v>140</v>
      </c>
      <c r="H36" s="73">
        <f>SUM(H37)</f>
        <v>737.4</v>
      </c>
      <c r="I36" s="73">
        <f t="shared" si="0"/>
        <v>526.7142857142857</v>
      </c>
      <c r="J36" s="242">
        <f>SUM('ведомствен.2016-2014'!G68)</f>
        <v>140</v>
      </c>
      <c r="K36" s="242">
        <f>SUM('ведомствен.2016-2014'!H68)</f>
        <v>140</v>
      </c>
      <c r="L36" s="242">
        <f>SUM(G36-J36)</f>
        <v>0</v>
      </c>
      <c r="M36" s="73">
        <v>140</v>
      </c>
    </row>
    <row r="37" spans="1:13" ht="14.25">
      <c r="A37" s="232" t="s">
        <v>463</v>
      </c>
      <c r="B37" s="256"/>
      <c r="C37" s="36" t="s">
        <v>429</v>
      </c>
      <c r="D37" s="46" t="s">
        <v>114</v>
      </c>
      <c r="E37" s="97" t="s">
        <v>52</v>
      </c>
      <c r="F37" s="237" t="s">
        <v>112</v>
      </c>
      <c r="G37" s="74">
        <v>39.2</v>
      </c>
      <c r="H37" s="73">
        <v>737.4</v>
      </c>
      <c r="I37" s="73">
        <f t="shared" si="0"/>
        <v>1881.1224489795916</v>
      </c>
      <c r="J37" s="242">
        <f>SUM('ведомствен.2016-2014'!G69)</f>
        <v>39.2</v>
      </c>
      <c r="K37" s="242">
        <f>SUM('ведомствен.2016-2014'!H69)</f>
        <v>39.2</v>
      </c>
      <c r="L37" s="242">
        <f>SUM(G37-J37)</f>
        <v>0</v>
      </c>
      <c r="M37" s="74">
        <v>39.2</v>
      </c>
    </row>
    <row r="38" spans="1:13" ht="28.5">
      <c r="A38" s="229" t="s">
        <v>140</v>
      </c>
      <c r="B38" s="257"/>
      <c r="C38" s="47" t="s">
        <v>429</v>
      </c>
      <c r="D38" s="97" t="s">
        <v>114</v>
      </c>
      <c r="E38" s="97" t="s">
        <v>141</v>
      </c>
      <c r="F38" s="187"/>
      <c r="G38" s="73">
        <f>SUM(G39:G40)</f>
        <v>357.70000000000005</v>
      </c>
      <c r="H38" s="73">
        <f>SUM(H39)</f>
        <v>264.8</v>
      </c>
      <c r="I38" s="73">
        <f t="shared" si="0"/>
        <v>74.02851551579536</v>
      </c>
      <c r="J38" s="242"/>
      <c r="K38" s="242"/>
      <c r="L38" s="242"/>
      <c r="M38" s="73">
        <f>SUM(M39:M40)</f>
        <v>357.70000000000005</v>
      </c>
    </row>
    <row r="39" spans="1:13" ht="42.75">
      <c r="A39" s="232" t="s">
        <v>461</v>
      </c>
      <c r="B39" s="256"/>
      <c r="C39" s="36" t="s">
        <v>429</v>
      </c>
      <c r="D39" s="46" t="s">
        <v>114</v>
      </c>
      <c r="E39" s="97" t="s">
        <v>141</v>
      </c>
      <c r="F39" s="237" t="s">
        <v>462</v>
      </c>
      <c r="G39" s="73">
        <v>288.8</v>
      </c>
      <c r="H39" s="73">
        <v>264.8</v>
      </c>
      <c r="I39" s="73">
        <f t="shared" si="0"/>
        <v>91.68975069252078</v>
      </c>
      <c r="J39" s="242">
        <f>SUM('ведомствен.2016-2014'!G71)</f>
        <v>288.8</v>
      </c>
      <c r="K39" s="242">
        <f>SUM('ведомствен.2016-2014'!H71)</f>
        <v>288.8</v>
      </c>
      <c r="L39" s="242">
        <f aca="true" t="shared" si="1" ref="L39:L106">SUM(G39-J39)</f>
        <v>0</v>
      </c>
      <c r="M39" s="73">
        <v>288.8</v>
      </c>
    </row>
    <row r="40" spans="1:13" ht="14.25">
      <c r="A40" s="232" t="s">
        <v>463</v>
      </c>
      <c r="B40" s="256"/>
      <c r="C40" s="36" t="s">
        <v>429</v>
      </c>
      <c r="D40" s="46" t="s">
        <v>114</v>
      </c>
      <c r="E40" s="97" t="s">
        <v>141</v>
      </c>
      <c r="F40" s="237" t="s">
        <v>112</v>
      </c>
      <c r="G40" s="74">
        <v>68.9</v>
      </c>
      <c r="H40" s="73">
        <f>SUM(H41)</f>
        <v>155.9</v>
      </c>
      <c r="I40" s="73">
        <f t="shared" si="0"/>
        <v>226.26995645863568</v>
      </c>
      <c r="J40" s="242">
        <f>SUM('ведомствен.2016-2014'!G72)</f>
        <v>68.9</v>
      </c>
      <c r="K40" s="242">
        <f>SUM('ведомствен.2016-2014'!H72)</f>
        <v>68.9</v>
      </c>
      <c r="L40" s="242">
        <f t="shared" si="1"/>
        <v>0</v>
      </c>
      <c r="M40" s="74">
        <v>68.9</v>
      </c>
    </row>
    <row r="41" spans="1:13" ht="28.5">
      <c r="A41" s="232" t="s">
        <v>355</v>
      </c>
      <c r="B41" s="256"/>
      <c r="C41" s="36" t="s">
        <v>100</v>
      </c>
      <c r="D41" s="46" t="s">
        <v>114</v>
      </c>
      <c r="E41" s="46" t="s">
        <v>356</v>
      </c>
      <c r="F41" s="187"/>
      <c r="G41" s="73">
        <f>SUM(G42)</f>
        <v>1286.5</v>
      </c>
      <c r="H41" s="73">
        <f>SUM(H42:H43)</f>
        <v>155.9</v>
      </c>
      <c r="I41" s="73">
        <f t="shared" si="0"/>
        <v>12.11815001943257</v>
      </c>
      <c r="J41" s="242"/>
      <c r="K41" s="242"/>
      <c r="L41" s="242">
        <f t="shared" si="1"/>
        <v>1286.5</v>
      </c>
      <c r="M41" s="73">
        <f>SUM(M42)</f>
        <v>1286.5</v>
      </c>
    </row>
    <row r="42" spans="1:13" ht="42.75">
      <c r="A42" s="232" t="s">
        <v>461</v>
      </c>
      <c r="B42" s="256"/>
      <c r="C42" s="36" t="s">
        <v>429</v>
      </c>
      <c r="D42" s="46" t="s">
        <v>114</v>
      </c>
      <c r="E42" s="46" t="s">
        <v>356</v>
      </c>
      <c r="F42" s="237" t="s">
        <v>462</v>
      </c>
      <c r="G42" s="73">
        <v>1286.5</v>
      </c>
      <c r="H42" s="73">
        <v>155.9</v>
      </c>
      <c r="I42" s="73">
        <f t="shared" si="0"/>
        <v>12.11815001943257</v>
      </c>
      <c r="J42" s="242">
        <f>SUM('ведомствен.2016-2014'!G74)</f>
        <v>1286.5</v>
      </c>
      <c r="K42" s="242">
        <f>SUM('ведомствен.2016-2014'!H74)</f>
        <v>1286.5</v>
      </c>
      <c r="L42" s="242">
        <f t="shared" si="1"/>
        <v>0</v>
      </c>
      <c r="M42" s="73">
        <v>1286.5</v>
      </c>
    </row>
    <row r="43" spans="1:13" ht="14.25">
      <c r="A43" s="232" t="s">
        <v>123</v>
      </c>
      <c r="B43" s="256"/>
      <c r="C43" s="36" t="s">
        <v>429</v>
      </c>
      <c r="D43" s="46" t="s">
        <v>124</v>
      </c>
      <c r="E43" s="46"/>
      <c r="F43" s="187"/>
      <c r="G43" s="73">
        <f>SUM(G44)</f>
        <v>32.8</v>
      </c>
      <c r="H43" s="73"/>
      <c r="I43" s="73">
        <f t="shared" si="0"/>
        <v>0</v>
      </c>
      <c r="J43" s="242"/>
      <c r="K43" s="242"/>
      <c r="L43" s="242">
        <f t="shared" si="1"/>
        <v>32.8</v>
      </c>
      <c r="M43" s="73">
        <f>SUM(M44)</f>
        <v>0</v>
      </c>
    </row>
    <row r="44" spans="1:13" ht="14.25">
      <c r="A44" s="229" t="s">
        <v>379</v>
      </c>
      <c r="B44" s="290"/>
      <c r="C44" s="291" t="s">
        <v>429</v>
      </c>
      <c r="D44" s="292" t="s">
        <v>124</v>
      </c>
      <c r="E44" s="292" t="s">
        <v>380</v>
      </c>
      <c r="F44" s="293"/>
      <c r="G44" s="73">
        <f>SUM(G45)</f>
        <v>32.8</v>
      </c>
      <c r="H44" s="73"/>
      <c r="I44" s="73"/>
      <c r="J44" s="242"/>
      <c r="K44" s="242"/>
      <c r="L44" s="242">
        <f t="shared" si="1"/>
        <v>32.8</v>
      </c>
      <c r="M44" s="73"/>
    </row>
    <row r="45" spans="1:13" ht="57">
      <c r="A45" s="229" t="s">
        <v>546</v>
      </c>
      <c r="B45" s="290"/>
      <c r="C45" s="291" t="s">
        <v>429</v>
      </c>
      <c r="D45" s="292" t="s">
        <v>124</v>
      </c>
      <c r="E45" s="292" t="s">
        <v>547</v>
      </c>
      <c r="F45" s="293"/>
      <c r="G45" s="73">
        <f>SUM(G46)</f>
        <v>32.8</v>
      </c>
      <c r="H45" s="73"/>
      <c r="I45" s="73">
        <f t="shared" si="0"/>
        <v>0</v>
      </c>
      <c r="J45" s="242"/>
      <c r="K45" s="242"/>
      <c r="L45" s="242">
        <f t="shared" si="1"/>
        <v>32.8</v>
      </c>
      <c r="M45" s="73">
        <f>SUM(M46)</f>
        <v>32.8</v>
      </c>
    </row>
    <row r="46" spans="1:13" ht="14.25">
      <c r="A46" s="229" t="s">
        <v>463</v>
      </c>
      <c r="B46" s="290"/>
      <c r="C46" s="291" t="s">
        <v>429</v>
      </c>
      <c r="D46" s="292" t="s">
        <v>124</v>
      </c>
      <c r="E46" s="292" t="s">
        <v>547</v>
      </c>
      <c r="F46" s="293" t="s">
        <v>112</v>
      </c>
      <c r="G46" s="315">
        <v>32.8</v>
      </c>
      <c r="H46" s="73" t="e">
        <f>SUM(H47)</f>
        <v>#REF!</v>
      </c>
      <c r="I46" s="73" t="e">
        <f t="shared" si="0"/>
        <v>#REF!</v>
      </c>
      <c r="J46" s="242">
        <f>SUM('ведомствен.2016-2014'!G78)</f>
        <v>32.8</v>
      </c>
      <c r="K46" s="242">
        <f>SUM('ведомствен.2016-2014'!H78)</f>
        <v>0</v>
      </c>
      <c r="L46" s="242">
        <f t="shared" si="1"/>
        <v>0</v>
      </c>
      <c r="M46" s="315">
        <v>32.8</v>
      </c>
    </row>
    <row r="47" spans="1:13" ht="42.75">
      <c r="A47" s="232" t="s">
        <v>359</v>
      </c>
      <c r="B47" s="256"/>
      <c r="C47" s="36" t="s">
        <v>429</v>
      </c>
      <c r="D47" s="46" t="s">
        <v>360</v>
      </c>
      <c r="E47" s="46"/>
      <c r="F47" s="237"/>
      <c r="G47" s="73">
        <f>SUM(G48)</f>
        <v>24265.2</v>
      </c>
      <c r="H47" s="73" t="e">
        <f>SUM(H48)</f>
        <v>#REF!</v>
      </c>
      <c r="I47" s="73" t="e">
        <f t="shared" si="0"/>
        <v>#REF!</v>
      </c>
      <c r="J47" s="242"/>
      <c r="K47" s="242"/>
      <c r="L47" s="242">
        <f t="shared" si="1"/>
        <v>24265.2</v>
      </c>
      <c r="M47" s="73">
        <f>SUM(M48)</f>
        <v>24265.2</v>
      </c>
    </row>
    <row r="48" spans="1:13" ht="42.75">
      <c r="A48" s="232" t="s">
        <v>91</v>
      </c>
      <c r="B48" s="256"/>
      <c r="C48" s="36" t="s">
        <v>429</v>
      </c>
      <c r="D48" s="46" t="s">
        <v>360</v>
      </c>
      <c r="E48" s="46" t="s">
        <v>92</v>
      </c>
      <c r="F48" s="237"/>
      <c r="G48" s="73">
        <f>SUM(G49)+G52+G54</f>
        <v>24265.2</v>
      </c>
      <c r="H48" s="73" t="e">
        <f>SUM('[1]Ведомств.'!G83)</f>
        <v>#REF!</v>
      </c>
      <c r="I48" s="73" t="e">
        <f t="shared" si="0"/>
        <v>#REF!</v>
      </c>
      <c r="J48" s="242"/>
      <c r="K48" s="242"/>
      <c r="L48" s="242">
        <f t="shared" si="1"/>
        <v>24265.2</v>
      </c>
      <c r="M48" s="73">
        <f>SUM(M49)+M52+M54</f>
        <v>24265.2</v>
      </c>
    </row>
    <row r="49" spans="1:13" s="14" customFormat="1" ht="14.25">
      <c r="A49" s="232" t="s">
        <v>99</v>
      </c>
      <c r="B49" s="256"/>
      <c r="C49" s="36" t="s">
        <v>429</v>
      </c>
      <c r="D49" s="46" t="s">
        <v>360</v>
      </c>
      <c r="E49" s="46" t="s">
        <v>101</v>
      </c>
      <c r="F49" s="237"/>
      <c r="G49" s="73">
        <f>SUM(G50+G51)</f>
        <v>22573.2</v>
      </c>
      <c r="H49" s="73">
        <f>SUM(H50)</f>
        <v>12415.9</v>
      </c>
      <c r="I49" s="73">
        <f t="shared" si="0"/>
        <v>55.00283522052699</v>
      </c>
      <c r="J49" s="243"/>
      <c r="K49" s="243"/>
      <c r="L49" s="242">
        <f t="shared" si="1"/>
        <v>22573.2</v>
      </c>
      <c r="M49" s="73">
        <f>SUM(M50+M51)</f>
        <v>22573.2</v>
      </c>
    </row>
    <row r="50" spans="1:13" s="14" customFormat="1" ht="42.75">
      <c r="A50" s="232" t="s">
        <v>461</v>
      </c>
      <c r="B50" s="256"/>
      <c r="C50" s="36" t="s">
        <v>100</v>
      </c>
      <c r="D50" s="46" t="s">
        <v>360</v>
      </c>
      <c r="E50" s="46" t="s">
        <v>101</v>
      </c>
      <c r="F50" s="238" t="s">
        <v>462</v>
      </c>
      <c r="G50" s="73">
        <v>22559.4</v>
      </c>
      <c r="H50" s="73">
        <f>SUM(H51+H55)</f>
        <v>12415.9</v>
      </c>
      <c r="I50" s="73">
        <f t="shared" si="0"/>
        <v>55.036481466705666</v>
      </c>
      <c r="J50" s="242">
        <f>SUM('ведомствен.2016-2014'!G40+'ведомствен.2016-2014'!G291)</f>
        <v>22559.4</v>
      </c>
      <c r="K50" s="242">
        <f>SUM('ведомствен.2016-2014'!H40+'ведомствен.2016-2014'!H291)</f>
        <v>22559.4</v>
      </c>
      <c r="L50" s="242">
        <f t="shared" si="1"/>
        <v>0</v>
      </c>
      <c r="M50" s="73">
        <v>22559.4</v>
      </c>
    </row>
    <row r="51" spans="1:13" s="14" customFormat="1" ht="14.25">
      <c r="A51" s="232" t="s">
        <v>463</v>
      </c>
      <c r="B51" s="256"/>
      <c r="C51" s="36" t="s">
        <v>429</v>
      </c>
      <c r="D51" s="46" t="s">
        <v>360</v>
      </c>
      <c r="E51" s="46" t="s">
        <v>101</v>
      </c>
      <c r="F51" s="237" t="s">
        <v>112</v>
      </c>
      <c r="G51" s="74">
        <v>13.8</v>
      </c>
      <c r="H51" s="73">
        <f>SUM(H52+H53)</f>
        <v>11864.3</v>
      </c>
      <c r="I51" s="73">
        <f t="shared" si="0"/>
        <v>85973.18840579709</v>
      </c>
      <c r="J51" s="242">
        <f>SUM('ведомствен.2016-2014'!G41+'ведомствен.2016-2014'!G292)</f>
        <v>13.8</v>
      </c>
      <c r="K51" s="242">
        <f>SUM('ведомствен.2016-2014'!H41+'ведомствен.2016-2014'!H292)</f>
        <v>13.8</v>
      </c>
      <c r="L51" s="242">
        <f t="shared" si="1"/>
        <v>0</v>
      </c>
      <c r="M51" s="74">
        <v>13.8</v>
      </c>
    </row>
    <row r="52" spans="1:13" s="14" customFormat="1" ht="28.5" hidden="1">
      <c r="A52" s="232" t="s">
        <v>361</v>
      </c>
      <c r="B52" s="256"/>
      <c r="C52" s="36" t="s">
        <v>100</v>
      </c>
      <c r="D52" s="46" t="s">
        <v>360</v>
      </c>
      <c r="E52" s="46" t="s">
        <v>362</v>
      </c>
      <c r="F52" s="237"/>
      <c r="G52" s="73">
        <f>SUM(G53)</f>
        <v>0</v>
      </c>
      <c r="H52" s="73">
        <v>2278</v>
      </c>
      <c r="I52" s="73" t="e">
        <f t="shared" si="0"/>
        <v>#DIV/0!</v>
      </c>
      <c r="J52" s="243"/>
      <c r="K52" s="243"/>
      <c r="L52" s="242"/>
      <c r="M52" s="73">
        <f>SUM(M53)</f>
        <v>0</v>
      </c>
    </row>
    <row r="53" spans="1:13" ht="42.75" hidden="1">
      <c r="A53" s="232" t="s">
        <v>461</v>
      </c>
      <c r="B53" s="256"/>
      <c r="C53" s="36" t="s">
        <v>100</v>
      </c>
      <c r="D53" s="46" t="s">
        <v>360</v>
      </c>
      <c r="E53" s="46" t="s">
        <v>362</v>
      </c>
      <c r="F53" s="238" t="s">
        <v>462</v>
      </c>
      <c r="G53" s="73"/>
      <c r="H53" s="73">
        <f>SUM(H54)</f>
        <v>9586.3</v>
      </c>
      <c r="I53" s="73" t="e">
        <f t="shared" si="0"/>
        <v>#DIV/0!</v>
      </c>
      <c r="J53" s="242">
        <f>SUM('ведомствен.2016-2014'!G294)</f>
        <v>0</v>
      </c>
      <c r="K53" s="242">
        <f>SUM('ведомствен.2016-2014'!H294)</f>
        <v>0</v>
      </c>
      <c r="L53" s="242">
        <f t="shared" si="1"/>
        <v>0</v>
      </c>
      <c r="M53" s="73"/>
    </row>
    <row r="54" spans="1:13" s="15" customFormat="1" ht="28.5">
      <c r="A54" s="232" t="s">
        <v>363</v>
      </c>
      <c r="B54" s="256"/>
      <c r="C54" s="36" t="s">
        <v>100</v>
      </c>
      <c r="D54" s="46" t="s">
        <v>360</v>
      </c>
      <c r="E54" s="46" t="s">
        <v>364</v>
      </c>
      <c r="F54" s="238"/>
      <c r="G54" s="73">
        <f>SUM(G55)</f>
        <v>1692</v>
      </c>
      <c r="H54" s="73">
        <v>9586.3</v>
      </c>
      <c r="I54" s="73">
        <f t="shared" si="0"/>
        <v>566.5661938534279</v>
      </c>
      <c r="J54" s="243"/>
      <c r="K54" s="243"/>
      <c r="L54" s="242"/>
      <c r="M54" s="73">
        <f>SUM(M55)</f>
        <v>1692</v>
      </c>
    </row>
    <row r="55" spans="1:13" ht="42.75">
      <c r="A55" s="232" t="s">
        <v>461</v>
      </c>
      <c r="B55" s="256"/>
      <c r="C55" s="36" t="s">
        <v>100</v>
      </c>
      <c r="D55" s="46" t="s">
        <v>360</v>
      </c>
      <c r="E55" s="46" t="s">
        <v>364</v>
      </c>
      <c r="F55" s="237" t="s">
        <v>462</v>
      </c>
      <c r="G55" s="73">
        <v>1692</v>
      </c>
      <c r="H55" s="73">
        <f>SUM(H56)</f>
        <v>551.6</v>
      </c>
      <c r="I55" s="73">
        <f t="shared" si="0"/>
        <v>32.600472813238774</v>
      </c>
      <c r="J55" s="242">
        <f>SUM('ведомствен.2016-2014'!G43)</f>
        <v>1692</v>
      </c>
      <c r="K55" s="242">
        <f>SUM('ведомствен.2016-2014'!H43)</f>
        <v>1692</v>
      </c>
      <c r="L55" s="242">
        <f t="shared" si="1"/>
        <v>0</v>
      </c>
      <c r="M55" s="73">
        <v>1692</v>
      </c>
    </row>
    <row r="56" spans="1:13" ht="14.25" hidden="1">
      <c r="A56" s="229" t="s">
        <v>365</v>
      </c>
      <c r="B56" s="257"/>
      <c r="C56" s="47" t="s">
        <v>429</v>
      </c>
      <c r="D56" s="97" t="s">
        <v>109</v>
      </c>
      <c r="E56" s="97"/>
      <c r="F56" s="187"/>
      <c r="G56" s="74">
        <f>SUM(G57)</f>
        <v>0</v>
      </c>
      <c r="H56" s="73">
        <v>551.6</v>
      </c>
      <c r="I56" s="73" t="e">
        <f aca="true" t="shared" si="2" ref="I56:I135">SUM(H56/G56*100)</f>
        <v>#DIV/0!</v>
      </c>
      <c r="J56" s="242"/>
      <c r="K56" s="242"/>
      <c r="L56" s="242">
        <f t="shared" si="1"/>
        <v>0</v>
      </c>
      <c r="M56" s="74">
        <f>SUM(M57)</f>
        <v>0</v>
      </c>
    </row>
    <row r="57" spans="1:13" ht="14.25" hidden="1">
      <c r="A57" s="229" t="s">
        <v>365</v>
      </c>
      <c r="B57" s="257"/>
      <c r="C57" s="47" t="s">
        <v>429</v>
      </c>
      <c r="D57" s="97" t="s">
        <v>109</v>
      </c>
      <c r="E57" s="97" t="s">
        <v>366</v>
      </c>
      <c r="F57" s="187"/>
      <c r="G57" s="74">
        <f>SUM(G58+G60)</f>
        <v>0</v>
      </c>
      <c r="H57" s="73">
        <f>SUM(H58)</f>
        <v>4219.8</v>
      </c>
      <c r="I57" s="73" t="e">
        <f t="shared" si="2"/>
        <v>#DIV/0!</v>
      </c>
      <c r="J57" s="242"/>
      <c r="K57" s="242"/>
      <c r="L57" s="242">
        <f t="shared" si="1"/>
        <v>0</v>
      </c>
      <c r="M57" s="74">
        <f>SUM(M58+M60)</f>
        <v>0</v>
      </c>
    </row>
    <row r="58" spans="1:13" ht="28.5" hidden="1">
      <c r="A58" s="232" t="s">
        <v>367</v>
      </c>
      <c r="B58" s="257"/>
      <c r="C58" s="47" t="s">
        <v>429</v>
      </c>
      <c r="D58" s="97" t="s">
        <v>109</v>
      </c>
      <c r="E58" s="97" t="s">
        <v>368</v>
      </c>
      <c r="F58" s="187"/>
      <c r="G58" s="74">
        <f>SUM(G59:G59)</f>
        <v>0</v>
      </c>
      <c r="H58" s="73">
        <f>SUM(H59+H61)</f>
        <v>4219.8</v>
      </c>
      <c r="I58" s="73" t="e">
        <f t="shared" si="2"/>
        <v>#DIV/0!</v>
      </c>
      <c r="J58" s="242"/>
      <c r="K58" s="242"/>
      <c r="L58" s="242">
        <f t="shared" si="1"/>
        <v>0</v>
      </c>
      <c r="M58" s="74">
        <f>SUM(M59:M59)</f>
        <v>0</v>
      </c>
    </row>
    <row r="59" spans="1:13" ht="14.25" hidden="1">
      <c r="A59" s="232" t="s">
        <v>95</v>
      </c>
      <c r="B59" s="257"/>
      <c r="C59" s="47" t="s">
        <v>429</v>
      </c>
      <c r="D59" s="97" t="s">
        <v>109</v>
      </c>
      <c r="E59" s="97" t="s">
        <v>368</v>
      </c>
      <c r="F59" s="187" t="s">
        <v>96</v>
      </c>
      <c r="G59" s="74"/>
      <c r="H59" s="73">
        <f>SUM(H60:H60)</f>
        <v>2142.4</v>
      </c>
      <c r="I59" s="73" t="e">
        <f t="shared" si="2"/>
        <v>#DIV/0!</v>
      </c>
      <c r="J59" s="242"/>
      <c r="K59" s="242"/>
      <c r="L59" s="242">
        <f t="shared" si="1"/>
        <v>0</v>
      </c>
      <c r="M59" s="74"/>
    </row>
    <row r="60" spans="1:13" ht="14.25" hidden="1">
      <c r="A60" s="232" t="s">
        <v>369</v>
      </c>
      <c r="B60" s="257"/>
      <c r="C60" s="47" t="s">
        <v>429</v>
      </c>
      <c r="D60" s="97" t="s">
        <v>109</v>
      </c>
      <c r="E60" s="97" t="s">
        <v>370</v>
      </c>
      <c r="F60" s="187"/>
      <c r="G60" s="74">
        <f>SUM(G61)</f>
        <v>0</v>
      </c>
      <c r="H60" s="73">
        <v>2142.4</v>
      </c>
      <c r="I60" s="73" t="e">
        <f t="shared" si="2"/>
        <v>#DIV/0!</v>
      </c>
      <c r="J60" s="242"/>
      <c r="K60" s="242"/>
      <c r="L60" s="242">
        <f t="shared" si="1"/>
        <v>0</v>
      </c>
      <c r="M60" s="74">
        <f>SUM(M61)</f>
        <v>0</v>
      </c>
    </row>
    <row r="61" spans="1:13" ht="14.25" hidden="1">
      <c r="A61" s="232" t="s">
        <v>95</v>
      </c>
      <c r="B61" s="257"/>
      <c r="C61" s="47" t="s">
        <v>429</v>
      </c>
      <c r="D61" s="97" t="s">
        <v>109</v>
      </c>
      <c r="E61" s="97" t="s">
        <v>370</v>
      </c>
      <c r="F61" s="187" t="s">
        <v>96</v>
      </c>
      <c r="G61" s="74"/>
      <c r="H61" s="73">
        <f>SUM(H62)</f>
        <v>2077.4</v>
      </c>
      <c r="I61" s="73" t="e">
        <f t="shared" si="2"/>
        <v>#DIV/0!</v>
      </c>
      <c r="J61" s="242"/>
      <c r="K61" s="242"/>
      <c r="L61" s="242">
        <f t="shared" si="1"/>
        <v>0</v>
      </c>
      <c r="M61" s="74"/>
    </row>
    <row r="62" spans="1:13" ht="14.25">
      <c r="A62" s="232" t="s">
        <v>376</v>
      </c>
      <c r="B62" s="256"/>
      <c r="C62" s="36" t="s">
        <v>429</v>
      </c>
      <c r="D62" s="46" t="s">
        <v>389</v>
      </c>
      <c r="E62" s="46"/>
      <c r="F62" s="237"/>
      <c r="G62" s="73">
        <f>SUM(G63)</f>
        <v>5000</v>
      </c>
      <c r="H62" s="73">
        <v>2077.4</v>
      </c>
      <c r="I62" s="73">
        <f t="shared" si="2"/>
        <v>41.548</v>
      </c>
      <c r="J62" s="242"/>
      <c r="K62" s="242"/>
      <c r="L62" s="242"/>
      <c r="M62" s="73">
        <f>SUM(M63)</f>
        <v>5000</v>
      </c>
    </row>
    <row r="63" spans="1:13" ht="14.25">
      <c r="A63" s="232" t="s">
        <v>357</v>
      </c>
      <c r="B63" s="256"/>
      <c r="C63" s="36" t="s">
        <v>429</v>
      </c>
      <c r="D63" s="46" t="s">
        <v>389</v>
      </c>
      <c r="E63" s="46" t="s">
        <v>473</v>
      </c>
      <c r="F63" s="237"/>
      <c r="G63" s="73">
        <f>SUM(G64)</f>
        <v>5000</v>
      </c>
      <c r="H63" s="73">
        <f>SUM(H64)</f>
        <v>5048</v>
      </c>
      <c r="I63" s="73">
        <f t="shared" si="2"/>
        <v>100.96000000000001</v>
      </c>
      <c r="J63" s="242"/>
      <c r="K63" s="242"/>
      <c r="L63" s="242"/>
      <c r="M63" s="73">
        <f>SUM(M64)</f>
        <v>5000</v>
      </c>
    </row>
    <row r="64" spans="1:13" ht="14.25">
      <c r="A64" s="232" t="s">
        <v>467</v>
      </c>
      <c r="B64" s="256"/>
      <c r="C64" s="36" t="s">
        <v>429</v>
      </c>
      <c r="D64" s="46" t="s">
        <v>389</v>
      </c>
      <c r="E64" s="46" t="s">
        <v>473</v>
      </c>
      <c r="F64" s="237" t="s">
        <v>161</v>
      </c>
      <c r="G64" s="73">
        <v>5000</v>
      </c>
      <c r="H64" s="73">
        <f>SUM(H66)</f>
        <v>5048</v>
      </c>
      <c r="I64" s="73">
        <f t="shared" si="2"/>
        <v>100.96000000000001</v>
      </c>
      <c r="J64" s="242">
        <f>SUM('ведомствен.2016-2014'!G297)</f>
        <v>5000</v>
      </c>
      <c r="K64" s="242">
        <f>SUM('ведомствен.2016-2014'!H297)</f>
        <v>5000</v>
      </c>
      <c r="L64" s="242">
        <f t="shared" si="1"/>
        <v>0</v>
      </c>
      <c r="M64" s="73">
        <v>5000</v>
      </c>
    </row>
    <row r="65" spans="1:13" ht="14.25">
      <c r="A65" s="232" t="s">
        <v>104</v>
      </c>
      <c r="B65" s="256"/>
      <c r="C65" s="36" t="s">
        <v>429</v>
      </c>
      <c r="D65" s="46" t="s">
        <v>221</v>
      </c>
      <c r="E65" s="46"/>
      <c r="F65" s="187"/>
      <c r="G65" s="73">
        <f>SUM(G66+G79)+G86</f>
        <v>54502.4</v>
      </c>
      <c r="H65" s="73">
        <f>SUM(H66)</f>
        <v>5048</v>
      </c>
      <c r="I65" s="73">
        <f t="shared" si="2"/>
        <v>9.261977454203851</v>
      </c>
      <c r="J65" s="242"/>
      <c r="K65" s="242"/>
      <c r="L65" s="242">
        <f>SUM(J66:J88)</f>
        <v>54502.4</v>
      </c>
      <c r="M65" s="73">
        <f>SUM(M66+M79)+M86</f>
        <v>54502.4</v>
      </c>
    </row>
    <row r="66" spans="1:13" ht="28.5">
      <c r="A66" s="229" t="s">
        <v>464</v>
      </c>
      <c r="B66" s="294"/>
      <c r="C66" s="291" t="s">
        <v>429</v>
      </c>
      <c r="D66" s="292" t="s">
        <v>221</v>
      </c>
      <c r="E66" s="292" t="s">
        <v>465</v>
      </c>
      <c r="F66" s="294"/>
      <c r="G66" s="315">
        <f>G67+G70+G72+G75</f>
        <v>51588.6</v>
      </c>
      <c r="H66" s="73">
        <v>5048</v>
      </c>
      <c r="I66" s="73">
        <f t="shared" si="2"/>
        <v>9.785107562523503</v>
      </c>
      <c r="J66" s="242"/>
      <c r="K66" s="242"/>
      <c r="L66" s="242">
        <f>SUM('ведомствен.2016-2014'!G298+'ведомствен.2016-2014'!G79+'ведомствен.2016-2014'!G44+'ведомствен.2016-2014'!G24)</f>
        <v>54502.40000000001</v>
      </c>
      <c r="M66" s="315">
        <f>M67+M70+M72+M75</f>
        <v>51588.6</v>
      </c>
    </row>
    <row r="67" spans="1:13" s="14" customFormat="1" ht="14.25">
      <c r="A67" s="229" t="s">
        <v>455</v>
      </c>
      <c r="B67" s="290"/>
      <c r="C67" s="291" t="s">
        <v>429</v>
      </c>
      <c r="D67" s="292" t="s">
        <v>221</v>
      </c>
      <c r="E67" s="292" t="s">
        <v>466</v>
      </c>
      <c r="F67" s="293"/>
      <c r="G67" s="315">
        <f>G68+G69</f>
        <v>4762</v>
      </c>
      <c r="H67" s="73">
        <f>SUM(H68)</f>
        <v>0</v>
      </c>
      <c r="I67" s="73">
        <f t="shared" si="2"/>
        <v>0</v>
      </c>
      <c r="J67" s="243"/>
      <c r="K67" s="243"/>
      <c r="L67" s="242"/>
      <c r="M67" s="315">
        <f>M68+M69</f>
        <v>4762</v>
      </c>
    </row>
    <row r="68" spans="1:13" s="14" customFormat="1" ht="14.25">
      <c r="A68" s="229" t="s">
        <v>463</v>
      </c>
      <c r="B68" s="290"/>
      <c r="C68" s="291" t="s">
        <v>429</v>
      </c>
      <c r="D68" s="292" t="s">
        <v>221</v>
      </c>
      <c r="E68" s="292" t="s">
        <v>466</v>
      </c>
      <c r="F68" s="293" t="s">
        <v>112</v>
      </c>
      <c r="G68" s="315">
        <v>4634.2</v>
      </c>
      <c r="H68" s="73">
        <f>SUM(H70)</f>
        <v>0</v>
      </c>
      <c r="I68" s="73">
        <f t="shared" si="2"/>
        <v>0</v>
      </c>
      <c r="J68" s="243">
        <f>SUM('ведомствен.2016-2014'!G27+'ведомствен.2016-2014'!G47+'ведомствен.2016-2014'!G82+'ведомствен.2016-2014'!G301)</f>
        <v>4634.2</v>
      </c>
      <c r="K68" s="243">
        <f>SUM('ведомствен.2016-2014'!H27+'ведомствен.2016-2014'!H47+'ведомствен.2016-2014'!H82+'ведомствен.2016-2014'!H301)</f>
        <v>4634.2</v>
      </c>
      <c r="L68" s="242">
        <f t="shared" si="1"/>
        <v>0</v>
      </c>
      <c r="M68" s="315">
        <v>4634.2</v>
      </c>
    </row>
    <row r="69" spans="1:13" s="14" customFormat="1" ht="14.25">
      <c r="A69" s="229" t="s">
        <v>467</v>
      </c>
      <c r="B69" s="290"/>
      <c r="C69" s="291" t="s">
        <v>429</v>
      </c>
      <c r="D69" s="292" t="s">
        <v>221</v>
      </c>
      <c r="E69" s="292" t="s">
        <v>466</v>
      </c>
      <c r="F69" s="293" t="s">
        <v>161</v>
      </c>
      <c r="G69" s="315">
        <v>127.8</v>
      </c>
      <c r="H69" s="73">
        <f>SUM(H70)</f>
        <v>0</v>
      </c>
      <c r="I69" s="73">
        <f t="shared" si="2"/>
        <v>0</v>
      </c>
      <c r="J69" s="243">
        <f>SUM('ведомствен.2016-2014'!G28+'ведомствен.2016-2014'!G48+'ведомствен.2016-2014'!G83+'ведомствен.2016-2014'!G302)</f>
        <v>127.79999999999998</v>
      </c>
      <c r="K69" s="243">
        <f>SUM('ведомствен.2016-2014'!H28+'ведомствен.2016-2014'!H48+'ведомствен.2016-2014'!H83+'ведомствен.2016-2014'!H302)</f>
        <v>127.79999999999998</v>
      </c>
      <c r="L69" s="242">
        <f t="shared" si="1"/>
        <v>1.4210854715202004E-14</v>
      </c>
      <c r="M69" s="315">
        <v>127.8</v>
      </c>
    </row>
    <row r="70" spans="1:13" s="14" customFormat="1" ht="28.5">
      <c r="A70" s="229" t="s">
        <v>456</v>
      </c>
      <c r="B70" s="290"/>
      <c r="C70" s="291" t="s">
        <v>429</v>
      </c>
      <c r="D70" s="292" t="s">
        <v>221</v>
      </c>
      <c r="E70" s="292" t="s">
        <v>468</v>
      </c>
      <c r="F70" s="293"/>
      <c r="G70" s="315">
        <f>SUM(G71)</f>
        <v>10577.8</v>
      </c>
      <c r="H70" s="73"/>
      <c r="I70" s="73">
        <f t="shared" si="2"/>
        <v>0</v>
      </c>
      <c r="J70" s="243"/>
      <c r="K70" s="243"/>
      <c r="L70" s="242"/>
      <c r="M70" s="315">
        <f>SUM(M71)</f>
        <v>10577.8</v>
      </c>
    </row>
    <row r="71" spans="1:13" ht="14.25">
      <c r="A71" s="229" t="s">
        <v>463</v>
      </c>
      <c r="B71" s="290"/>
      <c r="C71" s="291" t="s">
        <v>429</v>
      </c>
      <c r="D71" s="292" t="s">
        <v>221</v>
      </c>
      <c r="E71" s="292" t="s">
        <v>468</v>
      </c>
      <c r="F71" s="293" t="s">
        <v>112</v>
      </c>
      <c r="G71" s="315">
        <v>10577.8</v>
      </c>
      <c r="H71" s="73">
        <f>SUM(H72+H89+H96+H99+H102+H118+H78+H83)</f>
        <v>7427.299999999999</v>
      </c>
      <c r="I71" s="73">
        <f t="shared" si="2"/>
        <v>70.21592391612621</v>
      </c>
      <c r="J71" s="243">
        <f>SUM('ведомствен.2016-2014'!G30+'ведомствен.2016-2014'!G50+'ведомствен.2016-2014'!G85+'ведомствен.2016-2014'!G304)</f>
        <v>10577.800000000001</v>
      </c>
      <c r="K71" s="243">
        <f>SUM('ведомствен.2016-2014'!H30+'ведомствен.2016-2014'!H50+'ведомствен.2016-2014'!H85+'ведомствен.2016-2014'!H304)</f>
        <v>10577.800000000001</v>
      </c>
      <c r="L71" s="242">
        <f t="shared" si="1"/>
        <v>-1.8189894035458565E-12</v>
      </c>
      <c r="M71" s="315">
        <v>10577.8</v>
      </c>
    </row>
    <row r="72" spans="1:13" ht="28.5">
      <c r="A72" s="229" t="s">
        <v>481</v>
      </c>
      <c r="B72" s="290"/>
      <c r="C72" s="291" t="s">
        <v>429</v>
      </c>
      <c r="D72" s="292" t="s">
        <v>221</v>
      </c>
      <c r="E72" s="292" t="s">
        <v>482</v>
      </c>
      <c r="F72" s="293"/>
      <c r="G72" s="315">
        <f>SUM(G73:G74)</f>
        <v>13599.5</v>
      </c>
      <c r="H72" s="73">
        <f>SUM(H73+H76)</f>
        <v>2749.5</v>
      </c>
      <c r="I72" s="73">
        <f t="shared" si="2"/>
        <v>20.217655060847825</v>
      </c>
      <c r="J72" s="242"/>
      <c r="K72" s="242"/>
      <c r="L72" s="242">
        <f t="shared" si="1"/>
        <v>13599.5</v>
      </c>
      <c r="M72" s="315">
        <f>SUM(M73:M74)</f>
        <v>13599.5</v>
      </c>
    </row>
    <row r="73" spans="1:13" ht="14.25">
      <c r="A73" s="229" t="s">
        <v>463</v>
      </c>
      <c r="B73" s="290"/>
      <c r="C73" s="291" t="s">
        <v>429</v>
      </c>
      <c r="D73" s="292" t="s">
        <v>221</v>
      </c>
      <c r="E73" s="292" t="s">
        <v>482</v>
      </c>
      <c r="F73" s="293" t="s">
        <v>112</v>
      </c>
      <c r="G73" s="315">
        <v>13549.5</v>
      </c>
      <c r="H73" s="73">
        <f>SUM(H75)</f>
        <v>2749.5</v>
      </c>
      <c r="I73" s="73">
        <f t="shared" si="2"/>
        <v>20.29226170707406</v>
      </c>
      <c r="J73" s="242">
        <f>SUM('ведомствен.2016-2014'!G87)</f>
        <v>13549.5</v>
      </c>
      <c r="K73" s="242">
        <f>SUM('ведомствен.2016-2014'!H87)</f>
        <v>13549.5</v>
      </c>
      <c r="L73" s="242">
        <f t="shared" si="1"/>
        <v>0</v>
      </c>
      <c r="M73" s="315">
        <v>13549.5</v>
      </c>
    </row>
    <row r="74" spans="1:13" ht="14.25">
      <c r="A74" s="229" t="s">
        <v>467</v>
      </c>
      <c r="B74" s="295"/>
      <c r="C74" s="292" t="s">
        <v>429</v>
      </c>
      <c r="D74" s="292" t="s">
        <v>221</v>
      </c>
      <c r="E74" s="292" t="s">
        <v>482</v>
      </c>
      <c r="F74" s="293" t="s">
        <v>161</v>
      </c>
      <c r="G74" s="315">
        <v>50</v>
      </c>
      <c r="H74" s="73"/>
      <c r="I74" s="73"/>
      <c r="J74" s="242">
        <f>SUM('ведомствен.2016-2014'!G88)</f>
        <v>50</v>
      </c>
      <c r="K74" s="242">
        <f>SUM('ведомствен.2016-2014'!H88)</f>
        <v>50</v>
      </c>
      <c r="L74" s="242"/>
      <c r="M74" s="316">
        <v>50</v>
      </c>
    </row>
    <row r="75" spans="1:13" ht="28.5">
      <c r="A75" s="229" t="s">
        <v>469</v>
      </c>
      <c r="B75" s="290"/>
      <c r="C75" s="291" t="s">
        <v>429</v>
      </c>
      <c r="D75" s="292" t="s">
        <v>221</v>
      </c>
      <c r="E75" s="292" t="s">
        <v>470</v>
      </c>
      <c r="F75" s="293"/>
      <c r="G75" s="315">
        <f>SUM(G76:G78)</f>
        <v>22649.3</v>
      </c>
      <c r="H75" s="73">
        <v>2749.5</v>
      </c>
      <c r="I75" s="73">
        <f t="shared" si="2"/>
        <v>12.139448018261051</v>
      </c>
      <c r="J75" s="242"/>
      <c r="K75" s="242"/>
      <c r="L75" s="242"/>
      <c r="M75" s="315">
        <f>SUM(M76:M78)</f>
        <v>22649.3</v>
      </c>
    </row>
    <row r="76" spans="1:13" ht="14.25">
      <c r="A76" s="229" t="s">
        <v>463</v>
      </c>
      <c r="B76" s="290"/>
      <c r="C76" s="291" t="s">
        <v>429</v>
      </c>
      <c r="D76" s="292" t="s">
        <v>221</v>
      </c>
      <c r="E76" s="292" t="s">
        <v>470</v>
      </c>
      <c r="F76" s="293" t="s">
        <v>112</v>
      </c>
      <c r="G76" s="315">
        <v>19357.2</v>
      </c>
      <c r="H76" s="73">
        <f>SUM(H77)</f>
        <v>0</v>
      </c>
      <c r="I76" s="73">
        <f t="shared" si="2"/>
        <v>0</v>
      </c>
      <c r="J76" s="242">
        <f>SUM('ведомствен.2016-2014'!G306+'ведомствен.2016-2014'!G90+'ведомствен.2016-2014'!G52+'ведомствен.2016-2014'!G32)</f>
        <v>19357.2</v>
      </c>
      <c r="K76" s="242">
        <f>SUM('ведомствен.2016-2014'!H306+'ведомствен.2016-2014'!H90+'ведомствен.2016-2014'!H52+'ведомствен.2016-2014'!H32)</f>
        <v>19357.2</v>
      </c>
      <c r="L76" s="242">
        <f t="shared" si="1"/>
        <v>0</v>
      </c>
      <c r="M76" s="315">
        <v>19357.2</v>
      </c>
    </row>
    <row r="77" spans="1:13" ht="14.25">
      <c r="A77" s="232" t="s">
        <v>471</v>
      </c>
      <c r="B77" s="256"/>
      <c r="C77" s="36" t="s">
        <v>429</v>
      </c>
      <c r="D77" s="46" t="s">
        <v>221</v>
      </c>
      <c r="E77" s="46" t="s">
        <v>470</v>
      </c>
      <c r="F77" s="238" t="s">
        <v>472</v>
      </c>
      <c r="G77" s="73">
        <v>667</v>
      </c>
      <c r="H77" s="73"/>
      <c r="I77" s="73">
        <f t="shared" si="2"/>
        <v>0</v>
      </c>
      <c r="J77" s="242">
        <f>SUM('ведомствен.2016-2014'!G33)</f>
        <v>667</v>
      </c>
      <c r="K77" s="242">
        <f>SUM('ведомствен.2016-2014'!H33)</f>
        <v>667</v>
      </c>
      <c r="L77" s="242">
        <f t="shared" si="1"/>
        <v>0</v>
      </c>
      <c r="M77" s="73">
        <v>667</v>
      </c>
    </row>
    <row r="78" spans="1:13" ht="14.25">
      <c r="A78" s="229" t="s">
        <v>467</v>
      </c>
      <c r="B78" s="290"/>
      <c r="C78" s="291" t="s">
        <v>429</v>
      </c>
      <c r="D78" s="292" t="s">
        <v>221</v>
      </c>
      <c r="E78" s="292" t="s">
        <v>470</v>
      </c>
      <c r="F78" s="293" t="s">
        <v>161</v>
      </c>
      <c r="G78" s="315">
        <v>2625.1</v>
      </c>
      <c r="H78" s="73">
        <f>SUM(H81+H80)</f>
        <v>836.4</v>
      </c>
      <c r="I78" s="73">
        <f t="shared" si="2"/>
        <v>31.861643365967012</v>
      </c>
      <c r="J78" s="242">
        <f>SUM('ведомствен.2016-2014'!G34+'ведомствен.2016-2014'!G53+'ведомствен.2016-2014'!G91+'ведомствен.2016-2014'!G307)</f>
        <v>2625.1</v>
      </c>
      <c r="K78" s="242">
        <f>SUM('ведомствен.2016-2014'!H34+'ведомствен.2016-2014'!H53+'ведомствен.2016-2014'!H91+'ведомствен.2016-2014'!H307)</f>
        <v>2625.1</v>
      </c>
      <c r="L78" s="242">
        <f t="shared" si="1"/>
        <v>0</v>
      </c>
      <c r="M78" s="315">
        <v>2625.1</v>
      </c>
    </row>
    <row r="79" spans="1:13" ht="28.5">
      <c r="A79" s="229" t="s">
        <v>483</v>
      </c>
      <c r="B79" s="290"/>
      <c r="C79" s="291" t="s">
        <v>429</v>
      </c>
      <c r="D79" s="292" t="s">
        <v>221</v>
      </c>
      <c r="E79" s="292" t="s">
        <v>129</v>
      </c>
      <c r="F79" s="293"/>
      <c r="G79" s="315">
        <f>G80</f>
        <v>2813.8</v>
      </c>
      <c r="H79" s="73">
        <f>SUM(H80)</f>
        <v>0</v>
      </c>
      <c r="I79" s="73">
        <f t="shared" si="2"/>
        <v>0</v>
      </c>
      <c r="J79" s="242"/>
      <c r="K79" s="242"/>
      <c r="L79" s="242"/>
      <c r="M79" s="315">
        <f>M80</f>
        <v>2813.8</v>
      </c>
    </row>
    <row r="80" spans="1:13" ht="28.5">
      <c r="A80" s="229" t="s">
        <v>11</v>
      </c>
      <c r="B80" s="290"/>
      <c r="C80" s="291" t="s">
        <v>429</v>
      </c>
      <c r="D80" s="292" t="s">
        <v>221</v>
      </c>
      <c r="E80" s="292" t="s">
        <v>188</v>
      </c>
      <c r="F80" s="293"/>
      <c r="G80" s="315">
        <f>G81+G83</f>
        <v>2813.8</v>
      </c>
      <c r="H80" s="73"/>
      <c r="I80" s="73">
        <f t="shared" si="2"/>
        <v>0</v>
      </c>
      <c r="J80" s="242"/>
      <c r="K80" s="242"/>
      <c r="L80" s="242"/>
      <c r="M80" s="315">
        <f>M81+M83</f>
        <v>2813.8</v>
      </c>
    </row>
    <row r="81" spans="1:13" ht="28.5">
      <c r="A81" s="229" t="s">
        <v>580</v>
      </c>
      <c r="B81" s="290"/>
      <c r="C81" s="291" t="s">
        <v>429</v>
      </c>
      <c r="D81" s="292" t="s">
        <v>221</v>
      </c>
      <c r="E81" s="292" t="s">
        <v>190</v>
      </c>
      <c r="F81" s="293"/>
      <c r="G81" s="315">
        <f>SUM(G82)</f>
        <v>2380.3</v>
      </c>
      <c r="H81" s="73">
        <f>SUM(H82)</f>
        <v>836.4</v>
      </c>
      <c r="I81" s="73">
        <f t="shared" si="2"/>
        <v>35.138427929252614</v>
      </c>
      <c r="J81" s="242"/>
      <c r="K81" s="242"/>
      <c r="L81" s="242"/>
      <c r="M81" s="315">
        <f>SUM(M82)</f>
        <v>2380.3</v>
      </c>
    </row>
    <row r="82" spans="1:13" ht="28.5">
      <c r="A82" s="229" t="s">
        <v>484</v>
      </c>
      <c r="B82" s="290"/>
      <c r="C82" s="291" t="s">
        <v>429</v>
      </c>
      <c r="D82" s="292" t="s">
        <v>221</v>
      </c>
      <c r="E82" s="292" t="s">
        <v>190</v>
      </c>
      <c r="F82" s="293" t="s">
        <v>477</v>
      </c>
      <c r="G82" s="315">
        <v>2380.3</v>
      </c>
      <c r="H82" s="73">
        <v>836.4</v>
      </c>
      <c r="I82" s="73">
        <f t="shared" si="2"/>
        <v>35.138427929252614</v>
      </c>
      <c r="J82" s="242">
        <f>SUM('ведомствен.2016-2014'!G95)</f>
        <v>2380.3</v>
      </c>
      <c r="K82" s="242">
        <f>SUM('ведомствен.2016-2014'!H95)</f>
        <v>2380.3</v>
      </c>
      <c r="L82" s="242">
        <f t="shared" si="1"/>
        <v>0</v>
      </c>
      <c r="M82" s="315">
        <v>2380.3</v>
      </c>
    </row>
    <row r="83" spans="1:13" ht="28.5">
      <c r="A83" s="232" t="s">
        <v>151</v>
      </c>
      <c r="B83" s="290"/>
      <c r="C83" s="291" t="s">
        <v>429</v>
      </c>
      <c r="D83" s="292" t="s">
        <v>221</v>
      </c>
      <c r="E83" s="292" t="s">
        <v>385</v>
      </c>
      <c r="F83" s="293"/>
      <c r="G83" s="315">
        <f>SUM(G84)</f>
        <v>433.5</v>
      </c>
      <c r="H83" s="73">
        <f>SUM(H85)</f>
        <v>536.9</v>
      </c>
      <c r="I83" s="73">
        <f t="shared" si="2"/>
        <v>123.85236447520185</v>
      </c>
      <c r="J83" s="242"/>
      <c r="K83" s="242"/>
      <c r="L83" s="242"/>
      <c r="M83" s="315">
        <f>SUM(M84)</f>
        <v>433.5</v>
      </c>
    </row>
    <row r="84" spans="1:13" ht="28.5">
      <c r="A84" s="229" t="s">
        <v>136</v>
      </c>
      <c r="B84" s="290"/>
      <c r="C84" s="291" t="s">
        <v>429</v>
      </c>
      <c r="D84" s="292" t="s">
        <v>221</v>
      </c>
      <c r="E84" s="292" t="s">
        <v>386</v>
      </c>
      <c r="F84" s="293"/>
      <c r="G84" s="315">
        <f>SUM(G85)</f>
        <v>433.5</v>
      </c>
      <c r="H84" s="73">
        <f>SUM(H85)</f>
        <v>536.9</v>
      </c>
      <c r="I84" s="73">
        <f t="shared" si="2"/>
        <v>123.85236447520185</v>
      </c>
      <c r="J84" s="242"/>
      <c r="K84" s="242"/>
      <c r="L84" s="242"/>
      <c r="M84" s="315">
        <f>SUM(M85)</f>
        <v>433.5</v>
      </c>
    </row>
    <row r="85" spans="1:13" ht="28.5">
      <c r="A85" s="229" t="s">
        <v>484</v>
      </c>
      <c r="B85" s="290"/>
      <c r="C85" s="291" t="s">
        <v>429</v>
      </c>
      <c r="D85" s="292" t="s">
        <v>221</v>
      </c>
      <c r="E85" s="292" t="s">
        <v>386</v>
      </c>
      <c r="F85" s="293" t="s">
        <v>477</v>
      </c>
      <c r="G85" s="315">
        <v>433.5</v>
      </c>
      <c r="H85" s="73">
        <f>423.2+113.7</f>
        <v>536.9</v>
      </c>
      <c r="I85" s="73">
        <f t="shared" si="2"/>
        <v>123.85236447520185</v>
      </c>
      <c r="J85" s="242">
        <f>SUM('ведомствен.2016-2014'!G98)</f>
        <v>433.5</v>
      </c>
      <c r="K85" s="242">
        <f>SUM('ведомствен.2016-2014'!H98)</f>
        <v>433.5</v>
      </c>
      <c r="L85" s="242">
        <f t="shared" si="1"/>
        <v>0</v>
      </c>
      <c r="M85" s="315">
        <v>433.5</v>
      </c>
    </row>
    <row r="86" spans="1:13" ht="14.25">
      <c r="A86" s="230" t="s">
        <v>507</v>
      </c>
      <c r="B86" s="295"/>
      <c r="C86" s="292" t="s">
        <v>429</v>
      </c>
      <c r="D86" s="292" t="s">
        <v>221</v>
      </c>
      <c r="E86" s="292" t="s">
        <v>122</v>
      </c>
      <c r="F86" s="293"/>
      <c r="G86" s="315">
        <f>SUM(G87)</f>
        <v>100</v>
      </c>
      <c r="H86" s="73"/>
      <c r="I86" s="73"/>
      <c r="J86" s="242"/>
      <c r="K86" s="242"/>
      <c r="L86" s="242"/>
      <c r="M86" s="316">
        <f>SUM(M87)</f>
        <v>100</v>
      </c>
    </row>
    <row r="87" spans="1:13" ht="28.5">
      <c r="A87" s="229" t="s">
        <v>587</v>
      </c>
      <c r="B87" s="295"/>
      <c r="C87" s="292" t="s">
        <v>429</v>
      </c>
      <c r="D87" s="292" t="s">
        <v>221</v>
      </c>
      <c r="E87" s="292" t="s">
        <v>588</v>
      </c>
      <c r="F87" s="293"/>
      <c r="G87" s="315">
        <f>SUM(G88)</f>
        <v>100</v>
      </c>
      <c r="H87" s="73"/>
      <c r="I87" s="73"/>
      <c r="J87" s="242"/>
      <c r="K87" s="242"/>
      <c r="L87" s="242"/>
      <c r="M87" s="316">
        <f>SUM(M88)</f>
        <v>100</v>
      </c>
    </row>
    <row r="88" spans="1:13" ht="14.25">
      <c r="A88" s="229" t="s">
        <v>463</v>
      </c>
      <c r="B88" s="295"/>
      <c r="C88" s="292" t="s">
        <v>429</v>
      </c>
      <c r="D88" s="292" t="s">
        <v>221</v>
      </c>
      <c r="E88" s="292" t="s">
        <v>588</v>
      </c>
      <c r="F88" s="293" t="s">
        <v>112</v>
      </c>
      <c r="G88" s="315">
        <v>100</v>
      </c>
      <c r="H88" s="73"/>
      <c r="I88" s="73"/>
      <c r="J88" s="242">
        <f>SUM('ведомствен.2016-2014'!G101)</f>
        <v>100</v>
      </c>
      <c r="K88" s="242">
        <f>SUM('ведомствен.2016-2014'!H101)</f>
        <v>100</v>
      </c>
      <c r="L88" s="242"/>
      <c r="M88" s="316">
        <v>100</v>
      </c>
    </row>
    <row r="89" spans="1:13" ht="30">
      <c r="A89" s="258" t="s">
        <v>131</v>
      </c>
      <c r="B89" s="259"/>
      <c r="C89" s="155" t="s">
        <v>98</v>
      </c>
      <c r="D89" s="96"/>
      <c r="E89" s="96"/>
      <c r="F89" s="260"/>
      <c r="G89" s="76">
        <f>SUM(G90+G96)</f>
        <v>21303.6</v>
      </c>
      <c r="H89" s="73">
        <f>SUM(H90)</f>
        <v>917.7</v>
      </c>
      <c r="I89" s="73">
        <f t="shared" si="2"/>
        <v>4.307722638427309</v>
      </c>
      <c r="J89" s="242"/>
      <c r="K89" s="242"/>
      <c r="L89" s="242"/>
      <c r="M89" s="76">
        <f>SUM(M90+M96)</f>
        <v>21764.7</v>
      </c>
    </row>
    <row r="90" spans="1:13" ht="14.25">
      <c r="A90" s="296" t="s">
        <v>50</v>
      </c>
      <c r="B90" s="290"/>
      <c r="C90" s="291" t="s">
        <v>98</v>
      </c>
      <c r="D90" s="292" t="s">
        <v>114</v>
      </c>
      <c r="E90" s="292"/>
      <c r="F90" s="293"/>
      <c r="G90" s="315">
        <f>SUM(G92)</f>
        <v>5304.4</v>
      </c>
      <c r="H90" s="73">
        <f>SUM(H91)</f>
        <v>917.7</v>
      </c>
      <c r="I90" s="73">
        <f t="shared" si="2"/>
        <v>17.30073146821507</v>
      </c>
      <c r="J90" s="242"/>
      <c r="K90" s="242"/>
      <c r="L90" s="242"/>
      <c r="M90" s="315">
        <f>SUM(M92)</f>
        <v>5765.5</v>
      </c>
    </row>
    <row r="91" spans="1:13" ht="14.25">
      <c r="A91" s="229" t="s">
        <v>379</v>
      </c>
      <c r="B91" s="290"/>
      <c r="C91" s="291" t="s">
        <v>98</v>
      </c>
      <c r="D91" s="292" t="s">
        <v>114</v>
      </c>
      <c r="E91" s="292" t="s">
        <v>380</v>
      </c>
      <c r="F91" s="293"/>
      <c r="G91" s="315">
        <f>SUM(G92)</f>
        <v>5304.4</v>
      </c>
      <c r="H91" s="73">
        <v>917.7</v>
      </c>
      <c r="I91" s="73">
        <f t="shared" si="2"/>
        <v>17.30073146821507</v>
      </c>
      <c r="J91" s="242"/>
      <c r="K91" s="242"/>
      <c r="L91" s="242"/>
      <c r="M91" s="315">
        <f>SUM(M92)</f>
        <v>5765.5</v>
      </c>
    </row>
    <row r="92" spans="1:13" ht="28.5">
      <c r="A92" s="229" t="s">
        <v>485</v>
      </c>
      <c r="B92" s="290"/>
      <c r="C92" s="291" t="s">
        <v>98</v>
      </c>
      <c r="D92" s="292" t="s">
        <v>114</v>
      </c>
      <c r="E92" s="292" t="s">
        <v>486</v>
      </c>
      <c r="F92" s="293"/>
      <c r="G92" s="315">
        <f>G93+G94+G95</f>
        <v>5304.4</v>
      </c>
      <c r="H92" s="74">
        <f>SUM(H93)</f>
        <v>0</v>
      </c>
      <c r="I92" s="73"/>
      <c r="J92" s="242"/>
      <c r="K92" s="242"/>
      <c r="L92" s="242"/>
      <c r="M92" s="315">
        <f>M93+M94+M95</f>
        <v>5765.5</v>
      </c>
    </row>
    <row r="93" spans="1:13" ht="42.75">
      <c r="A93" s="229" t="s">
        <v>461</v>
      </c>
      <c r="B93" s="290"/>
      <c r="C93" s="291" t="s">
        <v>98</v>
      </c>
      <c r="D93" s="292" t="s">
        <v>114</v>
      </c>
      <c r="E93" s="292" t="s">
        <v>486</v>
      </c>
      <c r="F93" s="293" t="s">
        <v>462</v>
      </c>
      <c r="G93" s="315">
        <v>3843.6</v>
      </c>
      <c r="H93" s="74"/>
      <c r="I93" s="73"/>
      <c r="J93" s="242">
        <f>SUM('ведомствен.2016-2014'!G106)</f>
        <v>3843.6</v>
      </c>
      <c r="K93" s="242">
        <f>SUM('ведомствен.2016-2014'!H106)</f>
        <v>3843.6</v>
      </c>
      <c r="L93" s="242">
        <f t="shared" si="1"/>
        <v>0</v>
      </c>
      <c r="M93" s="315">
        <v>3843.6</v>
      </c>
    </row>
    <row r="94" spans="1:13" ht="14.25">
      <c r="A94" s="229" t="s">
        <v>463</v>
      </c>
      <c r="B94" s="290"/>
      <c r="C94" s="291" t="s">
        <v>98</v>
      </c>
      <c r="D94" s="292" t="s">
        <v>114</v>
      </c>
      <c r="E94" s="292" t="s">
        <v>486</v>
      </c>
      <c r="F94" s="293" t="s">
        <v>112</v>
      </c>
      <c r="G94" s="315">
        <v>1362.8</v>
      </c>
      <c r="H94" s="74">
        <f>SUM(H95)</f>
        <v>0</v>
      </c>
      <c r="I94" s="73"/>
      <c r="J94" s="242">
        <f>SUM('ведомствен.2016-2014'!G107)</f>
        <v>1362.8</v>
      </c>
      <c r="K94" s="242">
        <f>SUM('ведомствен.2016-2014'!H107)</f>
        <v>1823.9</v>
      </c>
      <c r="L94" s="242">
        <f t="shared" si="1"/>
        <v>0</v>
      </c>
      <c r="M94" s="315">
        <v>1823.9</v>
      </c>
    </row>
    <row r="95" spans="1:13" ht="14.25">
      <c r="A95" s="229" t="s">
        <v>467</v>
      </c>
      <c r="B95" s="290"/>
      <c r="C95" s="291" t="s">
        <v>98</v>
      </c>
      <c r="D95" s="292" t="s">
        <v>114</v>
      </c>
      <c r="E95" s="292" t="s">
        <v>486</v>
      </c>
      <c r="F95" s="293" t="s">
        <v>161</v>
      </c>
      <c r="G95" s="315">
        <v>98</v>
      </c>
      <c r="H95" s="74"/>
      <c r="I95" s="73"/>
      <c r="J95" s="242">
        <f>SUM('ведомствен.2016-2014'!G108)</f>
        <v>98</v>
      </c>
      <c r="K95" s="242">
        <f>SUM('ведомствен.2016-2014'!H108)</f>
        <v>98</v>
      </c>
      <c r="L95" s="242">
        <f t="shared" si="1"/>
        <v>0</v>
      </c>
      <c r="M95" s="315">
        <v>98</v>
      </c>
    </row>
    <row r="96" spans="1:13" ht="42.75">
      <c r="A96" s="231" t="s">
        <v>293</v>
      </c>
      <c r="B96" s="297"/>
      <c r="C96" s="298" t="s">
        <v>98</v>
      </c>
      <c r="D96" s="299" t="s">
        <v>294</v>
      </c>
      <c r="E96" s="299"/>
      <c r="F96" s="300"/>
      <c r="G96" s="317">
        <f>G107+G112+G97+G117</f>
        <v>15999.2</v>
      </c>
      <c r="H96" s="73">
        <f>SUM(H97)</f>
        <v>1069.4</v>
      </c>
      <c r="I96" s="73">
        <f t="shared" si="2"/>
        <v>6.684084204210211</v>
      </c>
      <c r="J96" s="242"/>
      <c r="K96" s="242"/>
      <c r="L96" s="242"/>
      <c r="M96" s="317">
        <f>M107+M112+M97+M117</f>
        <v>15999.2</v>
      </c>
    </row>
    <row r="97" spans="1:13" ht="42.75">
      <c r="A97" s="229" t="s">
        <v>487</v>
      </c>
      <c r="B97" s="290"/>
      <c r="C97" s="291" t="s">
        <v>98</v>
      </c>
      <c r="D97" s="292" t="s">
        <v>294</v>
      </c>
      <c r="E97" s="292" t="s">
        <v>488</v>
      </c>
      <c r="F97" s="293"/>
      <c r="G97" s="315">
        <f>SUM(G98)</f>
        <v>12599.1</v>
      </c>
      <c r="H97" s="73">
        <f>SUM(H98)</f>
        <v>1069.4</v>
      </c>
      <c r="I97" s="73">
        <f t="shared" si="2"/>
        <v>8.487907866434904</v>
      </c>
      <c r="J97" s="242"/>
      <c r="K97" s="242"/>
      <c r="L97" s="242"/>
      <c r="M97" s="315">
        <f>SUM(M98)</f>
        <v>12599.1</v>
      </c>
    </row>
    <row r="98" spans="1:13" ht="28.5">
      <c r="A98" s="229" t="s">
        <v>47</v>
      </c>
      <c r="B98" s="290"/>
      <c r="C98" s="291" t="s">
        <v>98</v>
      </c>
      <c r="D98" s="292" t="s">
        <v>294</v>
      </c>
      <c r="E98" s="292" t="s">
        <v>489</v>
      </c>
      <c r="F98" s="293"/>
      <c r="G98" s="315">
        <f>G99+G103+G106</f>
        <v>12599.1</v>
      </c>
      <c r="H98" s="73">
        <v>1069.4</v>
      </c>
      <c r="I98" s="73">
        <f t="shared" si="2"/>
        <v>8.487907866434904</v>
      </c>
      <c r="J98" s="242"/>
      <c r="K98" s="242"/>
      <c r="L98" s="242"/>
      <c r="M98" s="315">
        <f>M99+M103+M106</f>
        <v>12599.1</v>
      </c>
    </row>
    <row r="99" spans="1:13" ht="42.75">
      <c r="A99" s="229" t="s">
        <v>461</v>
      </c>
      <c r="B99" s="290"/>
      <c r="C99" s="291" t="s">
        <v>98</v>
      </c>
      <c r="D99" s="292" t="s">
        <v>294</v>
      </c>
      <c r="E99" s="292" t="s">
        <v>489</v>
      </c>
      <c r="F99" s="293" t="s">
        <v>462</v>
      </c>
      <c r="G99" s="315">
        <v>9858.5</v>
      </c>
      <c r="H99" s="73">
        <f>SUM(H101)</f>
        <v>0</v>
      </c>
      <c r="I99" s="73">
        <f t="shared" si="2"/>
        <v>0</v>
      </c>
      <c r="J99" s="242">
        <f>SUM('ведомствен.2016-2014'!G112)</f>
        <v>9858.5</v>
      </c>
      <c r="K99" s="242">
        <f>SUM('ведомствен.2016-2014'!H112)</f>
        <v>9858.5</v>
      </c>
      <c r="L99" s="242">
        <f t="shared" si="1"/>
        <v>0</v>
      </c>
      <c r="M99" s="315">
        <v>9858.5</v>
      </c>
    </row>
    <row r="100" spans="1:13" ht="14.25" hidden="1">
      <c r="A100" s="229" t="s">
        <v>490</v>
      </c>
      <c r="B100" s="290"/>
      <c r="C100" s="291" t="s">
        <v>98</v>
      </c>
      <c r="D100" s="292" t="s">
        <v>294</v>
      </c>
      <c r="E100" s="292" t="s">
        <v>489</v>
      </c>
      <c r="F100" s="293" t="s">
        <v>491</v>
      </c>
      <c r="G100" s="315"/>
      <c r="H100" s="73">
        <f>SUM(H101)</f>
        <v>0</v>
      </c>
      <c r="I100" s="73" t="e">
        <f t="shared" si="2"/>
        <v>#DIV/0!</v>
      </c>
      <c r="J100" s="242"/>
      <c r="K100" s="242"/>
      <c r="L100" s="242">
        <f t="shared" si="1"/>
        <v>0</v>
      </c>
      <c r="M100" s="315"/>
    </row>
    <row r="101" spans="1:13" ht="28.5" hidden="1">
      <c r="A101" s="229" t="s">
        <v>492</v>
      </c>
      <c r="B101" s="301"/>
      <c r="C101" s="291" t="s">
        <v>98</v>
      </c>
      <c r="D101" s="292" t="s">
        <v>294</v>
      </c>
      <c r="E101" s="292" t="s">
        <v>489</v>
      </c>
      <c r="F101" s="293" t="s">
        <v>493</v>
      </c>
      <c r="G101" s="315"/>
      <c r="H101" s="73"/>
      <c r="I101" s="73" t="e">
        <f t="shared" si="2"/>
        <v>#DIV/0!</v>
      </c>
      <c r="J101" s="242"/>
      <c r="K101" s="242"/>
      <c r="L101" s="242">
        <f t="shared" si="1"/>
        <v>0</v>
      </c>
      <c r="M101" s="315"/>
    </row>
    <row r="102" spans="1:13" ht="28.5" hidden="1">
      <c r="A102" s="229" t="s">
        <v>494</v>
      </c>
      <c r="B102" s="301"/>
      <c r="C102" s="291" t="s">
        <v>98</v>
      </c>
      <c r="D102" s="292" t="s">
        <v>294</v>
      </c>
      <c r="E102" s="292" t="s">
        <v>489</v>
      </c>
      <c r="F102" s="293" t="s">
        <v>495</v>
      </c>
      <c r="G102" s="315"/>
      <c r="H102" s="73">
        <f>SUM(H105)</f>
        <v>1317.4</v>
      </c>
      <c r="I102" s="73" t="e">
        <f t="shared" si="2"/>
        <v>#DIV/0!</v>
      </c>
      <c r="J102" s="242"/>
      <c r="K102" s="242"/>
      <c r="L102" s="242">
        <f t="shared" si="1"/>
        <v>0</v>
      </c>
      <c r="M102" s="315"/>
    </row>
    <row r="103" spans="1:13" ht="15">
      <c r="A103" s="229" t="s">
        <v>463</v>
      </c>
      <c r="B103" s="301"/>
      <c r="C103" s="291" t="s">
        <v>98</v>
      </c>
      <c r="D103" s="292" t="s">
        <v>294</v>
      </c>
      <c r="E103" s="292" t="s">
        <v>489</v>
      </c>
      <c r="F103" s="293" t="s">
        <v>112</v>
      </c>
      <c r="G103" s="315">
        <v>2526.9</v>
      </c>
      <c r="H103" s="73"/>
      <c r="I103" s="73"/>
      <c r="J103" s="242">
        <f>SUM('ведомствен.2016-2014'!G116)</f>
        <v>2526.9</v>
      </c>
      <c r="K103" s="242">
        <f>SUM('ведомствен.2016-2014'!H116)</f>
        <v>2526.9</v>
      </c>
      <c r="L103" s="242">
        <f t="shared" si="1"/>
        <v>0</v>
      </c>
      <c r="M103" s="315">
        <v>2526.9</v>
      </c>
    </row>
    <row r="104" spans="1:13" ht="28.5" hidden="1">
      <c r="A104" s="229" t="s">
        <v>496</v>
      </c>
      <c r="B104" s="301"/>
      <c r="C104" s="291" t="s">
        <v>98</v>
      </c>
      <c r="D104" s="292" t="s">
        <v>294</v>
      </c>
      <c r="E104" s="292" t="s">
        <v>489</v>
      </c>
      <c r="F104" s="293" t="s">
        <v>497</v>
      </c>
      <c r="G104" s="315"/>
      <c r="H104" s="73"/>
      <c r="I104" s="73"/>
      <c r="J104" s="242"/>
      <c r="K104" s="242"/>
      <c r="L104" s="242">
        <f t="shared" si="1"/>
        <v>0</v>
      </c>
      <c r="M104" s="315"/>
    </row>
    <row r="105" spans="1:13" ht="28.5" hidden="1">
      <c r="A105" s="229" t="s">
        <v>498</v>
      </c>
      <c r="B105" s="290"/>
      <c r="C105" s="291" t="s">
        <v>98</v>
      </c>
      <c r="D105" s="292" t="s">
        <v>294</v>
      </c>
      <c r="E105" s="292" t="s">
        <v>489</v>
      </c>
      <c r="F105" s="293" t="s">
        <v>499</v>
      </c>
      <c r="G105" s="315"/>
      <c r="H105" s="73">
        <f>SUM(H109)</f>
        <v>1317.4</v>
      </c>
      <c r="I105" s="73" t="e">
        <f t="shared" si="2"/>
        <v>#DIV/0!</v>
      </c>
      <c r="J105" s="242"/>
      <c r="K105" s="242"/>
      <c r="L105" s="242">
        <f t="shared" si="1"/>
        <v>0</v>
      </c>
      <c r="M105" s="315"/>
    </row>
    <row r="106" spans="1:13" ht="14.25">
      <c r="A106" s="229" t="s">
        <v>467</v>
      </c>
      <c r="B106" s="290"/>
      <c r="C106" s="291" t="s">
        <v>98</v>
      </c>
      <c r="D106" s="292" t="s">
        <v>294</v>
      </c>
      <c r="E106" s="292" t="s">
        <v>489</v>
      </c>
      <c r="F106" s="293" t="s">
        <v>161</v>
      </c>
      <c r="G106" s="315">
        <v>213.7</v>
      </c>
      <c r="H106" s="73">
        <v>41.9</v>
      </c>
      <c r="I106" s="73">
        <f>SUM(H106/G106*100)</f>
        <v>19.60692559663079</v>
      </c>
      <c r="J106" s="242">
        <f>SUM('ведомствен.2016-2014'!G119)</f>
        <v>213.7</v>
      </c>
      <c r="K106" s="242">
        <f>SUM('ведомствен.2016-2014'!H119)</f>
        <v>213.7</v>
      </c>
      <c r="L106" s="242">
        <f t="shared" si="1"/>
        <v>0</v>
      </c>
      <c r="M106" s="315">
        <v>213.7</v>
      </c>
    </row>
    <row r="107" spans="1:13" ht="27.75" customHeight="1">
      <c r="A107" s="229" t="s">
        <v>500</v>
      </c>
      <c r="B107" s="290"/>
      <c r="C107" s="291" t="s">
        <v>98</v>
      </c>
      <c r="D107" s="292" t="s">
        <v>294</v>
      </c>
      <c r="E107" s="292" t="s">
        <v>501</v>
      </c>
      <c r="F107" s="293"/>
      <c r="G107" s="315">
        <f>SUM(G109+G111)</f>
        <v>3400.1</v>
      </c>
      <c r="H107" s="73">
        <v>1317.4</v>
      </c>
      <c r="I107" s="73">
        <f>SUM(H107/G107*100)</f>
        <v>38.74591923766948</v>
      </c>
      <c r="J107" s="242"/>
      <c r="K107" s="242"/>
      <c r="L107" s="242"/>
      <c r="M107" s="315">
        <f>SUM(M109+M111)</f>
        <v>3400.1</v>
      </c>
    </row>
    <row r="108" spans="1:13" ht="27" customHeight="1">
      <c r="A108" s="229" t="s">
        <v>502</v>
      </c>
      <c r="B108" s="290"/>
      <c r="C108" s="291" t="s">
        <v>98</v>
      </c>
      <c r="D108" s="292" t="s">
        <v>294</v>
      </c>
      <c r="E108" s="292" t="s">
        <v>503</v>
      </c>
      <c r="F108" s="293"/>
      <c r="G108" s="315">
        <f>SUM(G109)</f>
        <v>1400.1</v>
      </c>
      <c r="H108" s="73"/>
      <c r="I108" s="73"/>
      <c r="J108" s="242"/>
      <c r="K108" s="242"/>
      <c r="L108" s="242"/>
      <c r="M108" s="315">
        <f>SUM(M109)</f>
        <v>1400.1</v>
      </c>
    </row>
    <row r="109" spans="1:13" ht="14.25">
      <c r="A109" s="229" t="s">
        <v>463</v>
      </c>
      <c r="B109" s="290"/>
      <c r="C109" s="291" t="s">
        <v>98</v>
      </c>
      <c r="D109" s="292" t="s">
        <v>294</v>
      </c>
      <c r="E109" s="292" t="s">
        <v>503</v>
      </c>
      <c r="F109" s="293" t="s">
        <v>112</v>
      </c>
      <c r="G109" s="315">
        <v>1400.1</v>
      </c>
      <c r="H109" s="73">
        <v>1317.4</v>
      </c>
      <c r="I109" s="73">
        <f t="shared" si="2"/>
        <v>94.09327905149634</v>
      </c>
      <c r="J109" s="242">
        <f>SUM('ведомствен.2016-2014'!G122)</f>
        <v>1400.1</v>
      </c>
      <c r="K109" s="242">
        <f>SUM('ведомствен.2016-2014'!H122)</f>
        <v>1400.1</v>
      </c>
      <c r="L109" s="242"/>
      <c r="M109" s="315">
        <v>1400.1</v>
      </c>
    </row>
    <row r="110" spans="1:13" ht="28.5">
      <c r="A110" s="229" t="s">
        <v>0</v>
      </c>
      <c r="B110" s="290"/>
      <c r="C110" s="291" t="s">
        <v>98</v>
      </c>
      <c r="D110" s="292" t="s">
        <v>294</v>
      </c>
      <c r="E110" s="292" t="s">
        <v>504</v>
      </c>
      <c r="F110" s="293"/>
      <c r="G110" s="315">
        <f>SUM(G111)</f>
        <v>2000</v>
      </c>
      <c r="H110" s="73"/>
      <c r="I110" s="73"/>
      <c r="J110" s="242"/>
      <c r="K110" s="242"/>
      <c r="L110" s="242"/>
      <c r="M110" s="315">
        <f>SUM(M111)</f>
        <v>2000</v>
      </c>
    </row>
    <row r="111" spans="1:13" ht="13.5" customHeight="1">
      <c r="A111" s="229" t="s">
        <v>463</v>
      </c>
      <c r="B111" s="290"/>
      <c r="C111" s="291" t="s">
        <v>98</v>
      </c>
      <c r="D111" s="292" t="s">
        <v>294</v>
      </c>
      <c r="E111" s="292" t="s">
        <v>504</v>
      </c>
      <c r="F111" s="293" t="s">
        <v>112</v>
      </c>
      <c r="G111" s="315">
        <v>2000</v>
      </c>
      <c r="H111" s="73"/>
      <c r="I111" s="73"/>
      <c r="J111" s="242">
        <f>SUM('ведомствен.2016-2014'!G124)</f>
        <v>2000</v>
      </c>
      <c r="K111" s="242">
        <f>SUM('ведомствен.2016-2014'!H124)</f>
        <v>2000</v>
      </c>
      <c r="L111" s="242">
        <f aca="true" t="shared" si="3" ref="L111:L160">SUM(G111-J111)</f>
        <v>0</v>
      </c>
      <c r="M111" s="315">
        <v>2000</v>
      </c>
    </row>
    <row r="112" spans="1:13" ht="14.25" hidden="1">
      <c r="A112" s="229" t="s">
        <v>1</v>
      </c>
      <c r="B112" s="257"/>
      <c r="C112" s="47" t="s">
        <v>98</v>
      </c>
      <c r="D112" s="97" t="s">
        <v>294</v>
      </c>
      <c r="E112" s="97" t="s">
        <v>505</v>
      </c>
      <c r="F112" s="187"/>
      <c r="G112" s="315"/>
      <c r="H112" s="73"/>
      <c r="I112" s="73"/>
      <c r="J112" s="242"/>
      <c r="K112" s="242"/>
      <c r="L112" s="242">
        <f t="shared" si="3"/>
        <v>0</v>
      </c>
      <c r="M112" s="315"/>
    </row>
    <row r="113" spans="1:13" ht="28.5" hidden="1">
      <c r="A113" s="229" t="s">
        <v>2</v>
      </c>
      <c r="B113" s="257"/>
      <c r="C113" s="47" t="s">
        <v>98</v>
      </c>
      <c r="D113" s="97" t="s">
        <v>294</v>
      </c>
      <c r="E113" s="97" t="s">
        <v>506</v>
      </c>
      <c r="F113" s="187"/>
      <c r="G113" s="315"/>
      <c r="H113" s="73"/>
      <c r="I113" s="73"/>
      <c r="J113" s="242"/>
      <c r="K113" s="242"/>
      <c r="L113" s="242">
        <f t="shared" si="3"/>
        <v>0</v>
      </c>
      <c r="M113" s="315"/>
    </row>
    <row r="114" spans="1:13" ht="14.25" hidden="1">
      <c r="A114" s="229" t="s">
        <v>463</v>
      </c>
      <c r="B114" s="257"/>
      <c r="C114" s="47" t="s">
        <v>98</v>
      </c>
      <c r="D114" s="97" t="s">
        <v>294</v>
      </c>
      <c r="E114" s="97" t="s">
        <v>506</v>
      </c>
      <c r="F114" s="187" t="s">
        <v>112</v>
      </c>
      <c r="G114" s="315"/>
      <c r="H114" s="73"/>
      <c r="I114" s="73"/>
      <c r="J114" s="242">
        <f>SUM('ведомствен.2016-2014'!G127)</f>
        <v>0</v>
      </c>
      <c r="K114" s="242">
        <f>SUM('ведомствен.2016-2014'!H127)</f>
        <v>0</v>
      </c>
      <c r="L114" s="242">
        <f t="shared" si="3"/>
        <v>0</v>
      </c>
      <c r="M114" s="315"/>
    </row>
    <row r="115" spans="1:13" ht="28.5" hidden="1">
      <c r="A115" s="229" t="s">
        <v>496</v>
      </c>
      <c r="B115" s="257"/>
      <c r="C115" s="47" t="s">
        <v>98</v>
      </c>
      <c r="D115" s="97" t="s">
        <v>294</v>
      </c>
      <c r="E115" s="97" t="s">
        <v>506</v>
      </c>
      <c r="F115" s="187" t="s">
        <v>497</v>
      </c>
      <c r="G115" s="315"/>
      <c r="H115" s="73"/>
      <c r="I115" s="73"/>
      <c r="J115" s="242"/>
      <c r="K115" s="242"/>
      <c r="L115" s="242">
        <f t="shared" si="3"/>
        <v>0</v>
      </c>
      <c r="M115" s="315"/>
    </row>
    <row r="116" spans="1:13" ht="28.5" hidden="1">
      <c r="A116" s="229" t="s">
        <v>498</v>
      </c>
      <c r="B116" s="257"/>
      <c r="C116" s="47" t="s">
        <v>98</v>
      </c>
      <c r="D116" s="97" t="s">
        <v>294</v>
      </c>
      <c r="E116" s="97" t="s">
        <v>506</v>
      </c>
      <c r="F116" s="187" t="s">
        <v>499</v>
      </c>
      <c r="G116" s="315"/>
      <c r="H116" s="73"/>
      <c r="I116" s="73"/>
      <c r="J116" s="242"/>
      <c r="K116" s="242"/>
      <c r="L116" s="242">
        <f t="shared" si="3"/>
        <v>0</v>
      </c>
      <c r="M116" s="315"/>
    </row>
    <row r="117" spans="1:13" ht="14.25" hidden="1">
      <c r="A117" s="261" t="s">
        <v>507</v>
      </c>
      <c r="B117" s="257"/>
      <c r="C117" s="64" t="s">
        <v>98</v>
      </c>
      <c r="D117" s="67" t="s">
        <v>294</v>
      </c>
      <c r="E117" s="97" t="s">
        <v>122</v>
      </c>
      <c r="F117" s="302"/>
      <c r="G117" s="318">
        <f>SUM(G118)</f>
        <v>0</v>
      </c>
      <c r="H117" s="73"/>
      <c r="I117" s="73"/>
      <c r="J117" s="242"/>
      <c r="K117" s="242"/>
      <c r="L117" s="242">
        <f t="shared" si="3"/>
        <v>0</v>
      </c>
      <c r="M117" s="318">
        <f>SUM(M118)</f>
        <v>0</v>
      </c>
    </row>
    <row r="118" spans="1:13" ht="42.75" hidden="1">
      <c r="A118" s="229" t="s">
        <v>585</v>
      </c>
      <c r="B118" s="224"/>
      <c r="C118" s="67" t="s">
        <v>98</v>
      </c>
      <c r="D118" s="67" t="s">
        <v>294</v>
      </c>
      <c r="E118" s="97" t="s">
        <v>586</v>
      </c>
      <c r="F118" s="187"/>
      <c r="G118" s="73"/>
      <c r="H118" s="73">
        <f>SUM(H119)</f>
        <v>0</v>
      </c>
      <c r="I118" s="73" t="e">
        <f t="shared" si="2"/>
        <v>#DIV/0!</v>
      </c>
      <c r="J118" s="242"/>
      <c r="K118" s="242"/>
      <c r="L118" s="242">
        <f t="shared" si="3"/>
        <v>0</v>
      </c>
      <c r="M118" s="75"/>
    </row>
    <row r="119" spans="1:13" ht="14.25" hidden="1">
      <c r="A119" s="229" t="s">
        <v>463</v>
      </c>
      <c r="B119" s="224"/>
      <c r="C119" s="67" t="s">
        <v>98</v>
      </c>
      <c r="D119" s="67" t="s">
        <v>294</v>
      </c>
      <c r="E119" s="97" t="s">
        <v>586</v>
      </c>
      <c r="F119" s="187" t="s">
        <v>112</v>
      </c>
      <c r="G119" s="73"/>
      <c r="H119" s="73">
        <f>SUM(H120+H121)</f>
        <v>0</v>
      </c>
      <c r="I119" s="73" t="e">
        <f t="shared" si="2"/>
        <v>#DIV/0!</v>
      </c>
      <c r="J119" s="242">
        <f>SUM('ведомствен.2016-2014'!G132)</f>
        <v>0</v>
      </c>
      <c r="K119" s="242">
        <f>SUM('ведомствен.2016-2014'!H132)</f>
        <v>0</v>
      </c>
      <c r="L119" s="242">
        <f t="shared" si="3"/>
        <v>0</v>
      </c>
      <c r="M119" s="75"/>
    </row>
    <row r="120" spans="1:13" ht="15">
      <c r="A120" s="258" t="s">
        <v>113</v>
      </c>
      <c r="B120" s="259"/>
      <c r="C120" s="128" t="s">
        <v>114</v>
      </c>
      <c r="D120" s="262"/>
      <c r="E120" s="262"/>
      <c r="F120" s="263"/>
      <c r="G120" s="76">
        <f>SUM(G121+G133+G139)</f>
        <v>88809.90000000001</v>
      </c>
      <c r="H120" s="73"/>
      <c r="I120" s="73">
        <f t="shared" si="2"/>
        <v>0</v>
      </c>
      <c r="J120" s="242"/>
      <c r="K120" s="242"/>
      <c r="L120" s="242"/>
      <c r="M120" s="76">
        <f>SUM(M121+M133+M139)</f>
        <v>88884.90000000001</v>
      </c>
    </row>
    <row r="121" spans="1:13" ht="14.25">
      <c r="A121" s="229" t="s">
        <v>115</v>
      </c>
      <c r="B121" s="290"/>
      <c r="C121" s="291" t="s">
        <v>114</v>
      </c>
      <c r="D121" s="292" t="s">
        <v>116</v>
      </c>
      <c r="E121" s="292"/>
      <c r="F121" s="293"/>
      <c r="G121" s="315">
        <f>G122</f>
        <v>33158.9</v>
      </c>
      <c r="H121" s="73"/>
      <c r="I121" s="73">
        <f t="shared" si="2"/>
        <v>0</v>
      </c>
      <c r="J121" s="242"/>
      <c r="K121" s="242"/>
      <c r="L121" s="242"/>
      <c r="M121" s="315">
        <f>M122</f>
        <v>33158.9</v>
      </c>
    </row>
    <row r="122" spans="1:13" s="12" customFormat="1" ht="28.5">
      <c r="A122" s="229" t="s">
        <v>508</v>
      </c>
      <c r="B122" s="290"/>
      <c r="C122" s="291" t="s">
        <v>114</v>
      </c>
      <c r="D122" s="292" t="s">
        <v>116</v>
      </c>
      <c r="E122" s="292" t="s">
        <v>509</v>
      </c>
      <c r="F122" s="293"/>
      <c r="G122" s="315">
        <f>G123+G127</f>
        <v>33158.9</v>
      </c>
      <c r="H122" s="78">
        <f>SUM(H123+H154)+H177</f>
        <v>52801.7</v>
      </c>
      <c r="I122" s="78">
        <f t="shared" si="2"/>
        <v>159.23839451851538</v>
      </c>
      <c r="J122" s="244"/>
      <c r="K122" s="244"/>
      <c r="L122" s="242"/>
      <c r="M122" s="315">
        <f>M123+M127</f>
        <v>33158.9</v>
      </c>
    </row>
    <row r="123" spans="1:13" ht="14.25">
      <c r="A123" s="229" t="s">
        <v>510</v>
      </c>
      <c r="B123" s="290"/>
      <c r="C123" s="291" t="s">
        <v>114</v>
      </c>
      <c r="D123" s="292" t="s">
        <v>116</v>
      </c>
      <c r="E123" s="292" t="s">
        <v>511</v>
      </c>
      <c r="F123" s="293"/>
      <c r="G123" s="315">
        <f>G124</f>
        <v>16940.9</v>
      </c>
      <c r="H123" s="73">
        <f>SUM(H124)</f>
        <v>36922.5</v>
      </c>
      <c r="I123" s="73">
        <f t="shared" si="2"/>
        <v>217.94886930446432</v>
      </c>
      <c r="J123" s="242"/>
      <c r="K123" s="242"/>
      <c r="L123" s="242"/>
      <c r="M123" s="315">
        <f>M124</f>
        <v>16940.9</v>
      </c>
    </row>
    <row r="124" spans="1:13" ht="28.5">
      <c r="A124" s="229" t="s">
        <v>6</v>
      </c>
      <c r="B124" s="290"/>
      <c r="C124" s="291" t="s">
        <v>114</v>
      </c>
      <c r="D124" s="292" t="s">
        <v>116</v>
      </c>
      <c r="E124" s="292" t="s">
        <v>512</v>
      </c>
      <c r="F124" s="293"/>
      <c r="G124" s="315">
        <f>SUM(G125)</f>
        <v>16940.9</v>
      </c>
      <c r="H124" s="73">
        <f>SUM(H125+H146)</f>
        <v>36922.5</v>
      </c>
      <c r="I124" s="73">
        <f t="shared" si="2"/>
        <v>217.94886930446432</v>
      </c>
      <c r="J124" s="242"/>
      <c r="K124" s="242"/>
      <c r="L124" s="242"/>
      <c r="M124" s="315">
        <f>SUM(M125)</f>
        <v>16940.9</v>
      </c>
    </row>
    <row r="125" spans="1:15" ht="12.75" customHeight="1">
      <c r="A125" s="229" t="s">
        <v>467</v>
      </c>
      <c r="B125" s="290"/>
      <c r="C125" s="291" t="s">
        <v>114</v>
      </c>
      <c r="D125" s="292" t="s">
        <v>116</v>
      </c>
      <c r="E125" s="292" t="s">
        <v>512</v>
      </c>
      <c r="F125" s="293" t="s">
        <v>161</v>
      </c>
      <c r="G125" s="315">
        <v>16940.9</v>
      </c>
      <c r="H125" s="73">
        <f>SUM(H126+H128+H130+H132+H135+H140)</f>
        <v>36646.8</v>
      </c>
      <c r="I125" s="73">
        <f t="shared" si="2"/>
        <v>216.3214469125017</v>
      </c>
      <c r="J125" s="242">
        <f>SUM('ведомствен.2016-2014'!G140)+'ведомствен.2016-2014'!G325</f>
        <v>16940.9</v>
      </c>
      <c r="K125" s="242">
        <f>SUM('ведомствен.2016-2014'!H140)+'ведомствен.2016-2014'!H325</f>
        <v>16940.9</v>
      </c>
      <c r="L125" s="242">
        <f t="shared" si="3"/>
        <v>0</v>
      </c>
      <c r="M125" s="315">
        <v>16940.9</v>
      </c>
      <c r="O125" s="221">
        <f>SUM(M125-K125)</f>
        <v>0</v>
      </c>
    </row>
    <row r="126" spans="1:13" ht="42.75" hidden="1">
      <c r="A126" s="229" t="s">
        <v>513</v>
      </c>
      <c r="B126" s="290"/>
      <c r="C126" s="291" t="s">
        <v>114</v>
      </c>
      <c r="D126" s="292" t="s">
        <v>116</v>
      </c>
      <c r="E126" s="292" t="s">
        <v>512</v>
      </c>
      <c r="F126" s="293" t="s">
        <v>192</v>
      </c>
      <c r="G126" s="315"/>
      <c r="H126" s="73">
        <f>SUM(H127)</f>
        <v>2461.2</v>
      </c>
      <c r="I126" s="73" t="e">
        <f t="shared" si="2"/>
        <v>#DIV/0!</v>
      </c>
      <c r="J126" s="242"/>
      <c r="K126" s="242"/>
      <c r="L126" s="242">
        <f t="shared" si="3"/>
        <v>0</v>
      </c>
      <c r="M126" s="315"/>
    </row>
    <row r="127" spans="1:15" ht="14.25">
      <c r="A127" s="229" t="s">
        <v>117</v>
      </c>
      <c r="B127" s="290"/>
      <c r="C127" s="291" t="s">
        <v>114</v>
      </c>
      <c r="D127" s="292" t="s">
        <v>116</v>
      </c>
      <c r="E127" s="292" t="s">
        <v>387</v>
      </c>
      <c r="F127" s="293"/>
      <c r="G127" s="315">
        <f>G128</f>
        <v>16218</v>
      </c>
      <c r="H127" s="73">
        <v>2461.2</v>
      </c>
      <c r="I127" s="73">
        <f t="shared" si="2"/>
        <v>15.175730669626338</v>
      </c>
      <c r="J127" s="242"/>
      <c r="K127" s="242"/>
      <c r="L127" s="242"/>
      <c r="M127" s="315">
        <f>M128</f>
        <v>16218</v>
      </c>
      <c r="O127" s="221">
        <f aca="true" t="shared" si="4" ref="O127:O160">SUM(M127-K127)</f>
        <v>16218</v>
      </c>
    </row>
    <row r="128" spans="1:15" ht="28.5">
      <c r="A128" s="229" t="s">
        <v>11</v>
      </c>
      <c r="B128" s="290"/>
      <c r="C128" s="291" t="s">
        <v>114</v>
      </c>
      <c r="D128" s="292" t="s">
        <v>116</v>
      </c>
      <c r="E128" s="292" t="s">
        <v>69</v>
      </c>
      <c r="F128" s="293"/>
      <c r="G128" s="315">
        <f>SUM(G129)</f>
        <v>16218</v>
      </c>
      <c r="H128" s="73">
        <f>SUM(H129)</f>
        <v>25107.2</v>
      </c>
      <c r="I128" s="73">
        <f t="shared" si="2"/>
        <v>154.81070415587618</v>
      </c>
      <c r="J128" s="242"/>
      <c r="K128" s="242"/>
      <c r="L128" s="242"/>
      <c r="M128" s="315">
        <f>SUM(M129)</f>
        <v>16218</v>
      </c>
      <c r="O128" s="221">
        <f t="shared" si="4"/>
        <v>16218</v>
      </c>
    </row>
    <row r="129" spans="1:15" ht="28.5">
      <c r="A129" s="229" t="s">
        <v>189</v>
      </c>
      <c r="B129" s="290"/>
      <c r="C129" s="291" t="s">
        <v>114</v>
      </c>
      <c r="D129" s="292" t="s">
        <v>116</v>
      </c>
      <c r="E129" s="292" t="s">
        <v>70</v>
      </c>
      <c r="F129" s="293"/>
      <c r="G129" s="315">
        <f>SUM(G130)</f>
        <v>16218</v>
      </c>
      <c r="H129" s="73">
        <v>25107.2</v>
      </c>
      <c r="I129" s="73">
        <f t="shared" si="2"/>
        <v>154.81070415587618</v>
      </c>
      <c r="J129" s="242"/>
      <c r="K129" s="242"/>
      <c r="L129" s="242"/>
      <c r="M129" s="315">
        <f>SUM(M130)</f>
        <v>16218</v>
      </c>
      <c r="O129" s="221">
        <f t="shared" si="4"/>
        <v>16218</v>
      </c>
    </row>
    <row r="130" spans="1:15" ht="28.5">
      <c r="A130" s="229" t="s">
        <v>484</v>
      </c>
      <c r="B130" s="290"/>
      <c r="C130" s="291" t="s">
        <v>114</v>
      </c>
      <c r="D130" s="292" t="s">
        <v>116</v>
      </c>
      <c r="E130" s="292" t="s">
        <v>70</v>
      </c>
      <c r="F130" s="293" t="s">
        <v>477</v>
      </c>
      <c r="G130" s="315">
        <v>16218</v>
      </c>
      <c r="H130" s="73">
        <f>SUM(H131)</f>
        <v>7951.2</v>
      </c>
      <c r="I130" s="73">
        <f t="shared" si="2"/>
        <v>49.02700702922678</v>
      </c>
      <c r="J130" s="242">
        <f>SUM('ведомствен.2016-2014'!G145)</f>
        <v>16218</v>
      </c>
      <c r="K130" s="242">
        <f>SUM('ведомствен.2016-2014'!H145)</f>
        <v>16218</v>
      </c>
      <c r="L130" s="242">
        <f t="shared" si="3"/>
        <v>0</v>
      </c>
      <c r="M130" s="315">
        <v>16218</v>
      </c>
      <c r="O130" s="221">
        <f t="shared" si="4"/>
        <v>0</v>
      </c>
    </row>
    <row r="131" spans="1:15" ht="14.25" hidden="1">
      <c r="A131" s="229" t="s">
        <v>514</v>
      </c>
      <c r="B131" s="290"/>
      <c r="C131" s="291" t="s">
        <v>114</v>
      </c>
      <c r="D131" s="292" t="s">
        <v>116</v>
      </c>
      <c r="E131" s="292" t="s">
        <v>70</v>
      </c>
      <c r="F131" s="293" t="s">
        <v>515</v>
      </c>
      <c r="G131" s="315"/>
      <c r="H131" s="73">
        <v>7951.2</v>
      </c>
      <c r="I131" s="73" t="e">
        <f t="shared" si="2"/>
        <v>#DIV/0!</v>
      </c>
      <c r="J131" s="242"/>
      <c r="K131" s="242"/>
      <c r="L131" s="242">
        <f t="shared" si="3"/>
        <v>0</v>
      </c>
      <c r="M131" s="315"/>
      <c r="O131" s="221">
        <f t="shared" si="4"/>
        <v>0</v>
      </c>
    </row>
    <row r="132" spans="1:15" ht="57" hidden="1">
      <c r="A132" s="231" t="s">
        <v>516</v>
      </c>
      <c r="B132" s="290"/>
      <c r="C132" s="291" t="s">
        <v>114</v>
      </c>
      <c r="D132" s="292" t="s">
        <v>116</v>
      </c>
      <c r="E132" s="292" t="s">
        <v>70</v>
      </c>
      <c r="F132" s="293" t="s">
        <v>49</v>
      </c>
      <c r="G132" s="315"/>
      <c r="H132" s="73">
        <f>SUM(H133)</f>
        <v>73.1</v>
      </c>
      <c r="I132" s="73" t="e">
        <f t="shared" si="2"/>
        <v>#DIV/0!</v>
      </c>
      <c r="J132" s="242"/>
      <c r="K132" s="242"/>
      <c r="L132" s="242">
        <f t="shared" si="3"/>
        <v>0</v>
      </c>
      <c r="M132" s="315"/>
      <c r="O132" s="221">
        <f t="shared" si="4"/>
        <v>0</v>
      </c>
    </row>
    <row r="133" spans="1:15" ht="14.25">
      <c r="A133" s="229" t="s">
        <v>139</v>
      </c>
      <c r="B133" s="290"/>
      <c r="C133" s="291" t="s">
        <v>114</v>
      </c>
      <c r="D133" s="292" t="s">
        <v>294</v>
      </c>
      <c r="E133" s="292"/>
      <c r="F133" s="293"/>
      <c r="G133" s="315">
        <f>G134</f>
        <v>39369.4</v>
      </c>
      <c r="H133" s="73">
        <f>SUM(H134)</f>
        <v>73.1</v>
      </c>
      <c r="I133" s="73">
        <f t="shared" si="2"/>
        <v>0.1856772010749465</v>
      </c>
      <c r="J133" s="242"/>
      <c r="K133" s="242"/>
      <c r="L133" s="242"/>
      <c r="M133" s="315">
        <f>M134</f>
        <v>39369.4</v>
      </c>
      <c r="O133" s="221">
        <f t="shared" si="4"/>
        <v>39369.4</v>
      </c>
    </row>
    <row r="134" spans="1:15" ht="42.75">
      <c r="A134" s="229" t="s">
        <v>29</v>
      </c>
      <c r="B134" s="290"/>
      <c r="C134" s="291" t="s">
        <v>114</v>
      </c>
      <c r="D134" s="292" t="s">
        <v>294</v>
      </c>
      <c r="E134" s="292" t="s">
        <v>30</v>
      </c>
      <c r="F134" s="293"/>
      <c r="G134" s="315">
        <f>G135</f>
        <v>39369.4</v>
      </c>
      <c r="H134" s="73">
        <v>73.1</v>
      </c>
      <c r="I134" s="73">
        <f t="shared" si="2"/>
        <v>0.1856772010749465</v>
      </c>
      <c r="J134" s="242"/>
      <c r="K134" s="242"/>
      <c r="L134" s="242"/>
      <c r="M134" s="315">
        <f>M135</f>
        <v>39369.4</v>
      </c>
      <c r="O134" s="221">
        <f t="shared" si="4"/>
        <v>39369.4</v>
      </c>
    </row>
    <row r="135" spans="1:15" ht="14.25">
      <c r="A135" s="229" t="s">
        <v>463</v>
      </c>
      <c r="B135" s="290"/>
      <c r="C135" s="291" t="s">
        <v>114</v>
      </c>
      <c r="D135" s="292" t="s">
        <v>294</v>
      </c>
      <c r="E135" s="292" t="s">
        <v>30</v>
      </c>
      <c r="F135" s="293" t="s">
        <v>112</v>
      </c>
      <c r="G135" s="315">
        <v>39369.4</v>
      </c>
      <c r="H135" s="73">
        <f>SUM(H136+H138)</f>
        <v>66.8</v>
      </c>
      <c r="I135" s="73">
        <f t="shared" si="2"/>
        <v>0.16967492519571037</v>
      </c>
      <c r="J135" s="242">
        <f>SUM('ведомствен.2016-2014'!G150)</f>
        <v>39369.4</v>
      </c>
      <c r="K135" s="242">
        <f>SUM('ведомствен.2016-2014'!H150)</f>
        <v>39369.4</v>
      </c>
      <c r="L135" s="242">
        <f t="shared" si="3"/>
        <v>0</v>
      </c>
      <c r="M135" s="315">
        <v>39369.4</v>
      </c>
      <c r="O135" s="221">
        <f t="shared" si="4"/>
        <v>0</v>
      </c>
    </row>
    <row r="136" spans="1:15" ht="28.5" hidden="1">
      <c r="A136" s="229" t="s">
        <v>496</v>
      </c>
      <c r="B136" s="290"/>
      <c r="C136" s="291" t="s">
        <v>114</v>
      </c>
      <c r="D136" s="292" t="s">
        <v>294</v>
      </c>
      <c r="E136" s="292" t="s">
        <v>30</v>
      </c>
      <c r="F136" s="293" t="s">
        <v>497</v>
      </c>
      <c r="G136" s="315"/>
      <c r="H136" s="73">
        <f>SUM(H137)</f>
        <v>0</v>
      </c>
      <c r="I136" s="73" t="e">
        <f aca="true" t="shared" si="5" ref="I136:I229">SUM(H136/G136*100)</f>
        <v>#DIV/0!</v>
      </c>
      <c r="J136" s="242"/>
      <c r="K136" s="242"/>
      <c r="L136" s="242">
        <f t="shared" si="3"/>
        <v>0</v>
      </c>
      <c r="M136" s="315"/>
      <c r="O136" s="221">
        <f t="shared" si="4"/>
        <v>0</v>
      </c>
    </row>
    <row r="137" spans="1:15" ht="28.5" hidden="1">
      <c r="A137" s="229" t="s">
        <v>498</v>
      </c>
      <c r="B137" s="290"/>
      <c r="C137" s="291" t="s">
        <v>114</v>
      </c>
      <c r="D137" s="292" t="s">
        <v>294</v>
      </c>
      <c r="E137" s="292" t="s">
        <v>30</v>
      </c>
      <c r="F137" s="293" t="s">
        <v>499</v>
      </c>
      <c r="G137" s="315"/>
      <c r="H137" s="73"/>
      <c r="I137" s="73" t="e">
        <f t="shared" si="5"/>
        <v>#DIV/0!</v>
      </c>
      <c r="J137" s="242"/>
      <c r="K137" s="242"/>
      <c r="L137" s="242">
        <f t="shared" si="3"/>
        <v>0</v>
      </c>
      <c r="M137" s="315"/>
      <c r="O137" s="221">
        <f t="shared" si="4"/>
        <v>0</v>
      </c>
    </row>
    <row r="138" spans="1:15" ht="28.5" hidden="1">
      <c r="A138" s="229" t="s">
        <v>517</v>
      </c>
      <c r="B138" s="290"/>
      <c r="C138" s="291" t="s">
        <v>114</v>
      </c>
      <c r="D138" s="292" t="s">
        <v>294</v>
      </c>
      <c r="E138" s="292" t="s">
        <v>30</v>
      </c>
      <c r="F138" s="293" t="s">
        <v>499</v>
      </c>
      <c r="G138" s="315"/>
      <c r="H138" s="73">
        <f>SUM(H139)</f>
        <v>66.8</v>
      </c>
      <c r="I138" s="73" t="e">
        <f t="shared" si="5"/>
        <v>#DIV/0!</v>
      </c>
      <c r="J138" s="242"/>
      <c r="K138" s="242"/>
      <c r="L138" s="242">
        <f t="shared" si="3"/>
        <v>0</v>
      </c>
      <c r="M138" s="315"/>
      <c r="O138" s="221">
        <f t="shared" si="4"/>
        <v>0</v>
      </c>
    </row>
    <row r="139" spans="1:15" ht="14.25">
      <c r="A139" s="229" t="s">
        <v>388</v>
      </c>
      <c r="B139" s="290"/>
      <c r="C139" s="291" t="s">
        <v>114</v>
      </c>
      <c r="D139" s="292" t="s">
        <v>377</v>
      </c>
      <c r="E139" s="292"/>
      <c r="F139" s="293"/>
      <c r="G139" s="315">
        <f>SUM(G140+G154+G158)</f>
        <v>16281.6</v>
      </c>
      <c r="H139" s="73">
        <v>66.8</v>
      </c>
      <c r="I139" s="73">
        <f t="shared" si="5"/>
        <v>0.41027908805031443</v>
      </c>
      <c r="J139" s="242"/>
      <c r="K139" s="242"/>
      <c r="L139" s="242"/>
      <c r="M139" s="315">
        <f>SUM(M140+M154+M158)</f>
        <v>16356.6</v>
      </c>
      <c r="O139" s="221">
        <f t="shared" si="4"/>
        <v>16356.6</v>
      </c>
    </row>
    <row r="140" spans="1:15" ht="28.5">
      <c r="A140" s="229" t="s">
        <v>508</v>
      </c>
      <c r="B140" s="290"/>
      <c r="C140" s="291" t="s">
        <v>114</v>
      </c>
      <c r="D140" s="292" t="s">
        <v>377</v>
      </c>
      <c r="E140" s="292" t="s">
        <v>509</v>
      </c>
      <c r="F140" s="293"/>
      <c r="G140" s="315">
        <f>SUM(G145)+G141</f>
        <v>4350.900000000001</v>
      </c>
      <c r="H140" s="73">
        <f>SUM(H145)</f>
        <v>987.3</v>
      </c>
      <c r="I140" s="73">
        <f t="shared" si="5"/>
        <v>22.69185685720195</v>
      </c>
      <c r="J140" s="242"/>
      <c r="K140" s="242"/>
      <c r="L140" s="242"/>
      <c r="M140" s="315">
        <f>SUM(M145)+M141</f>
        <v>4350.900000000001</v>
      </c>
      <c r="O140" s="221">
        <f t="shared" si="4"/>
        <v>4350.900000000001</v>
      </c>
    </row>
    <row r="141" spans="1:15" ht="28.5">
      <c r="A141" s="83" t="s">
        <v>668</v>
      </c>
      <c r="B141" s="327"/>
      <c r="C141" s="328" t="s">
        <v>114</v>
      </c>
      <c r="D141" s="328" t="s">
        <v>377</v>
      </c>
      <c r="E141" s="328" t="s">
        <v>669</v>
      </c>
      <c r="F141" s="329"/>
      <c r="G141" s="330">
        <f>SUM(G142)</f>
        <v>722.1</v>
      </c>
      <c r="H141" s="73"/>
      <c r="I141" s="73"/>
      <c r="J141" s="242"/>
      <c r="K141" s="242"/>
      <c r="L141" s="242"/>
      <c r="M141" s="330">
        <f>SUM(M142)</f>
        <v>722.1</v>
      </c>
      <c r="O141" s="221"/>
    </row>
    <row r="142" spans="1:15" ht="28.5">
      <c r="A142" s="83" t="s">
        <v>11</v>
      </c>
      <c r="B142" s="327"/>
      <c r="C142" s="328" t="s">
        <v>114</v>
      </c>
      <c r="D142" s="328" t="s">
        <v>377</v>
      </c>
      <c r="E142" s="328" t="s">
        <v>670</v>
      </c>
      <c r="F142" s="329"/>
      <c r="G142" s="330">
        <f>SUM(G143)</f>
        <v>722.1</v>
      </c>
      <c r="H142" s="73"/>
      <c r="I142" s="73"/>
      <c r="J142" s="242"/>
      <c r="K142" s="242"/>
      <c r="L142" s="242"/>
      <c r="M142" s="330">
        <f>SUM(M143)</f>
        <v>722.1</v>
      </c>
      <c r="O142" s="221"/>
    </row>
    <row r="143" spans="1:15" ht="28.5">
      <c r="A143" s="83" t="s">
        <v>189</v>
      </c>
      <c r="B143" s="327"/>
      <c r="C143" s="328" t="s">
        <v>114</v>
      </c>
      <c r="D143" s="328" t="s">
        <v>377</v>
      </c>
      <c r="E143" s="328" t="s">
        <v>671</v>
      </c>
      <c r="F143" s="329"/>
      <c r="G143" s="330">
        <f>SUM(G144)</f>
        <v>722.1</v>
      </c>
      <c r="H143" s="73"/>
      <c r="I143" s="73"/>
      <c r="J143" s="242"/>
      <c r="K143" s="242"/>
      <c r="L143" s="242"/>
      <c r="M143" s="330">
        <f>SUM(M144)</f>
        <v>722.1</v>
      </c>
      <c r="O143" s="221"/>
    </row>
    <row r="144" spans="1:15" ht="28.5">
      <c r="A144" s="83" t="s">
        <v>484</v>
      </c>
      <c r="B144" s="327"/>
      <c r="C144" s="328" t="s">
        <v>114</v>
      </c>
      <c r="D144" s="328" t="s">
        <v>377</v>
      </c>
      <c r="E144" s="328" t="s">
        <v>671</v>
      </c>
      <c r="F144" s="329" t="s">
        <v>477</v>
      </c>
      <c r="G144" s="330">
        <v>722.1</v>
      </c>
      <c r="H144" s="73"/>
      <c r="I144" s="73"/>
      <c r="J144" s="242">
        <f>SUM('ведомствен.2016-2014'!G159)</f>
        <v>722.1</v>
      </c>
      <c r="K144" s="242">
        <f>SUM('ведомствен.2016-2014'!H159)</f>
        <v>722.1</v>
      </c>
      <c r="L144" s="242"/>
      <c r="M144" s="330">
        <v>722.1</v>
      </c>
      <c r="O144" s="221"/>
    </row>
    <row r="145" spans="1:15" ht="13.5" customHeight="1">
      <c r="A145" s="229" t="s">
        <v>393</v>
      </c>
      <c r="B145" s="290"/>
      <c r="C145" s="291" t="s">
        <v>114</v>
      </c>
      <c r="D145" s="292" t="s">
        <v>377</v>
      </c>
      <c r="E145" s="292" t="s">
        <v>518</v>
      </c>
      <c r="F145" s="293"/>
      <c r="G145" s="315">
        <f>SUM(G146,G150)</f>
        <v>3628.8</v>
      </c>
      <c r="H145" s="73">
        <v>987.3</v>
      </c>
      <c r="I145" s="73">
        <f t="shared" si="5"/>
        <v>27.20734126984127</v>
      </c>
      <c r="J145" s="242"/>
      <c r="K145" s="242"/>
      <c r="L145" s="242"/>
      <c r="M145" s="315">
        <f>SUM(M146,M150)</f>
        <v>3628.8</v>
      </c>
      <c r="O145" s="221">
        <f t="shared" si="4"/>
        <v>3628.8</v>
      </c>
    </row>
    <row r="146" spans="1:15" ht="28.5" hidden="1">
      <c r="A146" s="229" t="s">
        <v>519</v>
      </c>
      <c r="B146" s="290"/>
      <c r="C146" s="291" t="s">
        <v>114</v>
      </c>
      <c r="D146" s="292" t="s">
        <v>377</v>
      </c>
      <c r="E146" s="97" t="s">
        <v>520</v>
      </c>
      <c r="F146" s="293"/>
      <c r="G146" s="315">
        <f>SUM(G147)</f>
        <v>0</v>
      </c>
      <c r="H146" s="73">
        <f>SUM(H147)</f>
        <v>275.7</v>
      </c>
      <c r="I146" s="73" t="e">
        <f t="shared" si="5"/>
        <v>#DIV/0!</v>
      </c>
      <c r="J146" s="242"/>
      <c r="K146" s="242"/>
      <c r="L146" s="242"/>
      <c r="M146" s="315">
        <f>SUM(M147)</f>
        <v>0</v>
      </c>
      <c r="O146" s="221">
        <f t="shared" si="4"/>
        <v>0</v>
      </c>
    </row>
    <row r="147" spans="1:15" ht="14.25" hidden="1">
      <c r="A147" s="229" t="s">
        <v>463</v>
      </c>
      <c r="B147" s="290"/>
      <c r="C147" s="291" t="s">
        <v>114</v>
      </c>
      <c r="D147" s="292" t="s">
        <v>377</v>
      </c>
      <c r="E147" s="97" t="s">
        <v>520</v>
      </c>
      <c r="F147" s="293" t="s">
        <v>112</v>
      </c>
      <c r="G147" s="315"/>
      <c r="H147" s="73">
        <f>SUM(H148)</f>
        <v>275.7</v>
      </c>
      <c r="I147" s="73" t="e">
        <f t="shared" si="5"/>
        <v>#DIV/0!</v>
      </c>
      <c r="J147" s="242">
        <f>SUM('ведомствен.2016-2014'!G162)</f>
        <v>0</v>
      </c>
      <c r="K147" s="242">
        <f>SUM('ведомствен.2016-2014'!H162)</f>
        <v>0</v>
      </c>
      <c r="L147" s="242">
        <f t="shared" si="3"/>
        <v>0</v>
      </c>
      <c r="M147" s="315"/>
      <c r="O147" s="221">
        <f t="shared" si="4"/>
        <v>0</v>
      </c>
    </row>
    <row r="148" spans="1:15" ht="28.5" hidden="1">
      <c r="A148" s="229" t="s">
        <v>496</v>
      </c>
      <c r="B148" s="290"/>
      <c r="C148" s="291" t="s">
        <v>114</v>
      </c>
      <c r="D148" s="292" t="s">
        <v>377</v>
      </c>
      <c r="E148" s="97" t="s">
        <v>520</v>
      </c>
      <c r="F148" s="293" t="s">
        <v>497</v>
      </c>
      <c r="G148" s="315"/>
      <c r="H148" s="73">
        <v>275.7</v>
      </c>
      <c r="I148" s="73" t="e">
        <f t="shared" si="5"/>
        <v>#DIV/0!</v>
      </c>
      <c r="J148" s="242"/>
      <c r="K148" s="242"/>
      <c r="L148" s="242">
        <f t="shared" si="3"/>
        <v>0</v>
      </c>
      <c r="M148" s="315"/>
      <c r="O148" s="221">
        <f t="shared" si="4"/>
        <v>0</v>
      </c>
    </row>
    <row r="149" spans="1:15" ht="28.5">
      <c r="A149" s="229" t="s">
        <v>11</v>
      </c>
      <c r="B149" s="290"/>
      <c r="C149" s="291" t="s">
        <v>114</v>
      </c>
      <c r="D149" s="292" t="s">
        <v>377</v>
      </c>
      <c r="E149" s="292" t="s">
        <v>521</v>
      </c>
      <c r="F149" s="293"/>
      <c r="G149" s="315">
        <f>SUM(G150)</f>
        <v>3628.8</v>
      </c>
      <c r="H149" s="73"/>
      <c r="I149" s="73">
        <f t="shared" si="5"/>
        <v>0</v>
      </c>
      <c r="J149" s="242"/>
      <c r="K149" s="242"/>
      <c r="L149" s="242"/>
      <c r="M149" s="315">
        <f>SUM(M150)</f>
        <v>3628.8</v>
      </c>
      <c r="O149" s="221">
        <f t="shared" si="4"/>
        <v>3628.8</v>
      </c>
    </row>
    <row r="150" spans="1:15" s="15" customFormat="1" ht="28.5">
      <c r="A150" s="229" t="s">
        <v>189</v>
      </c>
      <c r="B150" s="290"/>
      <c r="C150" s="291" t="s">
        <v>114</v>
      </c>
      <c r="D150" s="292" t="s">
        <v>377</v>
      </c>
      <c r="E150" s="292" t="s">
        <v>522</v>
      </c>
      <c r="F150" s="293"/>
      <c r="G150" s="315">
        <f>G151</f>
        <v>3628.8</v>
      </c>
      <c r="H150" s="73">
        <f>SUM(H152)</f>
        <v>0</v>
      </c>
      <c r="I150" s="73">
        <f>SUM(H150/G150*100)</f>
        <v>0</v>
      </c>
      <c r="J150" s="245"/>
      <c r="K150" s="245"/>
      <c r="L150" s="242"/>
      <c r="M150" s="315">
        <f>M151</f>
        <v>3628.8</v>
      </c>
      <c r="O150" s="221">
        <f t="shared" si="4"/>
        <v>3628.8</v>
      </c>
    </row>
    <row r="151" spans="1:15" s="15" customFormat="1" ht="28.5">
      <c r="A151" s="229" t="s">
        <v>484</v>
      </c>
      <c r="B151" s="290"/>
      <c r="C151" s="291" t="s">
        <v>114</v>
      </c>
      <c r="D151" s="292" t="s">
        <v>377</v>
      </c>
      <c r="E151" s="292" t="s">
        <v>522</v>
      </c>
      <c r="F151" s="293" t="s">
        <v>477</v>
      </c>
      <c r="G151" s="315">
        <v>3628.8</v>
      </c>
      <c r="H151" s="73"/>
      <c r="I151" s="73"/>
      <c r="J151" s="242">
        <f>SUM('ведомствен.2016-2014'!G166)</f>
        <v>3628.8</v>
      </c>
      <c r="K151" s="242">
        <f>SUM('ведомствен.2016-2014'!H166)</f>
        <v>3628.8</v>
      </c>
      <c r="L151" s="242">
        <f t="shared" si="3"/>
        <v>0</v>
      </c>
      <c r="M151" s="315">
        <v>3628.8</v>
      </c>
      <c r="O151" s="221">
        <f t="shared" si="4"/>
        <v>0</v>
      </c>
    </row>
    <row r="152" spans="1:15" s="15" customFormat="1" ht="14.25" hidden="1">
      <c r="A152" s="229" t="s">
        <v>514</v>
      </c>
      <c r="B152" s="290"/>
      <c r="C152" s="291" t="s">
        <v>114</v>
      </c>
      <c r="D152" s="292" t="s">
        <v>377</v>
      </c>
      <c r="E152" s="292" t="s">
        <v>522</v>
      </c>
      <c r="F152" s="293" t="s">
        <v>515</v>
      </c>
      <c r="G152" s="315"/>
      <c r="H152" s="73">
        <f>SUM(H153)</f>
        <v>0</v>
      </c>
      <c r="I152" s="73" t="e">
        <f>SUM(H152/G152*100)</f>
        <v>#DIV/0!</v>
      </c>
      <c r="J152" s="245"/>
      <c r="K152" s="245"/>
      <c r="L152" s="242">
        <f t="shared" si="3"/>
        <v>0</v>
      </c>
      <c r="M152" s="315"/>
      <c r="O152" s="221">
        <f t="shared" si="4"/>
        <v>0</v>
      </c>
    </row>
    <row r="153" spans="1:15" s="15" customFormat="1" ht="57" hidden="1">
      <c r="A153" s="231" t="s">
        <v>516</v>
      </c>
      <c r="B153" s="297"/>
      <c r="C153" s="298" t="s">
        <v>114</v>
      </c>
      <c r="D153" s="299" t="s">
        <v>377</v>
      </c>
      <c r="E153" s="299" t="s">
        <v>522</v>
      </c>
      <c r="F153" s="300" t="s">
        <v>49</v>
      </c>
      <c r="G153" s="317"/>
      <c r="H153" s="73"/>
      <c r="I153" s="73" t="e">
        <f>SUM(H153/G153*100)</f>
        <v>#DIV/0!</v>
      </c>
      <c r="J153" s="245"/>
      <c r="K153" s="245"/>
      <c r="L153" s="242">
        <f t="shared" si="3"/>
        <v>0</v>
      </c>
      <c r="M153" s="317"/>
      <c r="O153" s="221">
        <f t="shared" si="4"/>
        <v>0</v>
      </c>
    </row>
    <row r="154" spans="1:15" ht="28.5">
      <c r="A154" s="229" t="s">
        <v>390</v>
      </c>
      <c r="B154" s="256"/>
      <c r="C154" s="291" t="s">
        <v>114</v>
      </c>
      <c r="D154" s="292" t="s">
        <v>377</v>
      </c>
      <c r="E154" s="97" t="s">
        <v>391</v>
      </c>
      <c r="F154" s="187"/>
      <c r="G154" s="73">
        <f>SUM(G155)</f>
        <v>6277.2</v>
      </c>
      <c r="H154" s="73">
        <f>SUM(H158+H163+H166+H169)+H156</f>
        <v>15879.199999999997</v>
      </c>
      <c r="I154" s="73">
        <f t="shared" si="5"/>
        <v>252.9662907028611</v>
      </c>
      <c r="J154" s="242"/>
      <c r="K154" s="242"/>
      <c r="L154" s="242"/>
      <c r="M154" s="73">
        <f>SUM(M155)</f>
        <v>6352.2</v>
      </c>
      <c r="O154" s="221">
        <f t="shared" si="4"/>
        <v>6352.2</v>
      </c>
    </row>
    <row r="155" spans="1:15" ht="28.5">
      <c r="A155" s="229" t="s">
        <v>11</v>
      </c>
      <c r="B155" s="290"/>
      <c r="C155" s="291" t="s">
        <v>114</v>
      </c>
      <c r="D155" s="292" t="s">
        <v>377</v>
      </c>
      <c r="E155" s="292" t="s">
        <v>548</v>
      </c>
      <c r="F155" s="293"/>
      <c r="G155" s="315">
        <f>SUM(G156)</f>
        <v>6277.2</v>
      </c>
      <c r="H155" s="73">
        <f>SUM(H156)</f>
        <v>0</v>
      </c>
      <c r="I155" s="73">
        <f t="shared" si="5"/>
        <v>0</v>
      </c>
      <c r="J155" s="242"/>
      <c r="K155" s="242"/>
      <c r="L155" s="242"/>
      <c r="M155" s="315">
        <f>SUM(M156)</f>
        <v>6352.2</v>
      </c>
      <c r="O155" s="221">
        <f t="shared" si="4"/>
        <v>6352.2</v>
      </c>
    </row>
    <row r="156" spans="1:15" ht="28.5">
      <c r="A156" s="229" t="s">
        <v>189</v>
      </c>
      <c r="B156" s="290"/>
      <c r="C156" s="291" t="s">
        <v>114</v>
      </c>
      <c r="D156" s="292" t="s">
        <v>377</v>
      </c>
      <c r="E156" s="292" t="s">
        <v>549</v>
      </c>
      <c r="F156" s="293"/>
      <c r="G156" s="315">
        <f>G157</f>
        <v>6277.2</v>
      </c>
      <c r="H156" s="73">
        <f>SUM(H157)</f>
        <v>0</v>
      </c>
      <c r="I156" s="73">
        <f t="shared" si="5"/>
        <v>0</v>
      </c>
      <c r="J156" s="242"/>
      <c r="K156" s="242"/>
      <c r="L156" s="242"/>
      <c r="M156" s="315">
        <f>M157</f>
        <v>6352.2</v>
      </c>
      <c r="O156" s="221">
        <f t="shared" si="4"/>
        <v>6352.2</v>
      </c>
    </row>
    <row r="157" spans="1:15" ht="28.5">
      <c r="A157" s="229" t="s">
        <v>484</v>
      </c>
      <c r="B157" s="290"/>
      <c r="C157" s="291" t="s">
        <v>114</v>
      </c>
      <c r="D157" s="292" t="s">
        <v>377</v>
      </c>
      <c r="E157" s="292" t="s">
        <v>549</v>
      </c>
      <c r="F157" s="293" t="s">
        <v>477</v>
      </c>
      <c r="G157" s="315">
        <v>6277.2</v>
      </c>
      <c r="H157" s="73"/>
      <c r="I157" s="73">
        <f t="shared" si="5"/>
        <v>0</v>
      </c>
      <c r="J157" s="242">
        <f>SUM('ведомствен.2016-2014'!G330)</f>
        <v>6277.2</v>
      </c>
      <c r="K157" s="242">
        <f>SUM('ведомствен.2016-2014'!H330)</f>
        <v>6352.2</v>
      </c>
      <c r="L157" s="242">
        <f t="shared" si="3"/>
        <v>0</v>
      </c>
      <c r="M157" s="315">
        <v>6352.2</v>
      </c>
      <c r="O157" s="221">
        <f t="shared" si="4"/>
        <v>0</v>
      </c>
    </row>
    <row r="158" spans="1:15" ht="14.25">
      <c r="A158" s="230" t="s">
        <v>507</v>
      </c>
      <c r="B158" s="297"/>
      <c r="C158" s="298" t="s">
        <v>114</v>
      </c>
      <c r="D158" s="299" t="s">
        <v>377</v>
      </c>
      <c r="E158" s="299" t="s">
        <v>122</v>
      </c>
      <c r="F158" s="300"/>
      <c r="G158" s="317">
        <f>G159</f>
        <v>5653.5</v>
      </c>
      <c r="H158" s="73">
        <f>SUM(H159)+H161</f>
        <v>10264.099999999999</v>
      </c>
      <c r="I158" s="73">
        <f t="shared" si="5"/>
        <v>181.55302025294063</v>
      </c>
      <c r="J158" s="242"/>
      <c r="K158" s="242"/>
      <c r="L158" s="242"/>
      <c r="M158" s="317">
        <f>M159</f>
        <v>5653.5</v>
      </c>
      <c r="O158" s="221">
        <f t="shared" si="4"/>
        <v>5653.5</v>
      </c>
    </row>
    <row r="159" spans="1:15" ht="28.5">
      <c r="A159" s="230" t="s">
        <v>523</v>
      </c>
      <c r="B159" s="297"/>
      <c r="C159" s="298" t="s">
        <v>114</v>
      </c>
      <c r="D159" s="299" t="s">
        <v>377</v>
      </c>
      <c r="E159" s="299" t="s">
        <v>45</v>
      </c>
      <c r="F159" s="300"/>
      <c r="G159" s="317">
        <f>SUM(G160)</f>
        <v>5653.5</v>
      </c>
      <c r="H159" s="73">
        <f>SUM(H160)</f>
        <v>438.8</v>
      </c>
      <c r="I159" s="73">
        <f t="shared" si="5"/>
        <v>7.761563633147609</v>
      </c>
      <c r="J159" s="242"/>
      <c r="K159" s="242"/>
      <c r="L159" s="242"/>
      <c r="M159" s="317">
        <f>SUM(M160)</f>
        <v>5653.5</v>
      </c>
      <c r="O159" s="221">
        <f t="shared" si="4"/>
        <v>5653.5</v>
      </c>
    </row>
    <row r="160" spans="1:15" ht="28.5">
      <c r="A160" s="231" t="s">
        <v>484</v>
      </c>
      <c r="B160" s="297"/>
      <c r="C160" s="298" t="s">
        <v>114</v>
      </c>
      <c r="D160" s="299" t="s">
        <v>377</v>
      </c>
      <c r="E160" s="299" t="s">
        <v>45</v>
      </c>
      <c r="F160" s="300" t="s">
        <v>477</v>
      </c>
      <c r="G160" s="317">
        <v>5653.5</v>
      </c>
      <c r="H160" s="73">
        <v>438.8</v>
      </c>
      <c r="I160" s="73">
        <f t="shared" si="5"/>
        <v>7.761563633147609</v>
      </c>
      <c r="J160" s="242">
        <f>SUM('ведомствен.2016-2014'!G171)</f>
        <v>5653.5</v>
      </c>
      <c r="K160" s="242">
        <f>SUM('ведомствен.2016-2014'!H171)</f>
        <v>5653.5</v>
      </c>
      <c r="L160" s="242">
        <f t="shared" si="3"/>
        <v>0</v>
      </c>
      <c r="M160" s="317">
        <v>5653.5</v>
      </c>
      <c r="O160" s="221">
        <f t="shared" si="4"/>
        <v>0</v>
      </c>
    </row>
    <row r="161" spans="1:13" ht="15">
      <c r="A161" s="264" t="s">
        <v>394</v>
      </c>
      <c r="B161" s="265"/>
      <c r="C161" s="155" t="s">
        <v>124</v>
      </c>
      <c r="D161" s="96"/>
      <c r="E161" s="96"/>
      <c r="F161" s="266"/>
      <c r="G161" s="76">
        <f>SUM(G162+G214+G220+G232)</f>
        <v>55965.9</v>
      </c>
      <c r="H161" s="73">
        <f>SUM(H162)</f>
        <v>9825.3</v>
      </c>
      <c r="I161" s="73">
        <f t="shared" si="5"/>
        <v>17.55586884156245</v>
      </c>
      <c r="J161" s="242"/>
      <c r="K161" s="242"/>
      <c r="L161" s="242"/>
      <c r="M161" s="76">
        <f>SUM(M162+M214+M220+M232)</f>
        <v>55965.9</v>
      </c>
    </row>
    <row r="162" spans="1:13" ht="14.25" hidden="1">
      <c r="A162" s="232" t="s">
        <v>395</v>
      </c>
      <c r="B162" s="256"/>
      <c r="C162" s="36" t="s">
        <v>124</v>
      </c>
      <c r="D162" s="46" t="s">
        <v>429</v>
      </c>
      <c r="E162" s="46"/>
      <c r="F162" s="237"/>
      <c r="G162" s="73"/>
      <c r="H162" s="73">
        <v>9825.3</v>
      </c>
      <c r="I162" s="73" t="e">
        <f t="shared" si="5"/>
        <v>#DIV/0!</v>
      </c>
      <c r="J162" s="242">
        <f>SUM('ведомствен.2016-2014'!G151)</f>
        <v>0</v>
      </c>
      <c r="K162" s="242">
        <f>SUM('ведомствен.2016-2014'!H151)</f>
        <v>0</v>
      </c>
      <c r="L162" s="242"/>
      <c r="M162" s="73"/>
    </row>
    <row r="163" spans="1:13" ht="42.75" hidden="1">
      <c r="A163" s="229" t="s">
        <v>396</v>
      </c>
      <c r="B163" s="256"/>
      <c r="C163" s="36" t="s">
        <v>124</v>
      </c>
      <c r="D163" s="46" t="s">
        <v>429</v>
      </c>
      <c r="E163" s="46" t="s">
        <v>397</v>
      </c>
      <c r="F163" s="237"/>
      <c r="G163" s="73">
        <f>SUM(G164+G171)</f>
        <v>0</v>
      </c>
      <c r="H163" s="73">
        <f>SUM(H164)</f>
        <v>227.3</v>
      </c>
      <c r="I163" s="73" t="e">
        <f t="shared" si="5"/>
        <v>#DIV/0!</v>
      </c>
      <c r="J163" s="242"/>
      <c r="K163" s="242"/>
      <c r="L163" s="242"/>
      <c r="M163" s="73">
        <f>SUM(M164+M171)</f>
        <v>0</v>
      </c>
    </row>
    <row r="164" spans="1:13" ht="71.25" hidden="1">
      <c r="A164" s="229" t="s">
        <v>398</v>
      </c>
      <c r="B164" s="256"/>
      <c r="C164" s="36" t="s">
        <v>124</v>
      </c>
      <c r="D164" s="46" t="s">
        <v>429</v>
      </c>
      <c r="E164" s="46" t="s">
        <v>399</v>
      </c>
      <c r="F164" s="237"/>
      <c r="G164" s="73">
        <f>SUM(G165+G167+G169)</f>
        <v>0</v>
      </c>
      <c r="H164" s="73">
        <f>SUM(H165)</f>
        <v>227.3</v>
      </c>
      <c r="I164" s="73" t="e">
        <f t="shared" si="5"/>
        <v>#DIV/0!</v>
      </c>
      <c r="J164" s="242"/>
      <c r="K164" s="242"/>
      <c r="L164" s="242"/>
      <c r="M164" s="73">
        <f>SUM(M165+M167+M169)</f>
        <v>0</v>
      </c>
    </row>
    <row r="165" spans="1:13" ht="57" hidden="1">
      <c r="A165" s="229" t="s">
        <v>25</v>
      </c>
      <c r="B165" s="256"/>
      <c r="C165" s="36" t="s">
        <v>124</v>
      </c>
      <c r="D165" s="46" t="s">
        <v>429</v>
      </c>
      <c r="E165" s="46" t="s">
        <v>26</v>
      </c>
      <c r="F165" s="237"/>
      <c r="G165" s="73">
        <f>SUM(G166)</f>
        <v>0</v>
      </c>
      <c r="H165" s="73">
        <v>227.3</v>
      </c>
      <c r="I165" s="73" t="e">
        <f t="shared" si="5"/>
        <v>#DIV/0!</v>
      </c>
      <c r="J165" s="242"/>
      <c r="K165" s="242"/>
      <c r="L165" s="242"/>
      <c r="M165" s="73">
        <f>SUM(M166)</f>
        <v>0</v>
      </c>
    </row>
    <row r="166" spans="1:13" ht="14.25" hidden="1">
      <c r="A166" s="232" t="s">
        <v>7</v>
      </c>
      <c r="B166" s="256"/>
      <c r="C166" s="36" t="s">
        <v>124</v>
      </c>
      <c r="D166" s="46" t="s">
        <v>429</v>
      </c>
      <c r="E166" s="46" t="s">
        <v>26</v>
      </c>
      <c r="F166" s="237" t="s">
        <v>8</v>
      </c>
      <c r="G166" s="73"/>
      <c r="H166" s="73">
        <f>SUM(H167)</f>
        <v>5387.8</v>
      </c>
      <c r="I166" s="73" t="e">
        <f t="shared" si="5"/>
        <v>#DIV/0!</v>
      </c>
      <c r="J166" s="242"/>
      <c r="K166" s="242"/>
      <c r="L166" s="242"/>
      <c r="M166" s="73"/>
    </row>
    <row r="167" spans="1:13" ht="57" hidden="1">
      <c r="A167" s="229" t="s">
        <v>27</v>
      </c>
      <c r="B167" s="256"/>
      <c r="C167" s="36" t="s">
        <v>124</v>
      </c>
      <c r="D167" s="46" t="s">
        <v>429</v>
      </c>
      <c r="E167" s="46" t="s">
        <v>28</v>
      </c>
      <c r="F167" s="237"/>
      <c r="G167" s="73">
        <f>SUM(G168)</f>
        <v>0</v>
      </c>
      <c r="H167" s="73">
        <f>SUM(H168)</f>
        <v>5387.8</v>
      </c>
      <c r="I167" s="73" t="e">
        <f t="shared" si="5"/>
        <v>#DIV/0!</v>
      </c>
      <c r="J167" s="242"/>
      <c r="K167" s="242"/>
      <c r="L167" s="242"/>
      <c r="M167" s="73">
        <f>SUM(M168)</f>
        <v>0</v>
      </c>
    </row>
    <row r="168" spans="1:13" ht="14.25" hidden="1">
      <c r="A168" s="267" t="s">
        <v>127</v>
      </c>
      <c r="B168" s="256"/>
      <c r="C168" s="36" t="s">
        <v>124</v>
      </c>
      <c r="D168" s="46" t="s">
        <v>429</v>
      </c>
      <c r="E168" s="46" t="s">
        <v>28</v>
      </c>
      <c r="F168" s="237" t="s">
        <v>128</v>
      </c>
      <c r="G168" s="73"/>
      <c r="H168" s="73">
        <v>5387.8</v>
      </c>
      <c r="I168" s="73" t="e">
        <f t="shared" si="5"/>
        <v>#DIV/0!</v>
      </c>
      <c r="J168" s="242"/>
      <c r="K168" s="242"/>
      <c r="L168" s="242"/>
      <c r="M168" s="73"/>
    </row>
    <row r="169" spans="1:13" s="18" customFormat="1" ht="71.25" hidden="1">
      <c r="A169" s="229" t="s">
        <v>247</v>
      </c>
      <c r="B169" s="256"/>
      <c r="C169" s="36" t="s">
        <v>124</v>
      </c>
      <c r="D169" s="46" t="s">
        <v>429</v>
      </c>
      <c r="E169" s="46" t="s">
        <v>132</v>
      </c>
      <c r="F169" s="237"/>
      <c r="G169" s="73">
        <f>SUM(G170)</f>
        <v>0</v>
      </c>
      <c r="H169" s="73">
        <f>SUM(H171)</f>
        <v>0</v>
      </c>
      <c r="I169" s="73" t="e">
        <f t="shared" si="5"/>
        <v>#DIV/0!</v>
      </c>
      <c r="J169" s="245"/>
      <c r="K169" s="245"/>
      <c r="L169" s="242"/>
      <c r="M169" s="73">
        <f>SUM(M170)</f>
        <v>0</v>
      </c>
    </row>
    <row r="170" spans="1:13" s="18" customFormat="1" ht="14.25" hidden="1">
      <c r="A170" s="267" t="s">
        <v>127</v>
      </c>
      <c r="B170" s="256"/>
      <c r="C170" s="36" t="s">
        <v>124</v>
      </c>
      <c r="D170" s="46" t="s">
        <v>429</v>
      </c>
      <c r="E170" s="46" t="s">
        <v>132</v>
      </c>
      <c r="F170" s="237" t="s">
        <v>128</v>
      </c>
      <c r="G170" s="73"/>
      <c r="H170" s="73">
        <f>SUM(H171)</f>
        <v>0</v>
      </c>
      <c r="I170" s="73" t="e">
        <f t="shared" si="5"/>
        <v>#DIV/0!</v>
      </c>
      <c r="J170" s="245"/>
      <c r="K170" s="245"/>
      <c r="L170" s="242"/>
      <c r="M170" s="73"/>
    </row>
    <row r="171" spans="1:13" ht="42.75" hidden="1">
      <c r="A171" s="229" t="s">
        <v>400</v>
      </c>
      <c r="B171" s="256"/>
      <c r="C171" s="36" t="s">
        <v>124</v>
      </c>
      <c r="D171" s="46" t="s">
        <v>429</v>
      </c>
      <c r="E171" s="46" t="s">
        <v>401</v>
      </c>
      <c r="F171" s="237"/>
      <c r="G171" s="73">
        <f>SUM(G172)+G178+G181</f>
        <v>0</v>
      </c>
      <c r="H171" s="73"/>
      <c r="I171" s="73" t="e">
        <f t="shared" si="5"/>
        <v>#DIV/0!</v>
      </c>
      <c r="J171" s="242"/>
      <c r="K171" s="242"/>
      <c r="L171" s="242"/>
      <c r="M171" s="73">
        <f>SUM(M172)+M178+M181</f>
        <v>0</v>
      </c>
    </row>
    <row r="172" spans="1:13" ht="28.5" hidden="1">
      <c r="A172" s="229" t="s">
        <v>402</v>
      </c>
      <c r="B172" s="256"/>
      <c r="C172" s="36" t="s">
        <v>124</v>
      </c>
      <c r="D172" s="46" t="s">
        <v>429</v>
      </c>
      <c r="E172" s="46" t="s">
        <v>403</v>
      </c>
      <c r="F172" s="237"/>
      <c r="G172" s="73">
        <f>SUM(G173+G174)</f>
        <v>0</v>
      </c>
      <c r="H172" s="73"/>
      <c r="I172" s="73"/>
      <c r="J172" s="242"/>
      <c r="K172" s="242"/>
      <c r="L172" s="242"/>
      <c r="M172" s="73">
        <f>SUM(M173+M174)</f>
        <v>0</v>
      </c>
    </row>
    <row r="173" spans="1:13" ht="14.25" hidden="1">
      <c r="A173" s="229" t="s">
        <v>7</v>
      </c>
      <c r="B173" s="256"/>
      <c r="C173" s="36" t="s">
        <v>124</v>
      </c>
      <c r="D173" s="46" t="s">
        <v>429</v>
      </c>
      <c r="E173" s="46" t="s">
        <v>403</v>
      </c>
      <c r="F173" s="237" t="s">
        <v>8</v>
      </c>
      <c r="G173" s="73"/>
      <c r="H173" s="73"/>
      <c r="I173" s="73"/>
      <c r="J173" s="242"/>
      <c r="K173" s="242"/>
      <c r="L173" s="242"/>
      <c r="M173" s="73"/>
    </row>
    <row r="174" spans="1:13" ht="28.5" hidden="1">
      <c r="A174" s="229" t="s">
        <v>404</v>
      </c>
      <c r="B174" s="256"/>
      <c r="C174" s="36" t="s">
        <v>124</v>
      </c>
      <c r="D174" s="46" t="s">
        <v>429</v>
      </c>
      <c r="E174" s="46" t="s">
        <v>403</v>
      </c>
      <c r="F174" s="237" t="s">
        <v>405</v>
      </c>
      <c r="G174" s="73"/>
      <c r="H174" s="73"/>
      <c r="I174" s="73"/>
      <c r="J174" s="242"/>
      <c r="K174" s="242"/>
      <c r="L174" s="242"/>
      <c r="M174" s="73"/>
    </row>
    <row r="175" spans="1:13" ht="28.5" hidden="1">
      <c r="A175" s="229" t="s">
        <v>242</v>
      </c>
      <c r="B175" s="256"/>
      <c r="C175" s="36" t="s">
        <v>124</v>
      </c>
      <c r="D175" s="46" t="s">
        <v>429</v>
      </c>
      <c r="E175" s="46" t="s">
        <v>392</v>
      </c>
      <c r="F175" s="237"/>
      <c r="G175" s="73">
        <f>SUM(G176)</f>
        <v>0</v>
      </c>
      <c r="H175" s="73"/>
      <c r="I175" s="73"/>
      <c r="J175" s="242"/>
      <c r="K175" s="242"/>
      <c r="L175" s="242"/>
      <c r="M175" s="73">
        <f>SUM(M176)</f>
        <v>0</v>
      </c>
    </row>
    <row r="176" spans="1:13" ht="28.5" hidden="1">
      <c r="A176" s="229" t="s">
        <v>125</v>
      </c>
      <c r="B176" s="256"/>
      <c r="C176" s="36" t="s">
        <v>124</v>
      </c>
      <c r="D176" s="46" t="s">
        <v>429</v>
      </c>
      <c r="E176" s="46" t="s">
        <v>126</v>
      </c>
      <c r="F176" s="237"/>
      <c r="G176" s="73">
        <f>SUM(G177)</f>
        <v>0</v>
      </c>
      <c r="H176" s="73"/>
      <c r="I176" s="73"/>
      <c r="J176" s="242"/>
      <c r="K176" s="242"/>
      <c r="L176" s="242"/>
      <c r="M176" s="73">
        <f>SUM(M177)</f>
        <v>0</v>
      </c>
    </row>
    <row r="177" spans="1:13" ht="14.25" hidden="1">
      <c r="A177" s="229" t="s">
        <v>127</v>
      </c>
      <c r="B177" s="256"/>
      <c r="C177" s="36" t="s">
        <v>124</v>
      </c>
      <c r="D177" s="46" t="s">
        <v>429</v>
      </c>
      <c r="E177" s="46" t="s">
        <v>126</v>
      </c>
      <c r="F177" s="237" t="s">
        <v>128</v>
      </c>
      <c r="G177" s="73"/>
      <c r="H177" s="73">
        <f>SUM(H178+H181)</f>
        <v>0</v>
      </c>
      <c r="I177" s="73" t="e">
        <f t="shared" si="5"/>
        <v>#DIV/0!</v>
      </c>
      <c r="J177" s="242"/>
      <c r="K177" s="242"/>
      <c r="L177" s="242"/>
      <c r="M177" s="73"/>
    </row>
    <row r="178" spans="1:13" ht="28.5" hidden="1">
      <c r="A178" s="229" t="s">
        <v>406</v>
      </c>
      <c r="B178" s="256"/>
      <c r="C178" s="36" t="s">
        <v>124</v>
      </c>
      <c r="D178" s="46" t="s">
        <v>429</v>
      </c>
      <c r="E178" s="46" t="s">
        <v>407</v>
      </c>
      <c r="F178" s="237"/>
      <c r="G178" s="73">
        <f>SUM(G179+G180)</f>
        <v>0</v>
      </c>
      <c r="H178" s="73">
        <f>SUM(H179)</f>
        <v>0</v>
      </c>
      <c r="I178" s="73" t="e">
        <f t="shared" si="5"/>
        <v>#DIV/0!</v>
      </c>
      <c r="J178" s="242"/>
      <c r="K178" s="242"/>
      <c r="L178" s="242"/>
      <c r="M178" s="73">
        <f>SUM(M179+M180)</f>
        <v>0</v>
      </c>
    </row>
    <row r="179" spans="1:13" ht="42.75" hidden="1">
      <c r="A179" s="232" t="s">
        <v>12</v>
      </c>
      <c r="B179" s="256"/>
      <c r="C179" s="36" t="s">
        <v>124</v>
      </c>
      <c r="D179" s="46" t="s">
        <v>429</v>
      </c>
      <c r="E179" s="46" t="s">
        <v>407</v>
      </c>
      <c r="F179" s="237" t="s">
        <v>49</v>
      </c>
      <c r="G179" s="73"/>
      <c r="H179" s="73">
        <f>SUM(H180)</f>
        <v>0</v>
      </c>
      <c r="I179" s="73" t="e">
        <f t="shared" si="5"/>
        <v>#DIV/0!</v>
      </c>
      <c r="J179" s="242"/>
      <c r="K179" s="242"/>
      <c r="L179" s="242"/>
      <c r="M179" s="73"/>
    </row>
    <row r="180" spans="1:13" ht="14.25" hidden="1">
      <c r="A180" s="267" t="s">
        <v>127</v>
      </c>
      <c r="B180" s="256"/>
      <c r="C180" s="36" t="s">
        <v>124</v>
      </c>
      <c r="D180" s="46" t="s">
        <v>429</v>
      </c>
      <c r="E180" s="46" t="s">
        <v>407</v>
      </c>
      <c r="F180" s="237" t="s">
        <v>128</v>
      </c>
      <c r="G180" s="73"/>
      <c r="H180" s="73"/>
      <c r="I180" s="73" t="e">
        <f t="shared" si="5"/>
        <v>#DIV/0!</v>
      </c>
      <c r="J180" s="242"/>
      <c r="K180" s="242"/>
      <c r="L180" s="242"/>
      <c r="M180" s="73"/>
    </row>
    <row r="181" spans="1:13" ht="57" hidden="1">
      <c r="A181" s="229" t="s">
        <v>408</v>
      </c>
      <c r="B181" s="256"/>
      <c r="C181" s="36" t="s">
        <v>124</v>
      </c>
      <c r="D181" s="46" t="s">
        <v>429</v>
      </c>
      <c r="E181" s="46" t="s">
        <v>409</v>
      </c>
      <c r="F181" s="237"/>
      <c r="G181" s="73">
        <f>SUM(G182)</f>
        <v>0</v>
      </c>
      <c r="H181" s="73">
        <f>SUM(H182)</f>
        <v>0</v>
      </c>
      <c r="I181" s="73" t="e">
        <f t="shared" si="5"/>
        <v>#DIV/0!</v>
      </c>
      <c r="J181" s="242"/>
      <c r="K181" s="242"/>
      <c r="L181" s="242"/>
      <c r="M181" s="73">
        <f>SUM(M182)</f>
        <v>0</v>
      </c>
    </row>
    <row r="182" spans="1:13" ht="14.25" hidden="1">
      <c r="A182" s="267" t="s">
        <v>127</v>
      </c>
      <c r="B182" s="256"/>
      <c r="C182" s="36" t="s">
        <v>124</v>
      </c>
      <c r="D182" s="46" t="s">
        <v>429</v>
      </c>
      <c r="E182" s="46" t="s">
        <v>409</v>
      </c>
      <c r="F182" s="237" t="s">
        <v>128</v>
      </c>
      <c r="G182" s="73"/>
      <c r="H182" s="73"/>
      <c r="I182" s="73" t="e">
        <f t="shared" si="5"/>
        <v>#DIV/0!</v>
      </c>
      <c r="J182" s="242"/>
      <c r="K182" s="242"/>
      <c r="L182" s="242"/>
      <c r="M182" s="73"/>
    </row>
    <row r="183" spans="1:13" ht="14.25" hidden="1">
      <c r="A183" s="232" t="s">
        <v>410</v>
      </c>
      <c r="B183" s="256"/>
      <c r="C183" s="36" t="s">
        <v>124</v>
      </c>
      <c r="D183" s="46" t="s">
        <v>429</v>
      </c>
      <c r="E183" s="46" t="s">
        <v>411</v>
      </c>
      <c r="F183" s="237"/>
      <c r="G183" s="73">
        <f>SUM(G184+G186)</f>
        <v>0</v>
      </c>
      <c r="H183" s="73" t="e">
        <f>SUM('[1]Ведомств.'!G141)</f>
        <v>#REF!</v>
      </c>
      <c r="I183" s="73" t="e">
        <f t="shared" si="5"/>
        <v>#REF!</v>
      </c>
      <c r="J183" s="242"/>
      <c r="K183" s="242"/>
      <c r="L183" s="242"/>
      <c r="M183" s="73">
        <f>SUM(M184+M186)</f>
        <v>0</v>
      </c>
    </row>
    <row r="184" spans="1:13" ht="42.75" hidden="1">
      <c r="A184" s="234" t="s">
        <v>412</v>
      </c>
      <c r="B184" s="256"/>
      <c r="C184" s="36" t="s">
        <v>124</v>
      </c>
      <c r="D184" s="46" t="s">
        <v>429</v>
      </c>
      <c r="E184" s="46" t="s">
        <v>413</v>
      </c>
      <c r="F184" s="237"/>
      <c r="G184" s="73">
        <f>SUM(G185)</f>
        <v>0</v>
      </c>
      <c r="H184" s="73"/>
      <c r="I184" s="73" t="e">
        <f t="shared" si="5"/>
        <v>#DIV/0!</v>
      </c>
      <c r="J184" s="242"/>
      <c r="K184" s="242"/>
      <c r="L184" s="242"/>
      <c r="M184" s="73">
        <f>SUM(M185)</f>
        <v>0</v>
      </c>
    </row>
    <row r="185" spans="1:13" s="12" customFormat="1" ht="15" hidden="1">
      <c r="A185" s="232" t="s">
        <v>7</v>
      </c>
      <c r="B185" s="256"/>
      <c r="C185" s="36" t="s">
        <v>124</v>
      </c>
      <c r="D185" s="46" t="s">
        <v>429</v>
      </c>
      <c r="E185" s="46" t="s">
        <v>413</v>
      </c>
      <c r="F185" s="237" t="s">
        <v>8</v>
      </c>
      <c r="G185" s="73"/>
      <c r="H185" s="78" t="e">
        <f>SUM(H186+H227)</f>
        <v>#REF!</v>
      </c>
      <c r="I185" s="78" t="e">
        <f t="shared" si="5"/>
        <v>#REF!</v>
      </c>
      <c r="J185" s="244"/>
      <c r="K185" s="244"/>
      <c r="L185" s="242"/>
      <c r="M185" s="73"/>
    </row>
    <row r="186" spans="1:13" ht="28.5" hidden="1">
      <c r="A186" s="234" t="s">
        <v>414</v>
      </c>
      <c r="B186" s="257"/>
      <c r="C186" s="36" t="s">
        <v>124</v>
      </c>
      <c r="D186" s="46" t="s">
        <v>429</v>
      </c>
      <c r="E186" s="46" t="s">
        <v>415</v>
      </c>
      <c r="F186" s="187"/>
      <c r="G186" s="73">
        <f>SUM(G187)</f>
        <v>0</v>
      </c>
      <c r="H186" s="73">
        <f>SUM(H194)+H189+H187</f>
        <v>55910.700000000004</v>
      </c>
      <c r="I186" s="73" t="e">
        <f t="shared" si="5"/>
        <v>#DIV/0!</v>
      </c>
      <c r="J186" s="242"/>
      <c r="K186" s="242"/>
      <c r="L186" s="242"/>
      <c r="M186" s="73">
        <f>SUM(M187)</f>
        <v>0</v>
      </c>
    </row>
    <row r="187" spans="1:13" ht="14.25" hidden="1">
      <c r="A187" s="232" t="s">
        <v>95</v>
      </c>
      <c r="B187" s="268"/>
      <c r="C187" s="36" t="s">
        <v>124</v>
      </c>
      <c r="D187" s="46" t="s">
        <v>429</v>
      </c>
      <c r="E187" s="46" t="s">
        <v>415</v>
      </c>
      <c r="F187" s="237" t="s">
        <v>96</v>
      </c>
      <c r="G187" s="73"/>
      <c r="H187" s="73">
        <f>SUM(H188)+H191+H192</f>
        <v>25204.300000000003</v>
      </c>
      <c r="I187" s="73" t="e">
        <f t="shared" si="5"/>
        <v>#DIV/0!</v>
      </c>
      <c r="J187" s="242"/>
      <c r="K187" s="242"/>
      <c r="L187" s="242"/>
      <c r="M187" s="73"/>
    </row>
    <row r="188" spans="1:13" ht="14.25" hidden="1">
      <c r="A188" s="234" t="s">
        <v>3</v>
      </c>
      <c r="B188" s="256"/>
      <c r="C188" s="36" t="s">
        <v>124</v>
      </c>
      <c r="D188" s="46" t="s">
        <v>429</v>
      </c>
      <c r="E188" s="46" t="s">
        <v>4</v>
      </c>
      <c r="F188" s="237"/>
      <c r="G188" s="73">
        <f>SUM(G191)+G196+G189</f>
        <v>0</v>
      </c>
      <c r="H188" s="73">
        <v>24333.9</v>
      </c>
      <c r="I188" s="73" t="e">
        <f t="shared" si="5"/>
        <v>#DIV/0!</v>
      </c>
      <c r="J188" s="242"/>
      <c r="K188" s="242"/>
      <c r="L188" s="242"/>
      <c r="M188" s="73">
        <f>SUM(M191)+M196+M189</f>
        <v>0</v>
      </c>
    </row>
    <row r="189" spans="1:13" ht="42.75" hidden="1">
      <c r="A189" s="234" t="s">
        <v>416</v>
      </c>
      <c r="B189" s="256"/>
      <c r="C189" s="36" t="s">
        <v>124</v>
      </c>
      <c r="D189" s="46" t="s">
        <v>429</v>
      </c>
      <c r="E189" s="46" t="s">
        <v>417</v>
      </c>
      <c r="F189" s="237"/>
      <c r="G189" s="73">
        <f>SUM(G190)</f>
        <v>0</v>
      </c>
      <c r="H189" s="73">
        <f>SUM(H190)</f>
        <v>0</v>
      </c>
      <c r="I189" s="73" t="e">
        <f t="shared" si="5"/>
        <v>#DIV/0!</v>
      </c>
      <c r="J189" s="242"/>
      <c r="K189" s="242"/>
      <c r="L189" s="242"/>
      <c r="M189" s="73">
        <f>SUM(M190)</f>
        <v>0</v>
      </c>
    </row>
    <row r="190" spans="1:13" ht="14.25" hidden="1">
      <c r="A190" s="234" t="s">
        <v>127</v>
      </c>
      <c r="B190" s="256"/>
      <c r="C190" s="36" t="s">
        <v>124</v>
      </c>
      <c r="D190" s="46" t="s">
        <v>429</v>
      </c>
      <c r="E190" s="46" t="s">
        <v>417</v>
      </c>
      <c r="F190" s="237" t="s">
        <v>128</v>
      </c>
      <c r="G190" s="73"/>
      <c r="H190" s="73"/>
      <c r="I190" s="73" t="e">
        <f t="shared" si="5"/>
        <v>#DIV/0!</v>
      </c>
      <c r="J190" s="242"/>
      <c r="K190" s="242"/>
      <c r="L190" s="242"/>
      <c r="M190" s="73"/>
    </row>
    <row r="191" spans="1:13" ht="42.75" hidden="1">
      <c r="A191" s="232" t="s">
        <v>418</v>
      </c>
      <c r="B191" s="256"/>
      <c r="C191" s="36" t="s">
        <v>124</v>
      </c>
      <c r="D191" s="46" t="s">
        <v>429</v>
      </c>
      <c r="E191" s="46" t="s">
        <v>419</v>
      </c>
      <c r="F191" s="237"/>
      <c r="G191" s="73">
        <f>SUM(G192+G194)</f>
        <v>0</v>
      </c>
      <c r="H191" s="73"/>
      <c r="I191" s="73" t="e">
        <f t="shared" si="5"/>
        <v>#DIV/0!</v>
      </c>
      <c r="J191" s="242"/>
      <c r="K191" s="242"/>
      <c r="L191" s="242"/>
      <c r="M191" s="73">
        <f>SUM(M192+M194)</f>
        <v>0</v>
      </c>
    </row>
    <row r="192" spans="1:13" ht="28.5" hidden="1">
      <c r="A192" s="234" t="s">
        <v>420</v>
      </c>
      <c r="B192" s="256"/>
      <c r="C192" s="36" t="s">
        <v>124</v>
      </c>
      <c r="D192" s="46" t="s">
        <v>429</v>
      </c>
      <c r="E192" s="46" t="s">
        <v>421</v>
      </c>
      <c r="F192" s="237"/>
      <c r="G192" s="73">
        <f>SUM(G193)</f>
        <v>0</v>
      </c>
      <c r="H192" s="73">
        <f>SUM(H193)</f>
        <v>870.4</v>
      </c>
      <c r="I192" s="73" t="e">
        <f t="shared" si="5"/>
        <v>#DIV/0!</v>
      </c>
      <c r="J192" s="242"/>
      <c r="K192" s="242"/>
      <c r="L192" s="242"/>
      <c r="M192" s="73">
        <f>SUM(M193)</f>
        <v>0</v>
      </c>
    </row>
    <row r="193" spans="1:13" ht="14.25" hidden="1">
      <c r="A193" s="229" t="s">
        <v>127</v>
      </c>
      <c r="B193" s="256"/>
      <c r="C193" s="36" t="s">
        <v>124</v>
      </c>
      <c r="D193" s="46" t="s">
        <v>429</v>
      </c>
      <c r="E193" s="46" t="s">
        <v>421</v>
      </c>
      <c r="F193" s="237" t="s">
        <v>128</v>
      </c>
      <c r="G193" s="73"/>
      <c r="H193" s="73">
        <v>870.4</v>
      </c>
      <c r="I193" s="73" t="e">
        <f t="shared" si="5"/>
        <v>#DIV/0!</v>
      </c>
      <c r="J193" s="242"/>
      <c r="K193" s="242"/>
      <c r="L193" s="242"/>
      <c r="M193" s="73"/>
    </row>
    <row r="194" spans="1:13" ht="14.25" hidden="1">
      <c r="A194" s="229" t="s">
        <v>422</v>
      </c>
      <c r="B194" s="256"/>
      <c r="C194" s="36" t="s">
        <v>124</v>
      </c>
      <c r="D194" s="46" t="s">
        <v>429</v>
      </c>
      <c r="E194" s="46" t="s">
        <v>423</v>
      </c>
      <c r="F194" s="237"/>
      <c r="G194" s="73">
        <f>SUM(G195)</f>
        <v>0</v>
      </c>
      <c r="H194" s="73">
        <f>SUM(H197)</f>
        <v>30706.4</v>
      </c>
      <c r="I194" s="73" t="e">
        <f t="shared" si="5"/>
        <v>#DIV/0!</v>
      </c>
      <c r="J194" s="242"/>
      <c r="K194" s="242"/>
      <c r="L194" s="242"/>
      <c r="M194" s="73">
        <f>SUM(M195)</f>
        <v>0</v>
      </c>
    </row>
    <row r="195" spans="1:13" ht="14.25" hidden="1">
      <c r="A195" s="232" t="s">
        <v>95</v>
      </c>
      <c r="B195" s="268"/>
      <c r="C195" s="36" t="s">
        <v>124</v>
      </c>
      <c r="D195" s="46" t="s">
        <v>429</v>
      </c>
      <c r="E195" s="46" t="s">
        <v>423</v>
      </c>
      <c r="F195" s="237" t="s">
        <v>96</v>
      </c>
      <c r="G195" s="73"/>
      <c r="H195" s="73"/>
      <c r="I195" s="73"/>
      <c r="J195" s="242"/>
      <c r="K195" s="242"/>
      <c r="L195" s="242"/>
      <c r="M195" s="73"/>
    </row>
    <row r="196" spans="1:13" ht="28.5" hidden="1">
      <c r="A196" s="232" t="s">
        <v>424</v>
      </c>
      <c r="B196" s="268"/>
      <c r="C196" s="36" t="s">
        <v>124</v>
      </c>
      <c r="D196" s="46" t="s">
        <v>429</v>
      </c>
      <c r="E196" s="46" t="s">
        <v>425</v>
      </c>
      <c r="F196" s="237"/>
      <c r="G196" s="73"/>
      <c r="H196" s="73"/>
      <c r="I196" s="73"/>
      <c r="J196" s="242"/>
      <c r="K196" s="242"/>
      <c r="L196" s="242"/>
      <c r="M196" s="73"/>
    </row>
    <row r="197" spans="1:13" ht="42.75" hidden="1">
      <c r="A197" s="232" t="s">
        <v>35</v>
      </c>
      <c r="B197" s="268"/>
      <c r="C197" s="36" t="s">
        <v>124</v>
      </c>
      <c r="D197" s="46" t="s">
        <v>429</v>
      </c>
      <c r="E197" s="46" t="s">
        <v>36</v>
      </c>
      <c r="F197" s="237"/>
      <c r="G197" s="73">
        <f>SUM(G198)</f>
        <v>0</v>
      </c>
      <c r="H197" s="73">
        <f>SUM(H198)+H199</f>
        <v>30706.4</v>
      </c>
      <c r="I197" s="73" t="e">
        <f t="shared" si="5"/>
        <v>#DIV/0!</v>
      </c>
      <c r="J197" s="242"/>
      <c r="K197" s="242"/>
      <c r="L197" s="242"/>
      <c r="M197" s="73">
        <f>SUM(M198)</f>
        <v>0</v>
      </c>
    </row>
    <row r="198" spans="1:13" ht="14.25" hidden="1">
      <c r="A198" s="232" t="s">
        <v>7</v>
      </c>
      <c r="B198" s="268"/>
      <c r="C198" s="36" t="s">
        <v>124</v>
      </c>
      <c r="D198" s="46" t="s">
        <v>429</v>
      </c>
      <c r="E198" s="46" t="s">
        <v>36</v>
      </c>
      <c r="F198" s="237" t="s">
        <v>8</v>
      </c>
      <c r="G198" s="73"/>
      <c r="H198" s="73">
        <v>30706.4</v>
      </c>
      <c r="I198" s="73" t="e">
        <f t="shared" si="5"/>
        <v>#DIV/0!</v>
      </c>
      <c r="J198" s="242"/>
      <c r="K198" s="242"/>
      <c r="L198" s="242"/>
      <c r="M198" s="73"/>
    </row>
    <row r="199" spans="1:13" ht="42.75" hidden="1">
      <c r="A199" s="232" t="s">
        <v>37</v>
      </c>
      <c r="B199" s="268"/>
      <c r="C199" s="36" t="s">
        <v>124</v>
      </c>
      <c r="D199" s="46" t="s">
        <v>429</v>
      </c>
      <c r="E199" s="46" t="s">
        <v>38</v>
      </c>
      <c r="F199" s="237"/>
      <c r="G199" s="73">
        <f>SUM(G200)</f>
        <v>0</v>
      </c>
      <c r="H199" s="73">
        <f>SUM(H200)</f>
        <v>0</v>
      </c>
      <c r="I199" s="73" t="e">
        <f t="shared" si="5"/>
        <v>#DIV/0!</v>
      </c>
      <c r="J199" s="242"/>
      <c r="K199" s="242"/>
      <c r="L199" s="242"/>
      <c r="M199" s="73">
        <f>SUM(M200)</f>
        <v>0</v>
      </c>
    </row>
    <row r="200" spans="1:13" ht="14.25" hidden="1">
      <c r="A200" s="232" t="s">
        <v>7</v>
      </c>
      <c r="B200" s="268"/>
      <c r="C200" s="36" t="s">
        <v>124</v>
      </c>
      <c r="D200" s="46" t="s">
        <v>429</v>
      </c>
      <c r="E200" s="46" t="s">
        <v>38</v>
      </c>
      <c r="F200" s="237" t="s">
        <v>8</v>
      </c>
      <c r="G200" s="73"/>
      <c r="H200" s="73"/>
      <c r="I200" s="73" t="e">
        <f t="shared" si="5"/>
        <v>#DIV/0!</v>
      </c>
      <c r="J200" s="242"/>
      <c r="K200" s="242"/>
      <c r="L200" s="242"/>
      <c r="M200" s="73"/>
    </row>
    <row r="201" spans="1:13" ht="14.25" hidden="1">
      <c r="A201" s="232" t="s">
        <v>410</v>
      </c>
      <c r="B201" s="268"/>
      <c r="C201" s="36" t="s">
        <v>124</v>
      </c>
      <c r="D201" s="46" t="s">
        <v>429</v>
      </c>
      <c r="E201" s="46" t="s">
        <v>411</v>
      </c>
      <c r="F201" s="237"/>
      <c r="G201" s="73">
        <f>SUM(G202)</f>
        <v>0</v>
      </c>
      <c r="H201" s="73"/>
      <c r="I201" s="73"/>
      <c r="J201" s="242"/>
      <c r="K201" s="242"/>
      <c r="L201" s="242"/>
      <c r="M201" s="73">
        <f>SUM(M202)</f>
        <v>0</v>
      </c>
    </row>
    <row r="202" spans="1:13" s="39" customFormat="1" ht="42.75" hidden="1">
      <c r="A202" s="232" t="s">
        <v>281</v>
      </c>
      <c r="B202" s="268"/>
      <c r="C202" s="36" t="s">
        <v>124</v>
      </c>
      <c r="D202" s="46" t="s">
        <v>429</v>
      </c>
      <c r="E202" s="46" t="s">
        <v>415</v>
      </c>
      <c r="F202" s="237"/>
      <c r="G202" s="73">
        <f>SUM(G203)</f>
        <v>0</v>
      </c>
      <c r="H202" s="73"/>
      <c r="I202" s="73"/>
      <c r="J202" s="242"/>
      <c r="K202" s="242"/>
      <c r="L202" s="242"/>
      <c r="M202" s="73">
        <f>SUM(M203)</f>
        <v>0</v>
      </c>
    </row>
    <row r="203" spans="1:13" s="39" customFormat="1" ht="14.25" hidden="1">
      <c r="A203" s="232" t="s">
        <v>95</v>
      </c>
      <c r="B203" s="268"/>
      <c r="C203" s="36" t="s">
        <v>124</v>
      </c>
      <c r="D203" s="46" t="s">
        <v>429</v>
      </c>
      <c r="E203" s="46" t="s">
        <v>415</v>
      </c>
      <c r="F203" s="237" t="s">
        <v>96</v>
      </c>
      <c r="G203" s="73"/>
      <c r="H203" s="73"/>
      <c r="I203" s="73"/>
      <c r="J203" s="242"/>
      <c r="K203" s="242"/>
      <c r="L203" s="242"/>
      <c r="M203" s="73"/>
    </row>
    <row r="204" spans="1:13" s="2" customFormat="1" ht="14.25" hidden="1">
      <c r="A204" s="267" t="s">
        <v>121</v>
      </c>
      <c r="B204" s="256"/>
      <c r="C204" s="36" t="s">
        <v>124</v>
      </c>
      <c r="D204" s="46" t="s">
        <v>429</v>
      </c>
      <c r="E204" s="46" t="s">
        <v>122</v>
      </c>
      <c r="F204" s="237"/>
      <c r="G204" s="73">
        <f>SUM(G205+G208)+G212</f>
        <v>0</v>
      </c>
      <c r="H204" s="73"/>
      <c r="I204" s="73"/>
      <c r="J204" s="245"/>
      <c r="K204" s="245"/>
      <c r="L204" s="242"/>
      <c r="M204" s="73">
        <f>SUM(M205+M208)+M212</f>
        <v>0</v>
      </c>
    </row>
    <row r="205" spans="1:13" s="41" customFormat="1" ht="42.75" hidden="1">
      <c r="A205" s="267" t="s">
        <v>524</v>
      </c>
      <c r="B205" s="256"/>
      <c r="C205" s="36" t="s">
        <v>124</v>
      </c>
      <c r="D205" s="46" t="s">
        <v>429</v>
      </c>
      <c r="E205" s="46" t="s">
        <v>292</v>
      </c>
      <c r="F205" s="237"/>
      <c r="G205" s="74">
        <f>SUM(G206)</f>
        <v>0</v>
      </c>
      <c r="H205" s="73"/>
      <c r="I205" s="73"/>
      <c r="J205" s="245"/>
      <c r="K205" s="245"/>
      <c r="L205" s="242"/>
      <c r="M205" s="74">
        <f>SUM(M206)</f>
        <v>0</v>
      </c>
    </row>
    <row r="206" spans="1:13" s="14" customFormat="1" ht="14.25" hidden="1">
      <c r="A206" s="229" t="s">
        <v>7</v>
      </c>
      <c r="B206" s="256"/>
      <c r="C206" s="36" t="s">
        <v>124</v>
      </c>
      <c r="D206" s="46" t="s">
        <v>429</v>
      </c>
      <c r="E206" s="46" t="s">
        <v>292</v>
      </c>
      <c r="F206" s="237" t="s">
        <v>8</v>
      </c>
      <c r="G206" s="74"/>
      <c r="H206" s="73"/>
      <c r="I206" s="73"/>
      <c r="J206" s="243"/>
      <c r="K206" s="243"/>
      <c r="L206" s="242"/>
      <c r="M206" s="74"/>
    </row>
    <row r="207" spans="1:13" s="14" customFormat="1" ht="14.25" hidden="1">
      <c r="A207" s="267" t="s">
        <v>39</v>
      </c>
      <c r="B207" s="256"/>
      <c r="C207" s="36" t="s">
        <v>124</v>
      </c>
      <c r="D207" s="46" t="s">
        <v>429</v>
      </c>
      <c r="E207" s="46" t="s">
        <v>40</v>
      </c>
      <c r="F207" s="237" t="s">
        <v>96</v>
      </c>
      <c r="G207" s="73"/>
      <c r="H207" s="73"/>
      <c r="I207" s="73"/>
      <c r="J207" s="243"/>
      <c r="K207" s="243"/>
      <c r="L207" s="242"/>
      <c r="M207" s="73"/>
    </row>
    <row r="208" spans="1:13" s="14" customFormat="1" ht="14.25" hidden="1">
      <c r="A208" s="267" t="s">
        <v>127</v>
      </c>
      <c r="B208" s="256"/>
      <c r="C208" s="36" t="s">
        <v>124</v>
      </c>
      <c r="D208" s="46" t="s">
        <v>429</v>
      </c>
      <c r="E208" s="46" t="s">
        <v>122</v>
      </c>
      <c r="F208" s="237" t="s">
        <v>128</v>
      </c>
      <c r="G208" s="73">
        <f>SUM(G209)</f>
        <v>0</v>
      </c>
      <c r="H208" s="73"/>
      <c r="I208" s="73"/>
      <c r="J208" s="243"/>
      <c r="K208" s="243"/>
      <c r="L208" s="242"/>
      <c r="M208" s="73">
        <f>SUM(M209)</f>
        <v>0</v>
      </c>
    </row>
    <row r="209" spans="1:13" s="14" customFormat="1" ht="28.5" hidden="1">
      <c r="A209" s="229" t="s">
        <v>41</v>
      </c>
      <c r="B209" s="256"/>
      <c r="C209" s="36" t="s">
        <v>124</v>
      </c>
      <c r="D209" s="46" t="s">
        <v>429</v>
      </c>
      <c r="E209" s="46" t="s">
        <v>42</v>
      </c>
      <c r="F209" s="237" t="s">
        <v>128</v>
      </c>
      <c r="G209" s="73">
        <f>SUM(G211)</f>
        <v>0</v>
      </c>
      <c r="H209" s="73"/>
      <c r="I209" s="73"/>
      <c r="J209" s="243"/>
      <c r="K209" s="243"/>
      <c r="L209" s="242"/>
      <c r="M209" s="73">
        <f>SUM(M211)</f>
        <v>0</v>
      </c>
    </row>
    <row r="210" spans="1:13" s="41" customFormat="1" ht="28.5" hidden="1">
      <c r="A210" s="229" t="s">
        <v>56</v>
      </c>
      <c r="B210" s="256"/>
      <c r="C210" s="36"/>
      <c r="D210" s="46"/>
      <c r="E210" s="46"/>
      <c r="F210" s="237"/>
      <c r="G210" s="73"/>
      <c r="H210" s="73"/>
      <c r="I210" s="73"/>
      <c r="J210" s="245"/>
      <c r="K210" s="245"/>
      <c r="L210" s="242"/>
      <c r="M210" s="73"/>
    </row>
    <row r="211" spans="1:13" s="41" customFormat="1" ht="28.5" hidden="1">
      <c r="A211" s="234" t="s">
        <v>420</v>
      </c>
      <c r="B211" s="256"/>
      <c r="C211" s="36" t="s">
        <v>124</v>
      </c>
      <c r="D211" s="46" t="s">
        <v>429</v>
      </c>
      <c r="E211" s="46" t="s">
        <v>43</v>
      </c>
      <c r="F211" s="237" t="s">
        <v>128</v>
      </c>
      <c r="G211" s="73"/>
      <c r="H211" s="73"/>
      <c r="I211" s="73"/>
      <c r="J211" s="245"/>
      <c r="K211" s="245"/>
      <c r="L211" s="242"/>
      <c r="M211" s="73"/>
    </row>
    <row r="212" spans="1:13" s="41" customFormat="1" ht="28.5" hidden="1">
      <c r="A212" s="232" t="s">
        <v>44</v>
      </c>
      <c r="B212" s="256"/>
      <c r="C212" s="36" t="s">
        <v>124</v>
      </c>
      <c r="D212" s="46" t="s">
        <v>429</v>
      </c>
      <c r="E212" s="46" t="s">
        <v>45</v>
      </c>
      <c r="F212" s="237"/>
      <c r="G212" s="73">
        <f>SUM(G213)</f>
        <v>0</v>
      </c>
      <c r="H212" s="73"/>
      <c r="I212" s="73"/>
      <c r="J212" s="245"/>
      <c r="K212" s="245"/>
      <c r="L212" s="242"/>
      <c r="M212" s="73">
        <f>SUM(M213)</f>
        <v>0</v>
      </c>
    </row>
    <row r="213" spans="1:13" s="41" customFormat="1" ht="14.25" hidden="1">
      <c r="A213" s="267" t="s">
        <v>127</v>
      </c>
      <c r="B213" s="256"/>
      <c r="C213" s="36" t="s">
        <v>124</v>
      </c>
      <c r="D213" s="46" t="s">
        <v>429</v>
      </c>
      <c r="E213" s="46" t="s">
        <v>45</v>
      </c>
      <c r="F213" s="237" t="s">
        <v>128</v>
      </c>
      <c r="G213" s="73"/>
      <c r="H213" s="73"/>
      <c r="I213" s="73"/>
      <c r="J213" s="245"/>
      <c r="K213" s="245"/>
      <c r="L213" s="242"/>
      <c r="M213" s="73"/>
    </row>
    <row r="214" spans="1:13" s="41" customFormat="1" ht="14.25">
      <c r="A214" s="229" t="s">
        <v>46</v>
      </c>
      <c r="B214" s="290"/>
      <c r="C214" s="291" t="s">
        <v>124</v>
      </c>
      <c r="D214" s="292" t="s">
        <v>431</v>
      </c>
      <c r="E214" s="292"/>
      <c r="F214" s="293"/>
      <c r="G214" s="315">
        <f>G215</f>
        <v>4588.4</v>
      </c>
      <c r="H214" s="73"/>
      <c r="I214" s="73"/>
      <c r="J214" s="245"/>
      <c r="K214" s="245"/>
      <c r="L214" s="242"/>
      <c r="M214" s="315">
        <f>M215</f>
        <v>4588.4</v>
      </c>
    </row>
    <row r="215" spans="1:13" s="41" customFormat="1" ht="14.25">
      <c r="A215" s="229" t="s">
        <v>288</v>
      </c>
      <c r="B215" s="290"/>
      <c r="C215" s="291" t="s">
        <v>124</v>
      </c>
      <c r="D215" s="292" t="s">
        <v>431</v>
      </c>
      <c r="E215" s="292" t="s">
        <v>525</v>
      </c>
      <c r="F215" s="293"/>
      <c r="G215" s="315">
        <f>G216</f>
        <v>4588.4</v>
      </c>
      <c r="H215" s="73"/>
      <c r="I215" s="73"/>
      <c r="J215" s="245"/>
      <c r="K215" s="245"/>
      <c r="L215" s="242"/>
      <c r="M215" s="315">
        <f>M216</f>
        <v>4588.4</v>
      </c>
    </row>
    <row r="216" spans="1:13" s="41" customFormat="1" ht="14.25">
      <c r="A216" s="229" t="s">
        <v>32</v>
      </c>
      <c r="B216" s="290"/>
      <c r="C216" s="291" t="s">
        <v>124</v>
      </c>
      <c r="D216" s="292" t="s">
        <v>431</v>
      </c>
      <c r="E216" s="292" t="s">
        <v>526</v>
      </c>
      <c r="F216" s="293"/>
      <c r="G216" s="315">
        <f>SUM(G217)</f>
        <v>4588.4</v>
      </c>
      <c r="H216" s="73"/>
      <c r="I216" s="73"/>
      <c r="J216" s="245"/>
      <c r="K216" s="245"/>
      <c r="L216" s="242"/>
      <c r="M216" s="315">
        <f>SUM(M217)</f>
        <v>4588.4</v>
      </c>
    </row>
    <row r="217" spans="1:13" s="41" customFormat="1" ht="14.25">
      <c r="A217" s="229" t="s">
        <v>463</v>
      </c>
      <c r="B217" s="290"/>
      <c r="C217" s="291" t="s">
        <v>124</v>
      </c>
      <c r="D217" s="292" t="s">
        <v>431</v>
      </c>
      <c r="E217" s="292" t="s">
        <v>526</v>
      </c>
      <c r="F217" s="293" t="s">
        <v>112</v>
      </c>
      <c r="G217" s="315">
        <v>4588.4</v>
      </c>
      <c r="H217" s="73"/>
      <c r="I217" s="73"/>
      <c r="J217" s="245">
        <f>SUM('ведомствен.2016-2014'!G229)</f>
        <v>4588.4</v>
      </c>
      <c r="K217" s="245">
        <f>SUM('ведомствен.2016-2014'!H229)</f>
        <v>4588.4</v>
      </c>
      <c r="L217" s="242">
        <f aca="true" t="shared" si="6" ref="L217:L238">SUM(G217-J217)</f>
        <v>0</v>
      </c>
      <c r="M217" s="315">
        <v>4588.4</v>
      </c>
    </row>
    <row r="218" spans="1:13" s="41" customFormat="1" ht="28.5" hidden="1">
      <c r="A218" s="229" t="s">
        <v>498</v>
      </c>
      <c r="B218" s="290"/>
      <c r="C218" s="291" t="s">
        <v>124</v>
      </c>
      <c r="D218" s="292" t="s">
        <v>431</v>
      </c>
      <c r="E218" s="292" t="s">
        <v>526</v>
      </c>
      <c r="F218" s="293" t="s">
        <v>499</v>
      </c>
      <c r="G218" s="315"/>
      <c r="H218" s="73"/>
      <c r="I218" s="73"/>
      <c r="J218" s="245"/>
      <c r="K218" s="245"/>
      <c r="L218" s="242">
        <f t="shared" si="6"/>
        <v>0</v>
      </c>
      <c r="M218" s="315"/>
    </row>
    <row r="219" spans="1:13" s="41" customFormat="1" ht="28.5" hidden="1">
      <c r="A219" s="229" t="s">
        <v>498</v>
      </c>
      <c r="B219" s="290"/>
      <c r="C219" s="291" t="s">
        <v>124</v>
      </c>
      <c r="D219" s="292" t="s">
        <v>431</v>
      </c>
      <c r="E219" s="292" t="s">
        <v>526</v>
      </c>
      <c r="F219" s="293" t="s">
        <v>499</v>
      </c>
      <c r="G219" s="315"/>
      <c r="H219" s="73"/>
      <c r="I219" s="73"/>
      <c r="J219" s="245"/>
      <c r="K219" s="245"/>
      <c r="L219" s="242">
        <f t="shared" si="6"/>
        <v>0</v>
      </c>
      <c r="M219" s="315"/>
    </row>
    <row r="220" spans="1:13" s="41" customFormat="1" ht="14.25">
      <c r="A220" s="229" t="s">
        <v>34</v>
      </c>
      <c r="B220" s="290"/>
      <c r="C220" s="291" t="s">
        <v>124</v>
      </c>
      <c r="D220" s="292" t="s">
        <v>98</v>
      </c>
      <c r="E220" s="292"/>
      <c r="F220" s="293"/>
      <c r="G220" s="315">
        <f>G221</f>
        <v>51377.5</v>
      </c>
      <c r="H220" s="73"/>
      <c r="I220" s="73"/>
      <c r="J220" s="245"/>
      <c r="K220" s="245"/>
      <c r="L220" s="242"/>
      <c r="M220" s="315">
        <f>M221</f>
        <v>51377.5</v>
      </c>
    </row>
    <row r="221" spans="1:13" s="41" customFormat="1" ht="14.25">
      <c r="A221" s="229" t="s">
        <v>34</v>
      </c>
      <c r="B221" s="257"/>
      <c r="C221" s="291" t="s">
        <v>124</v>
      </c>
      <c r="D221" s="292" t="s">
        <v>98</v>
      </c>
      <c r="E221" s="97" t="s">
        <v>61</v>
      </c>
      <c r="F221" s="187"/>
      <c r="G221" s="315">
        <f>G222+G226+G230</f>
        <v>51377.5</v>
      </c>
      <c r="H221" s="73"/>
      <c r="I221" s="73"/>
      <c r="J221" s="245"/>
      <c r="K221" s="245"/>
      <c r="L221" s="242"/>
      <c r="M221" s="315">
        <f>M222+M226+M230</f>
        <v>51377.5</v>
      </c>
    </row>
    <row r="222" spans="1:13" s="41" customFormat="1" ht="14.25">
      <c r="A222" s="261" t="s">
        <v>62</v>
      </c>
      <c r="B222" s="257"/>
      <c r="C222" s="291" t="s">
        <v>124</v>
      </c>
      <c r="D222" s="292" t="s">
        <v>98</v>
      </c>
      <c r="E222" s="97" t="s">
        <v>63</v>
      </c>
      <c r="F222" s="187"/>
      <c r="G222" s="315">
        <f>SUM(G223)</f>
        <v>41934.1</v>
      </c>
      <c r="H222" s="73"/>
      <c r="I222" s="73"/>
      <c r="J222" s="245"/>
      <c r="K222" s="245"/>
      <c r="L222" s="242"/>
      <c r="M222" s="315">
        <f>SUM(M223)</f>
        <v>41934.1</v>
      </c>
    </row>
    <row r="223" spans="1:13" s="2" customFormat="1" ht="14.25">
      <c r="A223" s="229" t="s">
        <v>463</v>
      </c>
      <c r="B223" s="257"/>
      <c r="C223" s="291" t="s">
        <v>124</v>
      </c>
      <c r="D223" s="292" t="s">
        <v>98</v>
      </c>
      <c r="E223" s="97" t="s">
        <v>63</v>
      </c>
      <c r="F223" s="187" t="s">
        <v>112</v>
      </c>
      <c r="G223" s="315">
        <v>41934.1</v>
      </c>
      <c r="H223" s="73"/>
      <c r="I223" s="73"/>
      <c r="J223" s="245">
        <f>SUM('ведомствен.2016-2014'!G235)</f>
        <v>41934.1</v>
      </c>
      <c r="K223" s="245">
        <f>SUM('ведомствен.2016-2014'!H235)</f>
        <v>41934.1</v>
      </c>
      <c r="L223" s="242">
        <f t="shared" si="6"/>
        <v>0</v>
      </c>
      <c r="M223" s="315">
        <v>41934.1</v>
      </c>
    </row>
    <row r="224" spans="1:13" s="2" customFormat="1" ht="28.5" hidden="1">
      <c r="A224" s="229" t="s">
        <v>496</v>
      </c>
      <c r="B224" s="257"/>
      <c r="C224" s="291" t="s">
        <v>124</v>
      </c>
      <c r="D224" s="292" t="s">
        <v>98</v>
      </c>
      <c r="E224" s="97" t="s">
        <v>63</v>
      </c>
      <c r="F224" s="187" t="s">
        <v>497</v>
      </c>
      <c r="G224" s="315"/>
      <c r="H224" s="73"/>
      <c r="I224" s="73"/>
      <c r="J224" s="245"/>
      <c r="K224" s="245"/>
      <c r="L224" s="242">
        <f t="shared" si="6"/>
        <v>0</v>
      </c>
      <c r="M224" s="315"/>
    </row>
    <row r="225" spans="1:13" s="2" customFormat="1" ht="28.5" hidden="1">
      <c r="A225" s="229" t="s">
        <v>498</v>
      </c>
      <c r="B225" s="257"/>
      <c r="C225" s="291" t="s">
        <v>124</v>
      </c>
      <c r="D225" s="292" t="s">
        <v>98</v>
      </c>
      <c r="E225" s="97" t="s">
        <v>63</v>
      </c>
      <c r="F225" s="187" t="s">
        <v>499</v>
      </c>
      <c r="G225" s="315"/>
      <c r="H225" s="73"/>
      <c r="I225" s="73"/>
      <c r="J225" s="245"/>
      <c r="K225" s="245"/>
      <c r="L225" s="242">
        <f t="shared" si="6"/>
        <v>0</v>
      </c>
      <c r="M225" s="315"/>
    </row>
    <row r="226" spans="1:13" s="39" customFormat="1" ht="28.5">
      <c r="A226" s="229" t="s">
        <v>527</v>
      </c>
      <c r="B226" s="257"/>
      <c r="C226" s="291" t="s">
        <v>124</v>
      </c>
      <c r="D226" s="292" t="s">
        <v>98</v>
      </c>
      <c r="E226" s="97" t="s">
        <v>31</v>
      </c>
      <c r="F226" s="187"/>
      <c r="G226" s="315">
        <f>G227</f>
        <v>9245</v>
      </c>
      <c r="H226" s="73"/>
      <c r="I226" s="73"/>
      <c r="J226" s="242"/>
      <c r="K226" s="242"/>
      <c r="L226" s="242"/>
      <c r="M226" s="315">
        <f>M227</f>
        <v>9245</v>
      </c>
    </row>
    <row r="227" spans="1:13" ht="13.5" customHeight="1">
      <c r="A227" s="229" t="s">
        <v>463</v>
      </c>
      <c r="B227" s="257"/>
      <c r="C227" s="291" t="s">
        <v>124</v>
      </c>
      <c r="D227" s="292" t="s">
        <v>98</v>
      </c>
      <c r="E227" s="97" t="s">
        <v>31</v>
      </c>
      <c r="F227" s="187" t="s">
        <v>112</v>
      </c>
      <c r="G227" s="315">
        <v>9245</v>
      </c>
      <c r="H227" s="73" t="e">
        <f>SUM(H228+H233+H240+#REF!)</f>
        <v>#REF!</v>
      </c>
      <c r="I227" s="73" t="e">
        <f t="shared" si="5"/>
        <v>#REF!</v>
      </c>
      <c r="J227" s="245">
        <f>SUM('ведомствен.2016-2014'!G239)</f>
        <v>9245</v>
      </c>
      <c r="K227" s="245">
        <f>SUM('ведомствен.2016-2014'!H239)</f>
        <v>9245</v>
      </c>
      <c r="L227" s="242">
        <f t="shared" si="6"/>
        <v>0</v>
      </c>
      <c r="M227" s="315">
        <v>9245</v>
      </c>
    </row>
    <row r="228" spans="1:13" ht="28.5" hidden="1">
      <c r="A228" s="229" t="s">
        <v>496</v>
      </c>
      <c r="B228" s="257"/>
      <c r="C228" s="291" t="s">
        <v>124</v>
      </c>
      <c r="D228" s="292" t="s">
        <v>98</v>
      </c>
      <c r="E228" s="97" t="s">
        <v>31</v>
      </c>
      <c r="F228" s="187" t="s">
        <v>497</v>
      </c>
      <c r="G228" s="315"/>
      <c r="H228" s="73">
        <f>SUM(H229)</f>
        <v>0</v>
      </c>
      <c r="I228" s="73" t="e">
        <f t="shared" si="5"/>
        <v>#DIV/0!</v>
      </c>
      <c r="J228" s="242"/>
      <c r="K228" s="242"/>
      <c r="L228" s="242">
        <f t="shared" si="6"/>
        <v>0</v>
      </c>
      <c r="M228" s="315"/>
    </row>
    <row r="229" spans="1:13" ht="28.5" hidden="1">
      <c r="A229" s="229" t="s">
        <v>498</v>
      </c>
      <c r="B229" s="257"/>
      <c r="C229" s="291" t="s">
        <v>124</v>
      </c>
      <c r="D229" s="292" t="s">
        <v>98</v>
      </c>
      <c r="E229" s="97" t="s">
        <v>31</v>
      </c>
      <c r="F229" s="187" t="s">
        <v>499</v>
      </c>
      <c r="G229" s="315"/>
      <c r="H229" s="73"/>
      <c r="I229" s="73" t="e">
        <f t="shared" si="5"/>
        <v>#DIV/0!</v>
      </c>
      <c r="J229" s="242"/>
      <c r="K229" s="242"/>
      <c r="L229" s="242">
        <f t="shared" si="6"/>
        <v>0</v>
      </c>
      <c r="M229" s="315"/>
    </row>
    <row r="230" spans="1:13" s="18" customFormat="1" ht="57">
      <c r="A230" s="231" t="s">
        <v>528</v>
      </c>
      <c r="B230" s="297"/>
      <c r="C230" s="298" t="s">
        <v>124</v>
      </c>
      <c r="D230" s="299" t="s">
        <v>98</v>
      </c>
      <c r="E230" s="67" t="s">
        <v>529</v>
      </c>
      <c r="F230" s="300"/>
      <c r="G230" s="317">
        <f>SUM(G231)</f>
        <v>198.4</v>
      </c>
      <c r="H230" s="73">
        <f>SUM(H231)</f>
        <v>200</v>
      </c>
      <c r="I230" s="73">
        <f>SUM(H230/G230*100)</f>
        <v>100.80645161290323</v>
      </c>
      <c r="J230" s="245"/>
      <c r="K230" s="245"/>
      <c r="L230" s="242"/>
      <c r="M230" s="317">
        <f>SUM(M231)</f>
        <v>198.4</v>
      </c>
    </row>
    <row r="231" spans="1:13" s="18" customFormat="1" ht="14.25">
      <c r="A231" s="229" t="s">
        <v>463</v>
      </c>
      <c r="B231" s="257"/>
      <c r="C231" s="291" t="s">
        <v>124</v>
      </c>
      <c r="D231" s="292" t="s">
        <v>98</v>
      </c>
      <c r="E231" s="67" t="s">
        <v>529</v>
      </c>
      <c r="F231" s="187" t="s">
        <v>112</v>
      </c>
      <c r="G231" s="315">
        <v>198.4</v>
      </c>
      <c r="H231" s="73">
        <f>SUM(H232)</f>
        <v>200</v>
      </c>
      <c r="I231" s="73">
        <f>SUM(H231/G231*100)</f>
        <v>100.80645161290323</v>
      </c>
      <c r="J231" s="245">
        <f>SUM('ведомствен.2016-2014'!G243)</f>
        <v>198.4</v>
      </c>
      <c r="K231" s="245">
        <f>SUM('ведомствен.2016-2014'!H243)</f>
        <v>198.4</v>
      </c>
      <c r="L231" s="242">
        <f t="shared" si="6"/>
        <v>0</v>
      </c>
      <c r="M231" s="315">
        <v>198.4</v>
      </c>
    </row>
    <row r="232" spans="1:13" s="18" customFormat="1" ht="14.25" hidden="1">
      <c r="A232" s="229" t="s">
        <v>54</v>
      </c>
      <c r="B232" s="257"/>
      <c r="C232" s="291" t="s">
        <v>124</v>
      </c>
      <c r="D232" s="292" t="s">
        <v>124</v>
      </c>
      <c r="E232" s="97"/>
      <c r="F232" s="187"/>
      <c r="G232" s="315">
        <f>G233</f>
        <v>0</v>
      </c>
      <c r="H232" s="73">
        <v>200</v>
      </c>
      <c r="I232" s="73" t="e">
        <f>SUM(H232/G232*100)</f>
        <v>#DIV/0!</v>
      </c>
      <c r="J232" s="242"/>
      <c r="K232" s="242"/>
      <c r="L232" s="242">
        <f t="shared" si="6"/>
        <v>0</v>
      </c>
      <c r="M232" s="315">
        <f>M233</f>
        <v>0</v>
      </c>
    </row>
    <row r="233" spans="1:13" ht="14.25" hidden="1">
      <c r="A233" s="229" t="s">
        <v>507</v>
      </c>
      <c r="B233" s="257"/>
      <c r="C233" s="291" t="s">
        <v>124</v>
      </c>
      <c r="D233" s="292" t="s">
        <v>124</v>
      </c>
      <c r="E233" s="97" t="s">
        <v>122</v>
      </c>
      <c r="F233" s="187"/>
      <c r="G233" s="315">
        <f>G234+G236+G238+G240</f>
        <v>0</v>
      </c>
      <c r="H233" s="73">
        <f>SUM(H234)</f>
        <v>200</v>
      </c>
      <c r="I233" s="73" t="e">
        <f aca="true" t="shared" si="7" ref="I233:I295">SUM(H233/G233*100)</f>
        <v>#DIV/0!</v>
      </c>
      <c r="J233" s="242"/>
      <c r="K233" s="242"/>
      <c r="L233" s="242">
        <f t="shared" si="6"/>
        <v>0</v>
      </c>
      <c r="M233" s="315">
        <f>M234+M236+M238+M240</f>
        <v>0</v>
      </c>
    </row>
    <row r="234" spans="1:13" ht="28.5" hidden="1">
      <c r="A234" s="261" t="s">
        <v>530</v>
      </c>
      <c r="B234" s="257"/>
      <c r="C234" s="291" t="s">
        <v>124</v>
      </c>
      <c r="D234" s="292" t="s">
        <v>124</v>
      </c>
      <c r="E234" s="97" t="s">
        <v>9</v>
      </c>
      <c r="F234" s="187"/>
      <c r="G234" s="315">
        <f>G235</f>
        <v>0</v>
      </c>
      <c r="H234" s="73">
        <f>SUM(H235)</f>
        <v>200</v>
      </c>
      <c r="I234" s="73" t="e">
        <f t="shared" si="7"/>
        <v>#DIV/0!</v>
      </c>
      <c r="J234" s="242"/>
      <c r="K234" s="242"/>
      <c r="L234" s="242">
        <f t="shared" si="6"/>
        <v>0</v>
      </c>
      <c r="M234" s="315">
        <f>M235</f>
        <v>0</v>
      </c>
    </row>
    <row r="235" spans="1:13" ht="28.5" hidden="1">
      <c r="A235" s="229" t="s">
        <v>484</v>
      </c>
      <c r="B235" s="257"/>
      <c r="C235" s="291" t="s">
        <v>124</v>
      </c>
      <c r="D235" s="292" t="s">
        <v>124</v>
      </c>
      <c r="E235" s="97" t="s">
        <v>9</v>
      </c>
      <c r="F235" s="187" t="s">
        <v>477</v>
      </c>
      <c r="G235" s="315"/>
      <c r="H235" s="73">
        <v>200</v>
      </c>
      <c r="I235" s="73" t="e">
        <f t="shared" si="7"/>
        <v>#DIV/0!</v>
      </c>
      <c r="J235" s="245">
        <f>SUM('ведомствен.2016-2014'!G247)</f>
        <v>0</v>
      </c>
      <c r="K235" s="245">
        <f>SUM('ведомствен.2016-2014'!H247)</f>
        <v>0</v>
      </c>
      <c r="L235" s="242">
        <f t="shared" si="6"/>
        <v>0</v>
      </c>
      <c r="M235" s="315"/>
    </row>
    <row r="236" spans="1:13" ht="42.75" hidden="1">
      <c r="A236" s="261" t="s">
        <v>531</v>
      </c>
      <c r="B236" s="257"/>
      <c r="C236" s="291" t="s">
        <v>532</v>
      </c>
      <c r="D236" s="292" t="s">
        <v>124</v>
      </c>
      <c r="E236" s="97" t="s">
        <v>10</v>
      </c>
      <c r="F236" s="187"/>
      <c r="G236" s="315">
        <f>G237</f>
        <v>0</v>
      </c>
      <c r="H236" s="73"/>
      <c r="I236" s="73"/>
      <c r="J236" s="242"/>
      <c r="K236" s="242"/>
      <c r="L236" s="242">
        <f t="shared" si="6"/>
        <v>0</v>
      </c>
      <c r="M236" s="315">
        <f>M237</f>
        <v>0</v>
      </c>
    </row>
    <row r="237" spans="1:13" ht="28.5" hidden="1">
      <c r="A237" s="229" t="s">
        <v>533</v>
      </c>
      <c r="B237" s="257"/>
      <c r="C237" s="291" t="s">
        <v>532</v>
      </c>
      <c r="D237" s="292" t="s">
        <v>124</v>
      </c>
      <c r="E237" s="97" t="s">
        <v>10</v>
      </c>
      <c r="F237" s="187" t="s">
        <v>534</v>
      </c>
      <c r="G237" s="315"/>
      <c r="H237" s="73"/>
      <c r="I237" s="73"/>
      <c r="J237" s="245">
        <f>SUM('ведомствен.2016-2014'!G249)</f>
        <v>0</v>
      </c>
      <c r="K237" s="245">
        <f>SUM('ведомствен.2016-2014'!H249)</f>
        <v>0</v>
      </c>
      <c r="L237" s="242">
        <f t="shared" si="6"/>
        <v>0</v>
      </c>
      <c r="M237" s="315"/>
    </row>
    <row r="238" spans="1:13" ht="57" hidden="1">
      <c r="A238" s="229" t="s">
        <v>535</v>
      </c>
      <c r="B238" s="257"/>
      <c r="C238" s="291" t="s">
        <v>124</v>
      </c>
      <c r="D238" s="292" t="s">
        <v>124</v>
      </c>
      <c r="E238" s="97" t="s">
        <v>33</v>
      </c>
      <c r="F238" s="187"/>
      <c r="G238" s="315">
        <f>G239</f>
        <v>0</v>
      </c>
      <c r="H238" s="73">
        <f>SUM(H239)</f>
        <v>0</v>
      </c>
      <c r="I238" s="73" t="e">
        <f t="shared" si="7"/>
        <v>#DIV/0!</v>
      </c>
      <c r="J238" s="242"/>
      <c r="K238" s="242"/>
      <c r="L238" s="242">
        <f t="shared" si="6"/>
        <v>0</v>
      </c>
      <c r="M238" s="315">
        <f>M239</f>
        <v>0</v>
      </c>
    </row>
    <row r="239" spans="1:13" ht="28.5" hidden="1">
      <c r="A239" s="229" t="s">
        <v>533</v>
      </c>
      <c r="B239" s="257"/>
      <c r="C239" s="291" t="s">
        <v>124</v>
      </c>
      <c r="D239" s="292" t="s">
        <v>124</v>
      </c>
      <c r="E239" s="97" t="s">
        <v>33</v>
      </c>
      <c r="F239" s="187" t="s">
        <v>534</v>
      </c>
      <c r="G239" s="315"/>
      <c r="H239" s="73"/>
      <c r="I239" s="73" t="e">
        <f t="shared" si="7"/>
        <v>#DIV/0!</v>
      </c>
      <c r="J239" s="245">
        <f>SUM('ведомствен.2016-2014'!G251)</f>
        <v>0</v>
      </c>
      <c r="K239" s="245">
        <f>SUM('ведомствен.2016-2014'!H251)</f>
        <v>0</v>
      </c>
      <c r="L239" s="242">
        <f aca="true" t="shared" si="8" ref="L239:L295">SUM(G239-J239)</f>
        <v>0</v>
      </c>
      <c r="M239" s="315"/>
    </row>
    <row r="240" spans="1:13" ht="28.5" hidden="1">
      <c r="A240" s="261" t="s">
        <v>523</v>
      </c>
      <c r="B240" s="257"/>
      <c r="C240" s="291" t="s">
        <v>124</v>
      </c>
      <c r="D240" s="292" t="s">
        <v>124</v>
      </c>
      <c r="E240" s="97" t="s">
        <v>45</v>
      </c>
      <c r="F240" s="187"/>
      <c r="G240" s="315">
        <f>G241</f>
        <v>0</v>
      </c>
      <c r="H240" s="73">
        <f>SUM(H241)</f>
        <v>0</v>
      </c>
      <c r="I240" s="73" t="e">
        <f t="shared" si="7"/>
        <v>#DIV/0!</v>
      </c>
      <c r="J240" s="242"/>
      <c r="K240" s="242"/>
      <c r="L240" s="242">
        <f t="shared" si="8"/>
        <v>0</v>
      </c>
      <c r="M240" s="315">
        <f>M241</f>
        <v>0</v>
      </c>
    </row>
    <row r="241" spans="1:13" ht="28.5" hidden="1">
      <c r="A241" s="229" t="s">
        <v>533</v>
      </c>
      <c r="B241" s="257"/>
      <c r="C241" s="291" t="s">
        <v>124</v>
      </c>
      <c r="D241" s="292" t="s">
        <v>124</v>
      </c>
      <c r="E241" s="97" t="s">
        <v>45</v>
      </c>
      <c r="F241" s="187" t="s">
        <v>534</v>
      </c>
      <c r="G241" s="315"/>
      <c r="H241" s="73">
        <f>SUM(H242)</f>
        <v>0</v>
      </c>
      <c r="I241" s="73" t="e">
        <f t="shared" si="7"/>
        <v>#DIV/0!</v>
      </c>
      <c r="J241" s="245">
        <f>SUM('ведомствен.2016-2014'!G253)</f>
        <v>0</v>
      </c>
      <c r="K241" s="245">
        <f>SUM('ведомствен.2016-2014'!H253)</f>
        <v>0</v>
      </c>
      <c r="L241" s="242">
        <f t="shared" si="8"/>
        <v>0</v>
      </c>
      <c r="M241" s="315"/>
    </row>
    <row r="242" spans="1:13" ht="15">
      <c r="A242" s="258" t="s">
        <v>57</v>
      </c>
      <c r="B242" s="259"/>
      <c r="C242" s="128" t="s">
        <v>360</v>
      </c>
      <c r="D242" s="262"/>
      <c r="E242" s="262"/>
      <c r="F242" s="263"/>
      <c r="G242" s="76">
        <f>SUM(G243)</f>
        <v>5352</v>
      </c>
      <c r="H242" s="73"/>
      <c r="I242" s="73">
        <f t="shared" si="7"/>
        <v>0</v>
      </c>
      <c r="J242" s="242"/>
      <c r="K242" s="242"/>
      <c r="L242" s="242"/>
      <c r="M242" s="76">
        <f>SUM(M243)</f>
        <v>5352</v>
      </c>
    </row>
    <row r="243" spans="1:13" s="18" customFormat="1" ht="14.25">
      <c r="A243" s="232" t="s">
        <v>57</v>
      </c>
      <c r="B243" s="256"/>
      <c r="C243" s="36" t="s">
        <v>360</v>
      </c>
      <c r="D243" s="46"/>
      <c r="E243" s="46"/>
      <c r="F243" s="237"/>
      <c r="G243" s="73">
        <f>SUM(G244)+G249</f>
        <v>5352</v>
      </c>
      <c r="H243" s="73"/>
      <c r="I243" s="73"/>
      <c r="J243" s="245"/>
      <c r="K243" s="245"/>
      <c r="L243" s="242"/>
      <c r="M243" s="73">
        <f>SUM(M244)+M249</f>
        <v>5352</v>
      </c>
    </row>
    <row r="244" spans="1:13" s="18" customFormat="1" ht="14.25">
      <c r="A244" s="229" t="s">
        <v>58</v>
      </c>
      <c r="B244" s="290"/>
      <c r="C244" s="291" t="s">
        <v>360</v>
      </c>
      <c r="D244" s="292" t="s">
        <v>98</v>
      </c>
      <c r="E244" s="292" t="s">
        <v>536</v>
      </c>
      <c r="F244" s="293"/>
      <c r="G244" s="315">
        <f>SUM(G245)</f>
        <v>5352</v>
      </c>
      <c r="H244" s="73"/>
      <c r="I244" s="73"/>
      <c r="J244" s="245"/>
      <c r="K244" s="245"/>
      <c r="L244" s="242"/>
      <c r="M244" s="315">
        <f>SUM(M245)</f>
        <v>5352</v>
      </c>
    </row>
    <row r="245" spans="1:13" s="18" customFormat="1" ht="28.5">
      <c r="A245" s="229" t="s">
        <v>47</v>
      </c>
      <c r="B245" s="290"/>
      <c r="C245" s="291" t="s">
        <v>360</v>
      </c>
      <c r="D245" s="292" t="s">
        <v>98</v>
      </c>
      <c r="E245" s="292" t="s">
        <v>537</v>
      </c>
      <c r="F245" s="293"/>
      <c r="G245" s="315">
        <f>SUM(G246:G248)</f>
        <v>5352</v>
      </c>
      <c r="H245" s="73"/>
      <c r="I245" s="73">
        <f>SUM(H245/G245*100)</f>
        <v>0</v>
      </c>
      <c r="J245" s="245"/>
      <c r="K245" s="245"/>
      <c r="L245" s="242"/>
      <c r="M245" s="315">
        <f>SUM(M246:M248)</f>
        <v>5352</v>
      </c>
    </row>
    <row r="246" spans="1:13" s="18" customFormat="1" ht="42.75">
      <c r="A246" s="229" t="s">
        <v>461</v>
      </c>
      <c r="B246" s="290"/>
      <c r="C246" s="291" t="s">
        <v>360</v>
      </c>
      <c r="D246" s="292" t="s">
        <v>98</v>
      </c>
      <c r="E246" s="292" t="s">
        <v>537</v>
      </c>
      <c r="F246" s="293" t="s">
        <v>462</v>
      </c>
      <c r="G246" s="315">
        <v>4448.9</v>
      </c>
      <c r="H246" s="73"/>
      <c r="I246" s="73">
        <f>SUM(H246/G246*100)</f>
        <v>0</v>
      </c>
      <c r="J246" s="245">
        <f>SUM('ведомствен.2016-2014'!G258)</f>
        <v>4448.9</v>
      </c>
      <c r="K246" s="245">
        <f>SUM('ведомствен.2016-2014'!H258)</f>
        <v>4448.9</v>
      </c>
      <c r="L246" s="242">
        <f t="shared" si="8"/>
        <v>0</v>
      </c>
      <c r="M246" s="315">
        <v>4448.9</v>
      </c>
    </row>
    <row r="247" spans="1:13" s="18" customFormat="1" ht="14.25">
      <c r="A247" s="229" t="s">
        <v>463</v>
      </c>
      <c r="B247" s="290"/>
      <c r="C247" s="291" t="s">
        <v>360</v>
      </c>
      <c r="D247" s="292" t="s">
        <v>98</v>
      </c>
      <c r="E247" s="292" t="s">
        <v>537</v>
      </c>
      <c r="F247" s="293" t="s">
        <v>112</v>
      </c>
      <c r="G247" s="315">
        <v>833.5</v>
      </c>
      <c r="H247" s="73"/>
      <c r="I247" s="73">
        <f>SUM(H247/G247*100)</f>
        <v>0</v>
      </c>
      <c r="J247" s="245">
        <f>SUM('ведомствен.2016-2014'!G259)</f>
        <v>833.5</v>
      </c>
      <c r="K247" s="245">
        <f>SUM('ведомствен.2016-2014'!H259)</f>
        <v>833.5</v>
      </c>
      <c r="L247" s="242">
        <f t="shared" si="8"/>
        <v>0</v>
      </c>
      <c r="M247" s="315">
        <v>833.5</v>
      </c>
    </row>
    <row r="248" spans="1:13" ht="14.25">
      <c r="A248" s="229" t="s">
        <v>467</v>
      </c>
      <c r="B248" s="290"/>
      <c r="C248" s="291" t="s">
        <v>360</v>
      </c>
      <c r="D248" s="292" t="s">
        <v>98</v>
      </c>
      <c r="E248" s="292" t="s">
        <v>537</v>
      </c>
      <c r="F248" s="293" t="s">
        <v>161</v>
      </c>
      <c r="G248" s="315">
        <v>69.6</v>
      </c>
      <c r="H248" s="73"/>
      <c r="I248" s="73"/>
      <c r="J248" s="245">
        <f>SUM('ведомствен.2016-2014'!G260)</f>
        <v>69.6</v>
      </c>
      <c r="K248" s="245">
        <f>SUM('ведомствен.2016-2014'!H260)</f>
        <v>69.6</v>
      </c>
      <c r="L248" s="242">
        <f t="shared" si="8"/>
        <v>0</v>
      </c>
      <c r="M248" s="315">
        <v>69.6</v>
      </c>
    </row>
    <row r="249" spans="1:13" ht="14.25" hidden="1">
      <c r="A249" s="229" t="s">
        <v>59</v>
      </c>
      <c r="B249" s="290"/>
      <c r="C249" s="291" t="s">
        <v>360</v>
      </c>
      <c r="D249" s="292" t="s">
        <v>124</v>
      </c>
      <c r="E249" s="303"/>
      <c r="F249" s="293"/>
      <c r="G249" s="315">
        <f>G251</f>
        <v>0</v>
      </c>
      <c r="H249" s="73"/>
      <c r="I249" s="73" t="e">
        <f>SUM(H249/G249*100)</f>
        <v>#DIV/0!</v>
      </c>
      <c r="J249" s="242"/>
      <c r="K249" s="242"/>
      <c r="L249" s="242">
        <f t="shared" si="8"/>
        <v>0</v>
      </c>
      <c r="M249" s="315">
        <f>M251</f>
        <v>0</v>
      </c>
    </row>
    <row r="250" spans="1:13" s="12" customFormat="1" ht="15" hidden="1">
      <c r="A250" s="229" t="s">
        <v>507</v>
      </c>
      <c r="B250" s="290"/>
      <c r="C250" s="291" t="s">
        <v>360</v>
      </c>
      <c r="D250" s="292" t="s">
        <v>124</v>
      </c>
      <c r="E250" s="97" t="s">
        <v>122</v>
      </c>
      <c r="F250" s="293"/>
      <c r="G250" s="315">
        <f>SUM(G251)</f>
        <v>0</v>
      </c>
      <c r="H250" s="78" t="e">
        <f>SUM(H251+#REF!+H348+H386)</f>
        <v>#REF!</v>
      </c>
      <c r="I250" s="78" t="e">
        <f t="shared" si="7"/>
        <v>#REF!</v>
      </c>
      <c r="J250" s="244"/>
      <c r="K250" s="244"/>
      <c r="L250" s="242">
        <f t="shared" si="8"/>
        <v>0</v>
      </c>
      <c r="M250" s="315">
        <f>SUM(M251)</f>
        <v>0</v>
      </c>
    </row>
    <row r="251" spans="1:13" ht="15" hidden="1">
      <c r="A251" s="229" t="s">
        <v>538</v>
      </c>
      <c r="B251" s="301"/>
      <c r="C251" s="291" t="s">
        <v>360</v>
      </c>
      <c r="D251" s="292" t="s">
        <v>124</v>
      </c>
      <c r="E251" s="292" t="s">
        <v>60</v>
      </c>
      <c r="F251" s="293"/>
      <c r="G251" s="315">
        <f>G252</f>
        <v>0</v>
      </c>
      <c r="H251" s="73" t="e">
        <f>SUM(H278+H291+H262+H281+H252)</f>
        <v>#REF!</v>
      </c>
      <c r="I251" s="73" t="e">
        <f t="shared" si="7"/>
        <v>#REF!</v>
      </c>
      <c r="J251" s="242"/>
      <c r="K251" s="242"/>
      <c r="L251" s="242">
        <f t="shared" si="8"/>
        <v>0</v>
      </c>
      <c r="M251" s="315">
        <f>M252</f>
        <v>0</v>
      </c>
    </row>
    <row r="252" spans="1:13" ht="14.25" hidden="1">
      <c r="A252" s="229" t="s">
        <v>463</v>
      </c>
      <c r="B252" s="290"/>
      <c r="C252" s="291" t="s">
        <v>360</v>
      </c>
      <c r="D252" s="292" t="s">
        <v>124</v>
      </c>
      <c r="E252" s="292" t="s">
        <v>60</v>
      </c>
      <c r="F252" s="293" t="s">
        <v>112</v>
      </c>
      <c r="G252" s="315"/>
      <c r="H252" s="73" t="e">
        <f>SUM(H253+#REF!)</f>
        <v>#REF!</v>
      </c>
      <c r="I252" s="73" t="e">
        <f t="shared" si="7"/>
        <v>#REF!</v>
      </c>
      <c r="J252" s="245">
        <f>SUM('ведомствен.2016-2014'!G264)</f>
        <v>0</v>
      </c>
      <c r="K252" s="245">
        <f>SUM('ведомствен.2016-2014'!H264)</f>
        <v>0</v>
      </c>
      <c r="L252" s="242">
        <f t="shared" si="8"/>
        <v>0</v>
      </c>
      <c r="M252" s="315"/>
    </row>
    <row r="253" spans="1:14" ht="15">
      <c r="A253" s="258" t="s">
        <v>108</v>
      </c>
      <c r="B253" s="259"/>
      <c r="C253" s="155" t="s">
        <v>109</v>
      </c>
      <c r="D253" s="96"/>
      <c r="E253" s="96"/>
      <c r="F253" s="260"/>
      <c r="G253" s="76">
        <f>SUM(G254+G276+G317+G337)</f>
        <v>1732210.1</v>
      </c>
      <c r="H253" s="73" t="e">
        <f>SUM(H254)+H256+H258</f>
        <v>#REF!</v>
      </c>
      <c r="I253" s="73" t="e">
        <f t="shared" si="7"/>
        <v>#REF!</v>
      </c>
      <c r="J253" s="242"/>
      <c r="K253" s="242"/>
      <c r="L253" s="242"/>
      <c r="M253" s="76">
        <f>SUM(M254+M276+M317+M337)</f>
        <v>1742683.1</v>
      </c>
      <c r="N253" s="221">
        <f>SUM(K257:K342)-M253</f>
        <v>0</v>
      </c>
    </row>
    <row r="254" spans="1:14" ht="15">
      <c r="A254" s="231" t="s">
        <v>319</v>
      </c>
      <c r="B254" s="269"/>
      <c r="C254" s="64" t="s">
        <v>109</v>
      </c>
      <c r="D254" s="67" t="s">
        <v>429</v>
      </c>
      <c r="E254" s="67"/>
      <c r="F254" s="270"/>
      <c r="G254" s="79">
        <f>SUM(G255+G274+G263)</f>
        <v>627690.4</v>
      </c>
      <c r="H254" s="73">
        <f>SUM(H255)</f>
        <v>15652.8</v>
      </c>
      <c r="I254" s="73">
        <f t="shared" si="7"/>
        <v>2.4937134612860095</v>
      </c>
      <c r="J254" s="242"/>
      <c r="K254" s="242"/>
      <c r="L254" s="242"/>
      <c r="M254" s="79">
        <f>SUM(M255+M274+M263)</f>
        <v>628161.3</v>
      </c>
      <c r="N254" s="221">
        <f>SUM(K258:K342)</f>
        <v>1742683.0999999999</v>
      </c>
    </row>
    <row r="255" spans="1:13" ht="15">
      <c r="A255" s="231" t="s">
        <v>320</v>
      </c>
      <c r="B255" s="269"/>
      <c r="C255" s="64" t="s">
        <v>109</v>
      </c>
      <c r="D255" s="67" t="s">
        <v>429</v>
      </c>
      <c r="E255" s="67" t="s">
        <v>321</v>
      </c>
      <c r="F255" s="270"/>
      <c r="G255" s="79">
        <f>SUM(G256+G259)</f>
        <v>189646.8</v>
      </c>
      <c r="H255" s="73">
        <v>15652.8</v>
      </c>
      <c r="I255" s="73">
        <f t="shared" si="7"/>
        <v>8.253658906978657</v>
      </c>
      <c r="J255" s="242"/>
      <c r="K255" s="242"/>
      <c r="L255" s="242"/>
      <c r="M255" s="79">
        <f>SUM(M256+M259)</f>
        <v>190117.7</v>
      </c>
    </row>
    <row r="256" spans="1:13" ht="28.5">
      <c r="A256" s="231" t="s">
        <v>570</v>
      </c>
      <c r="B256" s="269"/>
      <c r="C256" s="64" t="s">
        <v>109</v>
      </c>
      <c r="D256" s="67" t="s">
        <v>429</v>
      </c>
      <c r="E256" s="67" t="s">
        <v>78</v>
      </c>
      <c r="F256" s="270"/>
      <c r="G256" s="79">
        <f>SUM(G257)</f>
        <v>156433.8</v>
      </c>
      <c r="H256" s="73">
        <f>SUM(H257)</f>
        <v>0</v>
      </c>
      <c r="I256" s="73">
        <f t="shared" si="7"/>
        <v>0</v>
      </c>
      <c r="J256" s="242"/>
      <c r="K256" s="242"/>
      <c r="L256" s="242"/>
      <c r="M256" s="79">
        <f>SUM(M257)</f>
        <v>156433.9</v>
      </c>
    </row>
    <row r="257" spans="1:13" ht="28.5">
      <c r="A257" s="231" t="s">
        <v>189</v>
      </c>
      <c r="B257" s="269"/>
      <c r="C257" s="64" t="s">
        <v>109</v>
      </c>
      <c r="D257" s="67" t="s">
        <v>429</v>
      </c>
      <c r="E257" s="67" t="s">
        <v>79</v>
      </c>
      <c r="F257" s="270"/>
      <c r="G257" s="79">
        <f>SUM(G258)</f>
        <v>156433.8</v>
      </c>
      <c r="H257" s="73"/>
      <c r="I257" s="73">
        <f t="shared" si="7"/>
        <v>0</v>
      </c>
      <c r="J257" s="242">
        <f>SUM('ведомствен.2016-2014'!G224)</f>
        <v>0</v>
      </c>
      <c r="K257" s="242">
        <f>SUM('ведомствен.2016-2014'!H224)</f>
        <v>0</v>
      </c>
      <c r="L257" s="242"/>
      <c r="M257" s="79">
        <f>SUM(M258)</f>
        <v>156433.9</v>
      </c>
    </row>
    <row r="258" spans="1:14" ht="28.5">
      <c r="A258" s="231" t="s">
        <v>484</v>
      </c>
      <c r="B258" s="269"/>
      <c r="C258" s="64" t="s">
        <v>109</v>
      </c>
      <c r="D258" s="67" t="s">
        <v>429</v>
      </c>
      <c r="E258" s="67" t="s">
        <v>79</v>
      </c>
      <c r="F258" s="270" t="s">
        <v>477</v>
      </c>
      <c r="G258" s="79">
        <v>156433.8</v>
      </c>
      <c r="H258" s="73" t="e">
        <f>SUM(#REF!)</f>
        <v>#REF!</v>
      </c>
      <c r="I258" s="73" t="e">
        <f t="shared" si="7"/>
        <v>#REF!</v>
      </c>
      <c r="J258" s="242">
        <f>SUM('ведомствен.2016-2014'!G552)</f>
        <v>156433.8</v>
      </c>
      <c r="K258" s="242">
        <f>SUM('ведомствен.2016-2014'!H552)</f>
        <v>156433.9</v>
      </c>
      <c r="L258" s="242">
        <f t="shared" si="8"/>
        <v>0</v>
      </c>
      <c r="M258" s="79">
        <v>156433.9</v>
      </c>
      <c r="N258" s="221">
        <f>SUM(M258-K258)</f>
        <v>0</v>
      </c>
    </row>
    <row r="259" spans="1:13" ht="28.5">
      <c r="A259" s="231" t="s">
        <v>47</v>
      </c>
      <c r="B259" s="269"/>
      <c r="C259" s="64" t="s">
        <v>109</v>
      </c>
      <c r="D259" s="67" t="s">
        <v>429</v>
      </c>
      <c r="E259" s="67" t="s">
        <v>322</v>
      </c>
      <c r="F259" s="270"/>
      <c r="G259" s="79">
        <f>SUM(G260+G261+G262)</f>
        <v>33213</v>
      </c>
      <c r="H259" s="73">
        <f>SUM(H260+H261)</f>
        <v>1562</v>
      </c>
      <c r="I259" s="73">
        <f t="shared" si="7"/>
        <v>4.702977749676331</v>
      </c>
      <c r="J259" s="242"/>
      <c r="K259" s="242"/>
      <c r="L259" s="242"/>
      <c r="M259" s="79">
        <f>SUM(M260+M261+M262)</f>
        <v>33683.8</v>
      </c>
    </row>
    <row r="260" spans="1:14" ht="42.75">
      <c r="A260" s="231" t="s">
        <v>461</v>
      </c>
      <c r="B260" s="269"/>
      <c r="C260" s="64" t="s">
        <v>109</v>
      </c>
      <c r="D260" s="67" t="s">
        <v>429</v>
      </c>
      <c r="E260" s="67" t="s">
        <v>322</v>
      </c>
      <c r="F260" s="270" t="s">
        <v>462</v>
      </c>
      <c r="G260" s="79">
        <v>10935.5</v>
      </c>
      <c r="H260" s="73">
        <v>233.9</v>
      </c>
      <c r="I260" s="73">
        <f t="shared" si="7"/>
        <v>2.138905399844543</v>
      </c>
      <c r="J260" s="242">
        <f>SUM('ведомствен.2016-2014'!G554)</f>
        <v>10935.5</v>
      </c>
      <c r="K260" s="242">
        <f>SUM('ведомствен.2016-2014'!H554)</f>
        <v>10935.5</v>
      </c>
      <c r="L260" s="242">
        <f t="shared" si="8"/>
        <v>0</v>
      </c>
      <c r="M260" s="79">
        <v>10935.5</v>
      </c>
      <c r="N260" s="221">
        <f aca="true" t="shared" si="9" ref="N260:N323">SUM(M260-K260)</f>
        <v>0</v>
      </c>
    </row>
    <row r="261" spans="1:14" ht="14.25">
      <c r="A261" s="231" t="s">
        <v>463</v>
      </c>
      <c r="B261" s="271"/>
      <c r="C261" s="64" t="s">
        <v>109</v>
      </c>
      <c r="D261" s="67" t="s">
        <v>429</v>
      </c>
      <c r="E261" s="67" t="s">
        <v>322</v>
      </c>
      <c r="F261" s="270" t="s">
        <v>112</v>
      </c>
      <c r="G261" s="79">
        <v>20239.1</v>
      </c>
      <c r="H261" s="73">
        <v>1328.1</v>
      </c>
      <c r="I261" s="73">
        <f t="shared" si="7"/>
        <v>6.56205068407192</v>
      </c>
      <c r="J261" s="242">
        <f>SUM('ведомствен.2016-2014'!G555)</f>
        <v>20239.1</v>
      </c>
      <c r="K261" s="242">
        <f>SUM('ведомствен.2016-2014'!H555)</f>
        <v>20709.9</v>
      </c>
      <c r="L261" s="242">
        <f t="shared" si="8"/>
        <v>0</v>
      </c>
      <c r="M261" s="79">
        <v>20709.9</v>
      </c>
      <c r="N261" s="221">
        <f t="shared" si="9"/>
        <v>0</v>
      </c>
    </row>
    <row r="262" spans="1:14" ht="15">
      <c r="A262" s="231" t="s">
        <v>467</v>
      </c>
      <c r="B262" s="269"/>
      <c r="C262" s="64" t="s">
        <v>109</v>
      </c>
      <c r="D262" s="67" t="s">
        <v>429</v>
      </c>
      <c r="E262" s="67" t="s">
        <v>322</v>
      </c>
      <c r="F262" s="270" t="s">
        <v>161</v>
      </c>
      <c r="G262" s="79">
        <v>2038.4</v>
      </c>
      <c r="H262" s="73" t="e">
        <f>SUM(H272)</f>
        <v>#REF!</v>
      </c>
      <c r="I262" s="73" t="e">
        <f t="shared" si="7"/>
        <v>#REF!</v>
      </c>
      <c r="J262" s="242">
        <f>SUM('ведомствен.2016-2014'!G556)</f>
        <v>2038.4</v>
      </c>
      <c r="K262" s="242">
        <f>SUM('ведомствен.2016-2014'!H556)</f>
        <v>2038.4</v>
      </c>
      <c r="L262" s="242">
        <f t="shared" si="8"/>
        <v>0</v>
      </c>
      <c r="M262" s="79">
        <v>2038.4</v>
      </c>
      <c r="N262" s="221">
        <f t="shared" si="9"/>
        <v>0</v>
      </c>
    </row>
    <row r="263" spans="1:14" ht="42.75">
      <c r="A263" s="272" t="s">
        <v>636</v>
      </c>
      <c r="B263" s="273"/>
      <c r="C263" s="97" t="s">
        <v>109</v>
      </c>
      <c r="D263" s="97" t="s">
        <v>429</v>
      </c>
      <c r="E263" s="274" t="s">
        <v>637</v>
      </c>
      <c r="F263" s="275"/>
      <c r="G263" s="246">
        <f>SUM(G264+G270)</f>
        <v>438043.60000000003</v>
      </c>
      <c r="H263" s="73"/>
      <c r="I263" s="73"/>
      <c r="J263" s="242"/>
      <c r="K263" s="242"/>
      <c r="L263" s="242"/>
      <c r="M263" s="217">
        <f>SUM(M264+M270)</f>
        <v>438043.60000000003</v>
      </c>
      <c r="N263" s="221">
        <f t="shared" si="9"/>
        <v>438043.60000000003</v>
      </c>
    </row>
    <row r="264" spans="1:14" ht="28.5">
      <c r="A264" s="231" t="s">
        <v>570</v>
      </c>
      <c r="B264" s="273"/>
      <c r="C264" s="97" t="s">
        <v>109</v>
      </c>
      <c r="D264" s="97" t="s">
        <v>429</v>
      </c>
      <c r="E264" s="274" t="s">
        <v>638</v>
      </c>
      <c r="F264" s="275"/>
      <c r="G264" s="246">
        <f>SUM(G265+G267)</f>
        <v>380081.2</v>
      </c>
      <c r="H264" s="73"/>
      <c r="I264" s="73"/>
      <c r="J264" s="242"/>
      <c r="K264" s="242"/>
      <c r="L264" s="242"/>
      <c r="M264" s="217">
        <f>SUM(M265+M267)</f>
        <v>380081.2</v>
      </c>
      <c r="N264" s="221">
        <f t="shared" si="9"/>
        <v>380081.2</v>
      </c>
    </row>
    <row r="265" spans="1:14" ht="28.5">
      <c r="A265" s="231" t="s">
        <v>189</v>
      </c>
      <c r="B265" s="273"/>
      <c r="C265" s="97" t="s">
        <v>109</v>
      </c>
      <c r="D265" s="97" t="s">
        <v>429</v>
      </c>
      <c r="E265" s="276" t="s">
        <v>639</v>
      </c>
      <c r="F265" s="187"/>
      <c r="G265" s="246">
        <f>SUM(G266)</f>
        <v>373530</v>
      </c>
      <c r="H265" s="73"/>
      <c r="I265" s="73"/>
      <c r="J265" s="242"/>
      <c r="K265" s="242"/>
      <c r="L265" s="242"/>
      <c r="M265" s="217">
        <f>SUM(M266)</f>
        <v>373530</v>
      </c>
      <c r="N265" s="221">
        <f t="shared" si="9"/>
        <v>373530</v>
      </c>
    </row>
    <row r="266" spans="1:14" ht="28.5">
      <c r="A266" s="229" t="s">
        <v>484</v>
      </c>
      <c r="B266" s="273"/>
      <c r="C266" s="97" t="s">
        <v>109</v>
      </c>
      <c r="D266" s="97" t="s">
        <v>429</v>
      </c>
      <c r="E266" s="276" t="s">
        <v>639</v>
      </c>
      <c r="F266" s="187" t="s">
        <v>477</v>
      </c>
      <c r="G266" s="246">
        <v>373530</v>
      </c>
      <c r="H266" s="73"/>
      <c r="I266" s="73"/>
      <c r="J266" s="242">
        <f>SUM('ведомствен.2016-2014'!G560)</f>
        <v>373530</v>
      </c>
      <c r="K266" s="242">
        <f>SUM('ведомствен.2016-2014'!H560)</f>
        <v>373530</v>
      </c>
      <c r="L266" s="242">
        <f t="shared" si="8"/>
        <v>0</v>
      </c>
      <c r="M266" s="217">
        <v>373530</v>
      </c>
      <c r="N266" s="221">
        <f t="shared" si="9"/>
        <v>0</v>
      </c>
    </row>
    <row r="267" spans="1:14" ht="28.5">
      <c r="A267" s="277" t="s">
        <v>151</v>
      </c>
      <c r="B267" s="273"/>
      <c r="C267" s="97" t="s">
        <v>109</v>
      </c>
      <c r="D267" s="97" t="s">
        <v>429</v>
      </c>
      <c r="E267" s="276" t="s">
        <v>640</v>
      </c>
      <c r="F267" s="187"/>
      <c r="G267" s="246">
        <f>SUM(G268)</f>
        <v>6551.2</v>
      </c>
      <c r="H267" s="73"/>
      <c r="I267" s="73"/>
      <c r="J267" s="242"/>
      <c r="K267" s="242"/>
      <c r="L267" s="242"/>
      <c r="M267" s="217">
        <f>SUM(M268)</f>
        <v>6551.2</v>
      </c>
      <c r="N267" s="221">
        <f t="shared" si="9"/>
        <v>6551.2</v>
      </c>
    </row>
    <row r="268" spans="1:14" ht="28.5">
      <c r="A268" s="229" t="s">
        <v>384</v>
      </c>
      <c r="B268" s="273"/>
      <c r="C268" s="97" t="s">
        <v>109</v>
      </c>
      <c r="D268" s="97" t="s">
        <v>429</v>
      </c>
      <c r="E268" s="276" t="s">
        <v>641</v>
      </c>
      <c r="F268" s="187"/>
      <c r="G268" s="246">
        <f>SUM(G269)</f>
        <v>6551.2</v>
      </c>
      <c r="H268" s="73"/>
      <c r="I268" s="73"/>
      <c r="J268" s="242"/>
      <c r="K268" s="242"/>
      <c r="L268" s="242"/>
      <c r="M268" s="217">
        <f>SUM(M269)</f>
        <v>6551.2</v>
      </c>
      <c r="N268" s="221">
        <f t="shared" si="9"/>
        <v>6551.2</v>
      </c>
    </row>
    <row r="269" spans="1:14" ht="28.5">
      <c r="A269" s="229" t="s">
        <v>484</v>
      </c>
      <c r="B269" s="273"/>
      <c r="C269" s="97" t="s">
        <v>109</v>
      </c>
      <c r="D269" s="97" t="s">
        <v>429</v>
      </c>
      <c r="E269" s="276" t="s">
        <v>641</v>
      </c>
      <c r="F269" s="187" t="s">
        <v>477</v>
      </c>
      <c r="G269" s="246">
        <v>6551.2</v>
      </c>
      <c r="H269" s="73"/>
      <c r="I269" s="73"/>
      <c r="J269" s="242">
        <f>SUM('ведомствен.2016-2014'!G563)</f>
        <v>6551.2</v>
      </c>
      <c r="K269" s="242">
        <f>SUM('ведомствен.2016-2014'!H563)</f>
        <v>6551.2</v>
      </c>
      <c r="L269" s="242">
        <f t="shared" si="8"/>
        <v>0</v>
      </c>
      <c r="M269" s="217">
        <v>6551.2</v>
      </c>
      <c r="N269" s="221">
        <f t="shared" si="9"/>
        <v>0</v>
      </c>
    </row>
    <row r="270" spans="1:14" ht="28.5">
      <c r="A270" s="231" t="s">
        <v>47</v>
      </c>
      <c r="B270" s="273"/>
      <c r="C270" s="97" t="s">
        <v>109</v>
      </c>
      <c r="D270" s="97" t="s">
        <v>429</v>
      </c>
      <c r="E270" s="276" t="s">
        <v>642</v>
      </c>
      <c r="F270" s="275"/>
      <c r="G270" s="246">
        <f>SUM(G271:G272)</f>
        <v>57962.4</v>
      </c>
      <c r="H270" s="73"/>
      <c r="I270" s="73"/>
      <c r="J270" s="242"/>
      <c r="K270" s="242"/>
      <c r="L270" s="242"/>
      <c r="M270" s="217">
        <f>SUM(M271:M272)</f>
        <v>57962.4</v>
      </c>
      <c r="N270" s="221">
        <f t="shared" si="9"/>
        <v>57962.4</v>
      </c>
    </row>
    <row r="271" spans="1:14" ht="42.75">
      <c r="A271" s="229" t="s">
        <v>461</v>
      </c>
      <c r="B271" s="273"/>
      <c r="C271" s="97" t="s">
        <v>109</v>
      </c>
      <c r="D271" s="97" t="s">
        <v>429</v>
      </c>
      <c r="E271" s="276" t="s">
        <v>642</v>
      </c>
      <c r="F271" s="187" t="s">
        <v>462</v>
      </c>
      <c r="G271" s="246">
        <v>56442.3</v>
      </c>
      <c r="H271" s="73"/>
      <c r="I271" s="73"/>
      <c r="J271" s="242">
        <f>SUM('ведомствен.2016-2014'!G565)</f>
        <v>56442.3</v>
      </c>
      <c r="K271" s="242">
        <f>SUM('ведомствен.2016-2014'!H565)</f>
        <v>56442.3</v>
      </c>
      <c r="L271" s="242">
        <f t="shared" si="8"/>
        <v>0</v>
      </c>
      <c r="M271" s="217">
        <v>56442.3</v>
      </c>
      <c r="N271" s="221">
        <f t="shared" si="9"/>
        <v>0</v>
      </c>
    </row>
    <row r="272" spans="1:14" ht="15">
      <c r="A272" s="229" t="s">
        <v>463</v>
      </c>
      <c r="B272" s="273"/>
      <c r="C272" s="97" t="s">
        <v>109</v>
      </c>
      <c r="D272" s="97" t="s">
        <v>429</v>
      </c>
      <c r="E272" s="276" t="s">
        <v>642</v>
      </c>
      <c r="F272" s="187" t="s">
        <v>112</v>
      </c>
      <c r="G272" s="246">
        <v>1520.1</v>
      </c>
      <c r="H272" s="73" t="e">
        <f>SUM(#REF!)</f>
        <v>#REF!</v>
      </c>
      <c r="I272" s="73" t="e">
        <f t="shared" si="7"/>
        <v>#REF!</v>
      </c>
      <c r="J272" s="242">
        <f>SUM('ведомствен.2016-2014'!G566)</f>
        <v>1520.1</v>
      </c>
      <c r="K272" s="242">
        <f>SUM('ведомствен.2016-2014'!H566)</f>
        <v>1520.1</v>
      </c>
      <c r="L272" s="242">
        <f t="shared" si="8"/>
        <v>0</v>
      </c>
      <c r="M272" s="217">
        <v>1520.1</v>
      </c>
      <c r="N272" s="221">
        <f t="shared" si="9"/>
        <v>0</v>
      </c>
    </row>
    <row r="273" spans="1:14" s="15" customFormat="1" ht="14.25" hidden="1">
      <c r="A273" s="231" t="s">
        <v>563</v>
      </c>
      <c r="B273" s="278"/>
      <c r="C273" s="64" t="s">
        <v>109</v>
      </c>
      <c r="D273" s="67" t="s">
        <v>429</v>
      </c>
      <c r="E273" s="67" t="s">
        <v>122</v>
      </c>
      <c r="F273" s="270"/>
      <c r="G273" s="79">
        <f>G274</f>
        <v>0</v>
      </c>
      <c r="H273" s="73">
        <v>1821.9</v>
      </c>
      <c r="I273" s="73" t="e">
        <f>SUM(H273/G273*100)</f>
        <v>#DIV/0!</v>
      </c>
      <c r="J273" s="245"/>
      <c r="K273" s="245"/>
      <c r="L273" s="242">
        <f t="shared" si="8"/>
        <v>0</v>
      </c>
      <c r="M273" s="79">
        <f>M274</f>
        <v>0</v>
      </c>
      <c r="N273" s="221">
        <f t="shared" si="9"/>
        <v>0</v>
      </c>
    </row>
    <row r="274" spans="1:14" ht="28.5" hidden="1">
      <c r="A274" s="231" t="s">
        <v>571</v>
      </c>
      <c r="B274" s="269"/>
      <c r="C274" s="64" t="s">
        <v>109</v>
      </c>
      <c r="D274" s="67" t="s">
        <v>429</v>
      </c>
      <c r="E274" s="67" t="s">
        <v>336</v>
      </c>
      <c r="F274" s="270"/>
      <c r="G274" s="79">
        <f>G275</f>
        <v>0</v>
      </c>
      <c r="H274" s="73"/>
      <c r="I274" s="73" t="e">
        <f t="shared" si="7"/>
        <v>#DIV/0!</v>
      </c>
      <c r="J274" s="242"/>
      <c r="K274" s="242"/>
      <c r="L274" s="242">
        <f t="shared" si="8"/>
        <v>0</v>
      </c>
      <c r="M274" s="79">
        <f>M275</f>
        <v>0</v>
      </c>
      <c r="N274" s="221">
        <f t="shared" si="9"/>
        <v>0</v>
      </c>
    </row>
    <row r="275" spans="1:14" ht="14.25" hidden="1">
      <c r="A275" s="230" t="s">
        <v>471</v>
      </c>
      <c r="B275" s="304"/>
      <c r="C275" s="64" t="s">
        <v>109</v>
      </c>
      <c r="D275" s="67" t="s">
        <v>429</v>
      </c>
      <c r="E275" s="67" t="s">
        <v>336</v>
      </c>
      <c r="F275" s="270" t="s">
        <v>472</v>
      </c>
      <c r="G275" s="79"/>
      <c r="H275" s="73"/>
      <c r="I275" s="73" t="e">
        <f t="shared" si="7"/>
        <v>#DIV/0!</v>
      </c>
      <c r="J275" s="242">
        <f>SUM('ведомствен.2016-2014'!G569)</f>
        <v>0</v>
      </c>
      <c r="K275" s="242">
        <f>SUM('ведомствен.2016-2014'!H569)</f>
        <v>0</v>
      </c>
      <c r="L275" s="242">
        <f t="shared" si="8"/>
        <v>0</v>
      </c>
      <c r="M275" s="79"/>
      <c r="N275" s="221">
        <f t="shared" si="9"/>
        <v>0</v>
      </c>
    </row>
    <row r="276" spans="1:14" ht="15">
      <c r="A276" s="231" t="s">
        <v>323</v>
      </c>
      <c r="B276" s="269"/>
      <c r="C276" s="64" t="s">
        <v>109</v>
      </c>
      <c r="D276" s="67" t="s">
        <v>431</v>
      </c>
      <c r="E276" s="67"/>
      <c r="F276" s="270"/>
      <c r="G276" s="79">
        <f>SUM(G277+G285++G291+G296+G312)</f>
        <v>1064526.2000000002</v>
      </c>
      <c r="H276" s="73">
        <f>SUM(H277)</f>
        <v>1821.9</v>
      </c>
      <c r="I276" s="73">
        <f t="shared" si="7"/>
        <v>0.17114656266797376</v>
      </c>
      <c r="J276" s="242"/>
      <c r="K276" s="242"/>
      <c r="L276" s="242"/>
      <c r="M276" s="79">
        <f>SUM(M277+M285++M291+M296+M312)</f>
        <v>1074528.3</v>
      </c>
      <c r="N276" s="221">
        <f t="shared" si="9"/>
        <v>1074528.3</v>
      </c>
    </row>
    <row r="277" spans="1:14" ht="28.5">
      <c r="A277" s="231" t="s">
        <v>324</v>
      </c>
      <c r="B277" s="269"/>
      <c r="C277" s="64" t="s">
        <v>109</v>
      </c>
      <c r="D277" s="67" t="s">
        <v>431</v>
      </c>
      <c r="E277" s="67" t="s">
        <v>325</v>
      </c>
      <c r="F277" s="270"/>
      <c r="G277" s="79">
        <f>G278+G281</f>
        <v>176244.2</v>
      </c>
      <c r="H277" s="73">
        <v>1821.9</v>
      </c>
      <c r="I277" s="73">
        <f t="shared" si="7"/>
        <v>1.0337361456433742</v>
      </c>
      <c r="J277" s="242"/>
      <c r="K277" s="242"/>
      <c r="L277" s="242"/>
      <c r="M277" s="79">
        <f>M278+M281</f>
        <v>185783.40000000002</v>
      </c>
      <c r="N277" s="221">
        <f t="shared" si="9"/>
        <v>185783.40000000002</v>
      </c>
    </row>
    <row r="278" spans="1:14" ht="28.5">
      <c r="A278" s="231" t="s">
        <v>11</v>
      </c>
      <c r="B278" s="269"/>
      <c r="C278" s="64" t="s">
        <v>109</v>
      </c>
      <c r="D278" s="67" t="s">
        <v>431</v>
      </c>
      <c r="E278" s="67" t="s">
        <v>80</v>
      </c>
      <c r="F278" s="270"/>
      <c r="G278" s="79">
        <f>G279</f>
        <v>90171</v>
      </c>
      <c r="H278" s="73" t="e">
        <f>SUM(H279+#REF!)</f>
        <v>#REF!</v>
      </c>
      <c r="I278" s="73" t="e">
        <f t="shared" si="7"/>
        <v>#REF!</v>
      </c>
      <c r="J278" s="242"/>
      <c r="K278" s="242"/>
      <c r="L278" s="242"/>
      <c r="M278" s="79">
        <f>M279</f>
        <v>90171</v>
      </c>
      <c r="N278" s="221">
        <f t="shared" si="9"/>
        <v>90171</v>
      </c>
    </row>
    <row r="279" spans="1:14" ht="28.5">
      <c r="A279" s="231" t="s">
        <v>189</v>
      </c>
      <c r="B279" s="269"/>
      <c r="C279" s="64" t="s">
        <v>109</v>
      </c>
      <c r="D279" s="67" t="s">
        <v>431</v>
      </c>
      <c r="E279" s="67" t="s">
        <v>81</v>
      </c>
      <c r="F279" s="270"/>
      <c r="G279" s="79">
        <f>SUM(G280)</f>
        <v>90171</v>
      </c>
      <c r="H279" s="73">
        <f>SUM(H280)</f>
        <v>0</v>
      </c>
      <c r="I279" s="73">
        <f t="shared" si="7"/>
        <v>0</v>
      </c>
      <c r="J279" s="242"/>
      <c r="K279" s="242"/>
      <c r="L279" s="242"/>
      <c r="M279" s="79">
        <f>SUM(M280)</f>
        <v>90171</v>
      </c>
      <c r="N279" s="221">
        <f t="shared" si="9"/>
        <v>90171</v>
      </c>
    </row>
    <row r="280" spans="1:14" ht="28.5">
      <c r="A280" s="231" t="s">
        <v>480</v>
      </c>
      <c r="B280" s="269"/>
      <c r="C280" s="64" t="s">
        <v>109</v>
      </c>
      <c r="D280" s="67" t="s">
        <v>431</v>
      </c>
      <c r="E280" s="67" t="s">
        <v>81</v>
      </c>
      <c r="F280" s="270" t="s">
        <v>477</v>
      </c>
      <c r="G280" s="79">
        <v>90171</v>
      </c>
      <c r="H280" s="73"/>
      <c r="I280" s="73">
        <f t="shared" si="7"/>
        <v>0</v>
      </c>
      <c r="J280" s="242">
        <f>SUM('ведомствен.2016-2014'!G574)</f>
        <v>90171</v>
      </c>
      <c r="K280" s="242">
        <f>SUM('ведомствен.2016-2014'!H574)</f>
        <v>90171</v>
      </c>
      <c r="L280" s="242">
        <f t="shared" si="8"/>
        <v>0</v>
      </c>
      <c r="M280" s="79">
        <v>90171</v>
      </c>
      <c r="N280" s="221">
        <f t="shared" si="9"/>
        <v>0</v>
      </c>
    </row>
    <row r="281" spans="1:14" s="18" customFormat="1" ht="28.5">
      <c r="A281" s="231" t="s">
        <v>47</v>
      </c>
      <c r="B281" s="269"/>
      <c r="C281" s="64" t="s">
        <v>109</v>
      </c>
      <c r="D281" s="67" t="s">
        <v>431</v>
      </c>
      <c r="E281" s="67" t="s">
        <v>326</v>
      </c>
      <c r="F281" s="270"/>
      <c r="G281" s="79">
        <f>SUM(G282+G283+G284)</f>
        <v>86073.2</v>
      </c>
      <c r="H281" s="73" t="e">
        <f>SUM(H284)+H286+H282</f>
        <v>#REF!</v>
      </c>
      <c r="I281" s="73" t="e">
        <f t="shared" si="7"/>
        <v>#REF!</v>
      </c>
      <c r="J281" s="245"/>
      <c r="K281" s="245"/>
      <c r="L281" s="242"/>
      <c r="M281" s="79">
        <f>SUM(M282+M283+M284)</f>
        <v>95612.40000000001</v>
      </c>
      <c r="N281" s="221">
        <f t="shared" si="9"/>
        <v>95612.40000000001</v>
      </c>
    </row>
    <row r="282" spans="1:14" s="18" customFormat="1" ht="42.75">
      <c r="A282" s="231" t="s">
        <v>461</v>
      </c>
      <c r="B282" s="269"/>
      <c r="C282" s="64" t="s">
        <v>109</v>
      </c>
      <c r="D282" s="67" t="s">
        <v>431</v>
      </c>
      <c r="E282" s="67" t="s">
        <v>326</v>
      </c>
      <c r="F282" s="270" t="s">
        <v>462</v>
      </c>
      <c r="G282" s="79">
        <v>34441.3</v>
      </c>
      <c r="H282" s="73">
        <f>SUM(H283)</f>
        <v>0</v>
      </c>
      <c r="I282" s="73">
        <f t="shared" si="7"/>
        <v>0</v>
      </c>
      <c r="J282" s="242">
        <f>SUM('ведомствен.2016-2014'!G576)</f>
        <v>34441.3</v>
      </c>
      <c r="K282" s="242">
        <f>SUM('ведомствен.2016-2014'!H576)</f>
        <v>34441.3</v>
      </c>
      <c r="L282" s="242">
        <f t="shared" si="8"/>
        <v>0</v>
      </c>
      <c r="M282" s="79">
        <v>34441.3</v>
      </c>
      <c r="N282" s="221">
        <f t="shared" si="9"/>
        <v>0</v>
      </c>
    </row>
    <row r="283" spans="1:14" s="18" customFormat="1" ht="15">
      <c r="A283" s="231" t="s">
        <v>463</v>
      </c>
      <c r="B283" s="269"/>
      <c r="C283" s="64" t="s">
        <v>109</v>
      </c>
      <c r="D283" s="67" t="s">
        <v>431</v>
      </c>
      <c r="E283" s="67" t="s">
        <v>326</v>
      </c>
      <c r="F283" s="270" t="s">
        <v>112</v>
      </c>
      <c r="G283" s="79">
        <v>38506.2</v>
      </c>
      <c r="H283" s="73"/>
      <c r="I283" s="73">
        <f t="shared" si="7"/>
        <v>0</v>
      </c>
      <c r="J283" s="242">
        <f>SUM('ведомствен.2016-2014'!G577)</f>
        <v>38506.2</v>
      </c>
      <c r="K283" s="242">
        <f>SUM('ведомствен.2016-2014'!H577)</f>
        <v>48045.4</v>
      </c>
      <c r="L283" s="242">
        <f t="shared" si="8"/>
        <v>0</v>
      </c>
      <c r="M283" s="79">
        <v>48045.4</v>
      </c>
      <c r="N283" s="221">
        <f t="shared" si="9"/>
        <v>0</v>
      </c>
    </row>
    <row r="284" spans="1:14" s="18" customFormat="1" ht="14.25">
      <c r="A284" s="231" t="s">
        <v>467</v>
      </c>
      <c r="B284" s="304"/>
      <c r="C284" s="64" t="s">
        <v>109</v>
      </c>
      <c r="D284" s="67" t="s">
        <v>431</v>
      </c>
      <c r="E284" s="67" t="s">
        <v>326</v>
      </c>
      <c r="F284" s="305">
        <v>800</v>
      </c>
      <c r="G284" s="79">
        <v>13125.7</v>
      </c>
      <c r="H284" s="73" t="e">
        <f>SUM(#REF!+#REF!)</f>
        <v>#REF!</v>
      </c>
      <c r="I284" s="73" t="e">
        <f t="shared" si="7"/>
        <v>#REF!</v>
      </c>
      <c r="J284" s="242">
        <f>SUM('ведомствен.2016-2014'!G578)</f>
        <v>13125.7</v>
      </c>
      <c r="K284" s="242">
        <f>SUM('ведомствен.2016-2014'!H578)</f>
        <v>13125.7</v>
      </c>
      <c r="L284" s="242">
        <f t="shared" si="8"/>
        <v>0</v>
      </c>
      <c r="M284" s="79">
        <v>13125.7</v>
      </c>
      <c r="N284" s="221">
        <f t="shared" si="9"/>
        <v>0</v>
      </c>
    </row>
    <row r="285" spans="1:14" s="18" customFormat="1" ht="14.25">
      <c r="A285" s="231" t="s">
        <v>583</v>
      </c>
      <c r="B285" s="271"/>
      <c r="C285" s="64" t="s">
        <v>109</v>
      </c>
      <c r="D285" s="67" t="s">
        <v>431</v>
      </c>
      <c r="E285" s="67" t="s">
        <v>306</v>
      </c>
      <c r="F285" s="270"/>
      <c r="G285" s="79">
        <f>SUM(G286)</f>
        <v>173737.8</v>
      </c>
      <c r="H285" s="73" t="e">
        <f>SUM('[1]Ведомств.'!G180)</f>
        <v>#REF!</v>
      </c>
      <c r="I285" s="73" t="e">
        <f t="shared" si="7"/>
        <v>#REF!</v>
      </c>
      <c r="J285" s="245"/>
      <c r="K285" s="245"/>
      <c r="L285" s="242"/>
      <c r="M285" s="79">
        <f>SUM(M286)</f>
        <v>173737.8</v>
      </c>
      <c r="N285" s="221">
        <f t="shared" si="9"/>
        <v>173737.8</v>
      </c>
    </row>
    <row r="286" spans="1:14" s="18" customFormat="1" ht="28.5">
      <c r="A286" s="231" t="s">
        <v>570</v>
      </c>
      <c r="B286" s="269"/>
      <c r="C286" s="64" t="s">
        <v>109</v>
      </c>
      <c r="D286" s="67" t="s">
        <v>431</v>
      </c>
      <c r="E286" s="67" t="s">
        <v>71</v>
      </c>
      <c r="F286" s="270"/>
      <c r="G286" s="79">
        <f>SUM(G289)</f>
        <v>173737.8</v>
      </c>
      <c r="H286" s="73">
        <f>SUM(H287)+H289</f>
        <v>0</v>
      </c>
      <c r="I286" s="73">
        <f t="shared" si="7"/>
        <v>0</v>
      </c>
      <c r="J286" s="245"/>
      <c r="K286" s="245"/>
      <c r="L286" s="242"/>
      <c r="M286" s="79">
        <f>SUM(M289)</f>
        <v>173737.8</v>
      </c>
      <c r="N286" s="221">
        <f t="shared" si="9"/>
        <v>173737.8</v>
      </c>
    </row>
    <row r="287" spans="1:14" s="18" customFormat="1" ht="57" hidden="1">
      <c r="A287" s="231" t="s">
        <v>194</v>
      </c>
      <c r="B287" s="269"/>
      <c r="C287" s="64" t="s">
        <v>109</v>
      </c>
      <c r="D287" s="67" t="s">
        <v>431</v>
      </c>
      <c r="E287" s="67" t="s">
        <v>195</v>
      </c>
      <c r="F287" s="270"/>
      <c r="G287" s="79">
        <f>SUM(G288)</f>
        <v>0</v>
      </c>
      <c r="H287" s="73">
        <f>SUM(H288)</f>
        <v>0</v>
      </c>
      <c r="I287" s="73" t="e">
        <f t="shared" si="7"/>
        <v>#DIV/0!</v>
      </c>
      <c r="J287" s="245"/>
      <c r="K287" s="245"/>
      <c r="L287" s="242"/>
      <c r="M287" s="79">
        <f>SUM(M288)</f>
        <v>0</v>
      </c>
      <c r="N287" s="221">
        <f t="shared" si="9"/>
        <v>0</v>
      </c>
    </row>
    <row r="288" spans="1:14" s="18" customFormat="1" ht="28.5" hidden="1">
      <c r="A288" s="231" t="s">
        <v>151</v>
      </c>
      <c r="B288" s="269"/>
      <c r="C288" s="64" t="s">
        <v>109</v>
      </c>
      <c r="D288" s="67" t="s">
        <v>431</v>
      </c>
      <c r="E288" s="67" t="s">
        <v>195</v>
      </c>
      <c r="F288" s="270" t="s">
        <v>76</v>
      </c>
      <c r="G288" s="79"/>
      <c r="H288" s="73"/>
      <c r="I288" s="73" t="e">
        <f t="shared" si="7"/>
        <v>#DIV/0!</v>
      </c>
      <c r="J288" s="245"/>
      <c r="K288" s="245"/>
      <c r="L288" s="242"/>
      <c r="M288" s="79"/>
      <c r="N288" s="221">
        <f t="shared" si="9"/>
        <v>0</v>
      </c>
    </row>
    <row r="289" spans="1:14" s="18" customFormat="1" ht="28.5">
      <c r="A289" s="231" t="s">
        <v>86</v>
      </c>
      <c r="B289" s="269"/>
      <c r="C289" s="64" t="s">
        <v>109</v>
      </c>
      <c r="D289" s="67" t="s">
        <v>431</v>
      </c>
      <c r="E289" s="67" t="s">
        <v>72</v>
      </c>
      <c r="F289" s="270"/>
      <c r="G289" s="79">
        <f>SUM(G290)</f>
        <v>173737.8</v>
      </c>
      <c r="H289" s="73">
        <f>SUM(H290)</f>
        <v>0</v>
      </c>
      <c r="I289" s="73">
        <f t="shared" si="7"/>
        <v>0</v>
      </c>
      <c r="J289" s="245"/>
      <c r="K289" s="245"/>
      <c r="L289" s="242"/>
      <c r="M289" s="79">
        <f>SUM(M290)</f>
        <v>173737.8</v>
      </c>
      <c r="N289" s="221">
        <f t="shared" si="9"/>
        <v>173737.8</v>
      </c>
    </row>
    <row r="290" spans="1:14" s="18" customFormat="1" ht="28.5">
      <c r="A290" s="231" t="s">
        <v>480</v>
      </c>
      <c r="B290" s="269"/>
      <c r="C290" s="64" t="s">
        <v>109</v>
      </c>
      <c r="D290" s="67" t="s">
        <v>431</v>
      </c>
      <c r="E290" s="67" t="s">
        <v>72</v>
      </c>
      <c r="F290" s="270" t="s">
        <v>477</v>
      </c>
      <c r="G290" s="79">
        <v>173737.8</v>
      </c>
      <c r="H290" s="73"/>
      <c r="I290" s="73">
        <f t="shared" si="7"/>
        <v>0</v>
      </c>
      <c r="J290" s="245">
        <f>SUM('ведомствен.2016-2014'!G507+'ведомствен.2016-2014'!G584+'ведомствен.2016-2014'!G646)</f>
        <v>173737.8</v>
      </c>
      <c r="K290" s="245">
        <f>SUM('ведомствен.2016-2014'!H507+'ведомствен.2016-2014'!H584+'ведомствен.2016-2014'!H646)</f>
        <v>173737.8</v>
      </c>
      <c r="L290" s="242">
        <f t="shared" si="8"/>
        <v>0</v>
      </c>
      <c r="M290" s="79">
        <v>173737.8</v>
      </c>
      <c r="N290" s="221">
        <f t="shared" si="9"/>
        <v>0</v>
      </c>
    </row>
    <row r="291" spans="1:14" s="18" customFormat="1" ht="14.25">
      <c r="A291" s="231" t="s">
        <v>314</v>
      </c>
      <c r="B291" s="271"/>
      <c r="C291" s="64" t="s">
        <v>109</v>
      </c>
      <c r="D291" s="67" t="s">
        <v>431</v>
      </c>
      <c r="E291" s="67" t="s">
        <v>315</v>
      </c>
      <c r="F291" s="270"/>
      <c r="G291" s="79">
        <f>SUM(G292)</f>
        <v>6876.1</v>
      </c>
      <c r="H291" s="73" t="e">
        <f>SUM(#REF!+#REF!)+#REF!</f>
        <v>#REF!</v>
      </c>
      <c r="I291" s="73" t="e">
        <f t="shared" si="7"/>
        <v>#REF!</v>
      </c>
      <c r="J291" s="245"/>
      <c r="K291" s="245"/>
      <c r="L291" s="242"/>
      <c r="M291" s="79">
        <f>SUM(M292)</f>
        <v>6876.000000000001</v>
      </c>
      <c r="N291" s="221">
        <f t="shared" si="9"/>
        <v>6876.000000000001</v>
      </c>
    </row>
    <row r="292" spans="1:14" s="18" customFormat="1" ht="28.5">
      <c r="A292" s="231" t="s">
        <v>47</v>
      </c>
      <c r="B292" s="269"/>
      <c r="C292" s="64" t="s">
        <v>109</v>
      </c>
      <c r="D292" s="67" t="s">
        <v>431</v>
      </c>
      <c r="E292" s="67" t="s">
        <v>316</v>
      </c>
      <c r="F292" s="270"/>
      <c r="G292" s="79">
        <f>SUM(G293+G294+G295)</f>
        <v>6876.1</v>
      </c>
      <c r="H292" s="73" t="e">
        <f>SUM('[1]Ведомств.'!G188)</f>
        <v>#REF!</v>
      </c>
      <c r="I292" s="73" t="e">
        <f t="shared" si="7"/>
        <v>#REF!</v>
      </c>
      <c r="J292" s="245"/>
      <c r="K292" s="245"/>
      <c r="L292" s="242"/>
      <c r="M292" s="79">
        <f>SUM(M293+M294+M295)</f>
        <v>6876.000000000001</v>
      </c>
      <c r="N292" s="221">
        <f t="shared" si="9"/>
        <v>6876.000000000001</v>
      </c>
    </row>
    <row r="293" spans="1:14" s="18" customFormat="1" ht="42.75">
      <c r="A293" s="231" t="s">
        <v>461</v>
      </c>
      <c r="B293" s="269"/>
      <c r="C293" s="64" t="s">
        <v>109</v>
      </c>
      <c r="D293" s="67" t="s">
        <v>431</v>
      </c>
      <c r="E293" s="67" t="s">
        <v>258</v>
      </c>
      <c r="F293" s="270" t="s">
        <v>462</v>
      </c>
      <c r="G293" s="79">
        <v>2688.4</v>
      </c>
      <c r="H293" s="73"/>
      <c r="I293" s="73">
        <f t="shared" si="7"/>
        <v>0</v>
      </c>
      <c r="J293" s="245">
        <f>SUM('ведомствен.2016-2014'!G587)</f>
        <v>2688.4</v>
      </c>
      <c r="K293" s="245">
        <f>SUM('ведомствен.2016-2014'!H587)</f>
        <v>2688.4</v>
      </c>
      <c r="L293" s="242">
        <f t="shared" si="8"/>
        <v>0</v>
      </c>
      <c r="M293" s="79">
        <v>2688.4</v>
      </c>
      <c r="N293" s="221">
        <f t="shared" si="9"/>
        <v>0</v>
      </c>
    </row>
    <row r="294" spans="1:14" s="18" customFormat="1" ht="15">
      <c r="A294" s="231" t="s">
        <v>463</v>
      </c>
      <c r="B294" s="269"/>
      <c r="C294" s="64" t="s">
        <v>109</v>
      </c>
      <c r="D294" s="67" t="s">
        <v>431</v>
      </c>
      <c r="E294" s="67" t="s">
        <v>258</v>
      </c>
      <c r="F294" s="270" t="s">
        <v>112</v>
      </c>
      <c r="G294" s="79">
        <v>3004.9</v>
      </c>
      <c r="H294" s="73">
        <f>SUM(H295)</f>
        <v>167.7</v>
      </c>
      <c r="I294" s="73">
        <f t="shared" si="7"/>
        <v>5.580884555226462</v>
      </c>
      <c r="J294" s="245">
        <f>SUM('ведомствен.2016-2014'!G588)</f>
        <v>3004.9</v>
      </c>
      <c r="K294" s="245">
        <f>SUM('ведомствен.2016-2014'!H588)</f>
        <v>3004.8</v>
      </c>
      <c r="L294" s="242">
        <f t="shared" si="8"/>
        <v>0</v>
      </c>
      <c r="M294" s="79">
        <v>3004.8</v>
      </c>
      <c r="N294" s="221">
        <f t="shared" si="9"/>
        <v>0</v>
      </c>
    </row>
    <row r="295" spans="1:14" s="18" customFormat="1" ht="15">
      <c r="A295" s="231" t="s">
        <v>467</v>
      </c>
      <c r="B295" s="269"/>
      <c r="C295" s="64" t="s">
        <v>109</v>
      </c>
      <c r="D295" s="67" t="s">
        <v>431</v>
      </c>
      <c r="E295" s="67" t="s">
        <v>258</v>
      </c>
      <c r="F295" s="270" t="s">
        <v>161</v>
      </c>
      <c r="G295" s="79">
        <v>1182.8</v>
      </c>
      <c r="H295" s="73">
        <v>167.7</v>
      </c>
      <c r="I295" s="73">
        <f t="shared" si="7"/>
        <v>14.178221170104836</v>
      </c>
      <c r="J295" s="245">
        <f>SUM('ведомствен.2016-2014'!G589)</f>
        <v>1182.8</v>
      </c>
      <c r="K295" s="245">
        <f>SUM('ведомствен.2016-2014'!H589)</f>
        <v>1182.8</v>
      </c>
      <c r="L295" s="242">
        <f t="shared" si="8"/>
        <v>0</v>
      </c>
      <c r="M295" s="79">
        <v>1182.8</v>
      </c>
      <c r="N295" s="221">
        <f t="shared" si="9"/>
        <v>0</v>
      </c>
    </row>
    <row r="296" spans="1:14" s="18" customFormat="1" ht="28.5">
      <c r="A296" s="272" t="s">
        <v>643</v>
      </c>
      <c r="B296" s="273"/>
      <c r="C296" s="67" t="s">
        <v>109</v>
      </c>
      <c r="D296" s="67" t="s">
        <v>431</v>
      </c>
      <c r="E296" s="274" t="s">
        <v>644</v>
      </c>
      <c r="F296" s="279"/>
      <c r="G296" s="246">
        <f>G297+G303+G309</f>
        <v>645626.1000000001</v>
      </c>
      <c r="H296" s="73"/>
      <c r="I296" s="73"/>
      <c r="J296" s="245"/>
      <c r="K296" s="245"/>
      <c r="L296" s="242"/>
      <c r="M296" s="217">
        <f>M297+M303+M309</f>
        <v>645626.1000000001</v>
      </c>
      <c r="N296" s="221">
        <f t="shared" si="9"/>
        <v>645626.1000000001</v>
      </c>
    </row>
    <row r="297" spans="1:14" s="18" customFormat="1" ht="114">
      <c r="A297" s="272" t="s">
        <v>645</v>
      </c>
      <c r="B297" s="228"/>
      <c r="C297" s="97" t="s">
        <v>109</v>
      </c>
      <c r="D297" s="97" t="s">
        <v>431</v>
      </c>
      <c r="E297" s="276" t="s">
        <v>646</v>
      </c>
      <c r="F297" s="187"/>
      <c r="G297" s="246">
        <f>SUM(G298+G300)</f>
        <v>52910.700000000004</v>
      </c>
      <c r="H297" s="73"/>
      <c r="I297" s="73"/>
      <c r="J297" s="245"/>
      <c r="K297" s="245"/>
      <c r="L297" s="242"/>
      <c r="M297" s="217">
        <f>SUM(M298+M300)</f>
        <v>52910.700000000004</v>
      </c>
      <c r="N297" s="221">
        <f t="shared" si="9"/>
        <v>52910.700000000004</v>
      </c>
    </row>
    <row r="298" spans="1:14" s="18" customFormat="1" ht="42.75">
      <c r="A298" s="272" t="s">
        <v>647</v>
      </c>
      <c r="B298" s="228"/>
      <c r="C298" s="97" t="s">
        <v>109</v>
      </c>
      <c r="D298" s="97" t="s">
        <v>431</v>
      </c>
      <c r="E298" s="276" t="s">
        <v>648</v>
      </c>
      <c r="F298" s="187"/>
      <c r="G298" s="246">
        <f>G299</f>
        <v>6181.3</v>
      </c>
      <c r="H298" s="73"/>
      <c r="I298" s="73"/>
      <c r="J298" s="245"/>
      <c r="K298" s="245"/>
      <c r="L298" s="242"/>
      <c r="M298" s="217">
        <f>M299</f>
        <v>6181.3</v>
      </c>
      <c r="N298" s="221">
        <f t="shared" si="9"/>
        <v>6181.3</v>
      </c>
    </row>
    <row r="299" spans="1:14" s="18" customFormat="1" ht="28.5">
      <c r="A299" s="229" t="s">
        <v>480</v>
      </c>
      <c r="B299" s="228"/>
      <c r="C299" s="97" t="s">
        <v>109</v>
      </c>
      <c r="D299" s="97" t="s">
        <v>431</v>
      </c>
      <c r="E299" s="276" t="s">
        <v>648</v>
      </c>
      <c r="F299" s="187" t="s">
        <v>477</v>
      </c>
      <c r="G299" s="246">
        <v>6181.3</v>
      </c>
      <c r="H299" s="73"/>
      <c r="I299" s="73"/>
      <c r="J299" s="245">
        <f>SUM('ведомствен.2016-2014'!G593)</f>
        <v>6181.3</v>
      </c>
      <c r="K299" s="245">
        <f>SUM('ведомствен.2016-2014'!H593)</f>
        <v>6181.3</v>
      </c>
      <c r="L299" s="242">
        <f>SUM(G299-J299)</f>
        <v>0</v>
      </c>
      <c r="M299" s="217">
        <v>6181.3</v>
      </c>
      <c r="N299" s="221">
        <f t="shared" si="9"/>
        <v>0</v>
      </c>
    </row>
    <row r="300" spans="1:14" s="18" customFormat="1" ht="85.5">
      <c r="A300" s="272" t="s">
        <v>649</v>
      </c>
      <c r="B300" s="228"/>
      <c r="C300" s="97" t="s">
        <v>109</v>
      </c>
      <c r="D300" s="97" t="s">
        <v>431</v>
      </c>
      <c r="E300" s="276" t="s">
        <v>650</v>
      </c>
      <c r="F300" s="187"/>
      <c r="G300" s="246">
        <f>G301+G302</f>
        <v>46729.4</v>
      </c>
      <c r="H300" s="73"/>
      <c r="I300" s="73"/>
      <c r="J300" s="245"/>
      <c r="K300" s="245"/>
      <c r="L300" s="242"/>
      <c r="M300" s="217">
        <f>M301+M302</f>
        <v>46729.4</v>
      </c>
      <c r="N300" s="221">
        <f t="shared" si="9"/>
        <v>46729.4</v>
      </c>
    </row>
    <row r="301" spans="1:14" s="18" customFormat="1" ht="42.75">
      <c r="A301" s="229" t="s">
        <v>461</v>
      </c>
      <c r="B301" s="273"/>
      <c r="C301" s="97" t="s">
        <v>109</v>
      </c>
      <c r="D301" s="97" t="s">
        <v>431</v>
      </c>
      <c r="E301" s="276" t="s">
        <v>650</v>
      </c>
      <c r="F301" s="187" t="s">
        <v>462</v>
      </c>
      <c r="G301" s="246">
        <v>42416.4</v>
      </c>
      <c r="H301" s="73"/>
      <c r="I301" s="73"/>
      <c r="J301" s="245">
        <f>SUM('ведомствен.2016-2014'!G595)</f>
        <v>42416.4</v>
      </c>
      <c r="K301" s="245">
        <f>SUM('ведомствен.2016-2014'!H595)</f>
        <v>42416.4</v>
      </c>
      <c r="L301" s="242">
        <f>SUM(G301-J301)</f>
        <v>0</v>
      </c>
      <c r="M301" s="217">
        <v>42416.4</v>
      </c>
      <c r="N301" s="221">
        <f t="shared" si="9"/>
        <v>0</v>
      </c>
    </row>
    <row r="302" spans="1:14" s="18" customFormat="1" ht="15">
      <c r="A302" s="229" t="s">
        <v>463</v>
      </c>
      <c r="B302" s="273"/>
      <c r="C302" s="97" t="s">
        <v>109</v>
      </c>
      <c r="D302" s="97" t="s">
        <v>431</v>
      </c>
      <c r="E302" s="276" t="s">
        <v>650</v>
      </c>
      <c r="F302" s="187" t="s">
        <v>112</v>
      </c>
      <c r="G302" s="246">
        <f>46729.4-42416.4</f>
        <v>4313</v>
      </c>
      <c r="H302" s="73"/>
      <c r="I302" s="73"/>
      <c r="J302" s="245">
        <f>SUM('ведомствен.2016-2014'!G596)</f>
        <v>4313</v>
      </c>
      <c r="K302" s="245">
        <f>SUM('ведомствен.2016-2014'!H596)</f>
        <v>4313</v>
      </c>
      <c r="L302" s="242">
        <f>SUM(G302-J302)</f>
        <v>0</v>
      </c>
      <c r="M302" s="217">
        <f>46729.4-42416.4</f>
        <v>4313</v>
      </c>
      <c r="N302" s="221">
        <f t="shared" si="9"/>
        <v>0</v>
      </c>
    </row>
    <row r="303" spans="1:14" s="18" customFormat="1" ht="28.5">
      <c r="A303" s="231" t="s">
        <v>570</v>
      </c>
      <c r="B303" s="273"/>
      <c r="C303" s="97" t="s">
        <v>109</v>
      </c>
      <c r="D303" s="97" t="s">
        <v>431</v>
      </c>
      <c r="E303" s="276" t="s">
        <v>651</v>
      </c>
      <c r="F303" s="187"/>
      <c r="G303" s="246">
        <f>SUM(G304+G306)</f>
        <v>305620.10000000003</v>
      </c>
      <c r="H303" s="73"/>
      <c r="I303" s="73"/>
      <c r="J303" s="245"/>
      <c r="K303" s="245"/>
      <c r="L303" s="242"/>
      <c r="M303" s="217">
        <f>SUM(M304+M306)</f>
        <v>305620.10000000003</v>
      </c>
      <c r="N303" s="221">
        <f t="shared" si="9"/>
        <v>305620.10000000003</v>
      </c>
    </row>
    <row r="304" spans="1:14" s="18" customFormat="1" ht="28.5">
      <c r="A304" s="231" t="s">
        <v>86</v>
      </c>
      <c r="B304" s="273"/>
      <c r="C304" s="97" t="s">
        <v>109</v>
      </c>
      <c r="D304" s="97" t="s">
        <v>431</v>
      </c>
      <c r="E304" s="276" t="s">
        <v>652</v>
      </c>
      <c r="F304" s="187"/>
      <c r="G304" s="246">
        <f>SUM(G305)</f>
        <v>302980.7</v>
      </c>
      <c r="H304" s="73"/>
      <c r="I304" s="73"/>
      <c r="J304" s="245"/>
      <c r="K304" s="245"/>
      <c r="L304" s="242"/>
      <c r="M304" s="217">
        <f>SUM(M305)</f>
        <v>302980.7</v>
      </c>
      <c r="N304" s="221">
        <f t="shared" si="9"/>
        <v>302980.7</v>
      </c>
    </row>
    <row r="305" spans="1:14" s="18" customFormat="1" ht="28.5">
      <c r="A305" s="229" t="s">
        <v>480</v>
      </c>
      <c r="B305" s="228"/>
      <c r="C305" s="97" t="s">
        <v>109</v>
      </c>
      <c r="D305" s="97" t="s">
        <v>431</v>
      </c>
      <c r="E305" s="276" t="s">
        <v>652</v>
      </c>
      <c r="F305" s="187" t="s">
        <v>477</v>
      </c>
      <c r="G305" s="246">
        <f>72508.4+233111.7-505.1-2134.3</f>
        <v>302980.7</v>
      </c>
      <c r="H305" s="73"/>
      <c r="I305" s="73"/>
      <c r="J305" s="245">
        <f>SUM('ведомствен.2016-2014'!G599)</f>
        <v>302980.7</v>
      </c>
      <c r="K305" s="245">
        <f>SUM('ведомствен.2016-2014'!H599)</f>
        <v>302980.7</v>
      </c>
      <c r="L305" s="242">
        <f>SUM(G305-J305)</f>
        <v>0</v>
      </c>
      <c r="M305" s="217">
        <f>72508.4+233111.7-505.1-2134.3</f>
        <v>302980.7</v>
      </c>
      <c r="N305" s="221">
        <f t="shared" si="9"/>
        <v>0</v>
      </c>
    </row>
    <row r="306" spans="1:14" s="18" customFormat="1" ht="28.5">
      <c r="A306" s="277" t="s">
        <v>151</v>
      </c>
      <c r="B306" s="228"/>
      <c r="C306" s="97" t="s">
        <v>109</v>
      </c>
      <c r="D306" s="97" t="s">
        <v>431</v>
      </c>
      <c r="E306" s="276" t="s">
        <v>653</v>
      </c>
      <c r="F306" s="187"/>
      <c r="G306" s="246">
        <f>SUM(G307)</f>
        <v>2639.4</v>
      </c>
      <c r="H306" s="73"/>
      <c r="I306" s="73"/>
      <c r="J306" s="245"/>
      <c r="K306" s="245"/>
      <c r="L306" s="242"/>
      <c r="M306" s="217">
        <f>SUM(M307)</f>
        <v>2639.4</v>
      </c>
      <c r="N306" s="221">
        <f t="shared" si="9"/>
        <v>2639.4</v>
      </c>
    </row>
    <row r="307" spans="1:14" s="18" customFormat="1" ht="28.5">
      <c r="A307" s="229" t="s">
        <v>384</v>
      </c>
      <c r="B307" s="228"/>
      <c r="C307" s="97" t="s">
        <v>109</v>
      </c>
      <c r="D307" s="97" t="s">
        <v>431</v>
      </c>
      <c r="E307" s="276" t="s">
        <v>654</v>
      </c>
      <c r="F307" s="187"/>
      <c r="G307" s="246">
        <f>SUM(G308)</f>
        <v>2639.4</v>
      </c>
      <c r="H307" s="73"/>
      <c r="I307" s="73"/>
      <c r="J307" s="245"/>
      <c r="K307" s="245"/>
      <c r="L307" s="242"/>
      <c r="M307" s="217">
        <f>SUM(M308)</f>
        <v>2639.4</v>
      </c>
      <c r="N307" s="221">
        <f t="shared" si="9"/>
        <v>2639.4</v>
      </c>
    </row>
    <row r="308" spans="1:14" s="18" customFormat="1" ht="28.5">
      <c r="A308" s="229" t="s">
        <v>484</v>
      </c>
      <c r="B308" s="273"/>
      <c r="C308" s="97" t="s">
        <v>109</v>
      </c>
      <c r="D308" s="97" t="s">
        <v>431</v>
      </c>
      <c r="E308" s="276" t="s">
        <v>654</v>
      </c>
      <c r="F308" s="187" t="s">
        <v>477</v>
      </c>
      <c r="G308" s="246">
        <f>505.1+2134.3</f>
        <v>2639.4</v>
      </c>
      <c r="H308" s="73"/>
      <c r="I308" s="73"/>
      <c r="J308" s="245">
        <f>SUM('ведомствен.2016-2014'!G602)</f>
        <v>2639.4</v>
      </c>
      <c r="K308" s="245">
        <f>SUM('ведомствен.2016-2014'!H602)</f>
        <v>2639.4</v>
      </c>
      <c r="L308" s="242">
        <f>SUM(G308-J308)</f>
        <v>0</v>
      </c>
      <c r="M308" s="217">
        <f>505.1+2134.3</f>
        <v>2639.4</v>
      </c>
      <c r="N308" s="221">
        <f t="shared" si="9"/>
        <v>0</v>
      </c>
    </row>
    <row r="309" spans="1:14" s="18" customFormat="1" ht="71.25">
      <c r="A309" s="272" t="s">
        <v>655</v>
      </c>
      <c r="B309" s="228"/>
      <c r="C309" s="97" t="s">
        <v>109</v>
      </c>
      <c r="D309" s="97" t="s">
        <v>431</v>
      </c>
      <c r="E309" s="276" t="s">
        <v>656</v>
      </c>
      <c r="F309" s="187"/>
      <c r="G309" s="246">
        <f>SUM(G310:G311)</f>
        <v>287095.3</v>
      </c>
      <c r="H309" s="73"/>
      <c r="I309" s="73"/>
      <c r="J309" s="245"/>
      <c r="K309" s="245"/>
      <c r="L309" s="242"/>
      <c r="M309" s="217">
        <f>SUM(M310:M311)</f>
        <v>287095.3</v>
      </c>
      <c r="N309" s="221">
        <f t="shared" si="9"/>
        <v>287095.3</v>
      </c>
    </row>
    <row r="310" spans="1:14" s="18" customFormat="1" ht="42.75">
      <c r="A310" s="229" t="s">
        <v>461</v>
      </c>
      <c r="B310" s="228"/>
      <c r="C310" s="97" t="s">
        <v>109</v>
      </c>
      <c r="D310" s="97" t="s">
        <v>431</v>
      </c>
      <c r="E310" s="276" t="s">
        <v>656</v>
      </c>
      <c r="F310" s="187" t="s">
        <v>462</v>
      </c>
      <c r="G310" s="246">
        <v>283572.6</v>
      </c>
      <c r="H310" s="73"/>
      <c r="I310" s="73"/>
      <c r="J310" s="245">
        <f>SUM('ведомствен.2016-2014'!G604)</f>
        <v>283572.6</v>
      </c>
      <c r="K310" s="245">
        <f>SUM('ведомствен.2016-2014'!H604)</f>
        <v>283572.6</v>
      </c>
      <c r="L310" s="242">
        <f>SUM(G310-J310)</f>
        <v>0</v>
      </c>
      <c r="M310" s="217">
        <v>283572.6</v>
      </c>
      <c r="N310" s="221">
        <f t="shared" si="9"/>
        <v>0</v>
      </c>
    </row>
    <row r="311" spans="1:14" s="18" customFormat="1" ht="14.25">
      <c r="A311" s="229" t="s">
        <v>463</v>
      </c>
      <c r="B311" s="228"/>
      <c r="C311" s="97" t="s">
        <v>109</v>
      </c>
      <c r="D311" s="97" t="s">
        <v>431</v>
      </c>
      <c r="E311" s="276" t="s">
        <v>656</v>
      </c>
      <c r="F311" s="187" t="s">
        <v>112</v>
      </c>
      <c r="G311" s="246">
        <f>287095.3-283572.6</f>
        <v>3522.7000000000116</v>
      </c>
      <c r="H311" s="73"/>
      <c r="I311" s="73"/>
      <c r="J311" s="245">
        <f>SUM('ведомствен.2016-2014'!G605)</f>
        <v>3522.7000000000116</v>
      </c>
      <c r="K311" s="245">
        <f>SUM('ведомствен.2016-2014'!H605)</f>
        <v>3522.7000000000116</v>
      </c>
      <c r="L311" s="242">
        <f>SUM(G311-J311)</f>
        <v>0</v>
      </c>
      <c r="M311" s="217">
        <f>287095.3-283572.6</f>
        <v>3522.7000000000116</v>
      </c>
      <c r="N311" s="221">
        <f t="shared" si="9"/>
        <v>0</v>
      </c>
    </row>
    <row r="312" spans="1:14" s="15" customFormat="1" ht="28.5">
      <c r="A312" s="232" t="s">
        <v>601</v>
      </c>
      <c r="B312" s="224"/>
      <c r="C312" s="97" t="s">
        <v>109</v>
      </c>
      <c r="D312" s="97" t="s">
        <v>431</v>
      </c>
      <c r="E312" s="97" t="s">
        <v>602</v>
      </c>
      <c r="F312" s="237"/>
      <c r="G312" s="73">
        <f>SUM(G313)</f>
        <v>62042</v>
      </c>
      <c r="H312" s="75" t="e">
        <f>SUM(H313)</f>
        <v>#REF!</v>
      </c>
      <c r="I312" s="73"/>
      <c r="J312" s="245"/>
      <c r="K312" s="245"/>
      <c r="L312" s="242"/>
      <c r="M312" s="75">
        <f>SUM(M313)</f>
        <v>62505</v>
      </c>
      <c r="N312" s="221">
        <f t="shared" si="9"/>
        <v>62505</v>
      </c>
    </row>
    <row r="313" spans="1:14" s="15" customFormat="1" ht="28.5">
      <c r="A313" s="232" t="s">
        <v>47</v>
      </c>
      <c r="B313" s="224"/>
      <c r="C313" s="97" t="s">
        <v>109</v>
      </c>
      <c r="D313" s="97" t="s">
        <v>431</v>
      </c>
      <c r="E313" s="97" t="s">
        <v>603</v>
      </c>
      <c r="F313" s="237"/>
      <c r="G313" s="73">
        <f>SUM(G314)</f>
        <v>62042</v>
      </c>
      <c r="H313" s="75" t="e">
        <f>SUM(#REF!+H315+H314)</f>
        <v>#REF!</v>
      </c>
      <c r="I313" s="73"/>
      <c r="J313" s="245"/>
      <c r="K313" s="245"/>
      <c r="L313" s="242"/>
      <c r="M313" s="75">
        <f>SUM(M314)</f>
        <v>62505</v>
      </c>
      <c r="N313" s="221">
        <f t="shared" si="9"/>
        <v>62505</v>
      </c>
    </row>
    <row r="314" spans="1:14" s="15" customFormat="1" ht="71.25">
      <c r="A314" s="232" t="s">
        <v>437</v>
      </c>
      <c r="B314" s="224"/>
      <c r="C314" s="97" t="s">
        <v>109</v>
      </c>
      <c r="D314" s="97" t="s">
        <v>431</v>
      </c>
      <c r="E314" s="97" t="s">
        <v>604</v>
      </c>
      <c r="F314" s="237"/>
      <c r="G314" s="73">
        <f>SUM(G315:G316)</f>
        <v>62042</v>
      </c>
      <c r="H314" s="75">
        <f>SUM(H315:H316)</f>
        <v>62505</v>
      </c>
      <c r="I314" s="73"/>
      <c r="J314" s="245"/>
      <c r="K314" s="245"/>
      <c r="L314" s="242"/>
      <c r="M314" s="75">
        <f>SUM(M315:M316)</f>
        <v>62505</v>
      </c>
      <c r="N314" s="221">
        <f t="shared" si="9"/>
        <v>62505</v>
      </c>
    </row>
    <row r="315" spans="1:14" s="15" customFormat="1" ht="42.75">
      <c r="A315" s="232" t="s">
        <v>461</v>
      </c>
      <c r="B315" s="224"/>
      <c r="C315" s="97" t="s">
        <v>109</v>
      </c>
      <c r="D315" s="97" t="s">
        <v>431</v>
      </c>
      <c r="E315" s="97" t="s">
        <v>604</v>
      </c>
      <c r="F315" s="237" t="s">
        <v>462</v>
      </c>
      <c r="G315" s="73">
        <v>42660.2</v>
      </c>
      <c r="H315" s="75">
        <v>42660.2</v>
      </c>
      <c r="I315" s="73"/>
      <c r="J315" s="245">
        <f>SUM('ведомствен.2016-2014'!G345)</f>
        <v>42660.2</v>
      </c>
      <c r="K315" s="245">
        <f>SUM('ведомствен.2016-2014'!H345)</f>
        <v>42660.2</v>
      </c>
      <c r="L315" s="242"/>
      <c r="M315" s="75">
        <v>42660.2</v>
      </c>
      <c r="N315" s="221">
        <f t="shared" si="9"/>
        <v>0</v>
      </c>
    </row>
    <row r="316" spans="1:14" s="15" customFormat="1" ht="14.25">
      <c r="A316" s="232" t="s">
        <v>463</v>
      </c>
      <c r="B316" s="224"/>
      <c r="C316" s="97" t="s">
        <v>109</v>
      </c>
      <c r="D316" s="97" t="s">
        <v>431</v>
      </c>
      <c r="E316" s="97" t="s">
        <v>604</v>
      </c>
      <c r="F316" s="237" t="s">
        <v>112</v>
      </c>
      <c r="G316" s="73">
        <v>19381.8</v>
      </c>
      <c r="H316" s="75">
        <v>19844.8</v>
      </c>
      <c r="I316" s="73"/>
      <c r="J316" s="245">
        <f>SUM('ведомствен.2016-2014'!G346)</f>
        <v>19381.8</v>
      </c>
      <c r="K316" s="245">
        <f>SUM('ведомствен.2016-2014'!H346)</f>
        <v>19844.8</v>
      </c>
      <c r="L316" s="242"/>
      <c r="M316" s="75">
        <v>19844.8</v>
      </c>
      <c r="N316" s="221">
        <f t="shared" si="9"/>
        <v>0</v>
      </c>
    </row>
    <row r="317" spans="1:14" s="15" customFormat="1" ht="14.25">
      <c r="A317" s="231" t="s">
        <v>110</v>
      </c>
      <c r="B317" s="271"/>
      <c r="C317" s="64" t="s">
        <v>109</v>
      </c>
      <c r="D317" s="67" t="s">
        <v>109</v>
      </c>
      <c r="E317" s="67"/>
      <c r="F317" s="270"/>
      <c r="G317" s="79">
        <f>SUM(G322+G329+G318+G334)</f>
        <v>2414.5</v>
      </c>
      <c r="H317" s="73">
        <f>SUM(H318)</f>
        <v>9483.6</v>
      </c>
      <c r="I317" s="73">
        <f aca="true" t="shared" si="10" ref="I317:I388">SUM(H317/G317*100)</f>
        <v>392.77697245806587</v>
      </c>
      <c r="J317" s="245"/>
      <c r="K317" s="245"/>
      <c r="L317" s="242"/>
      <c r="M317" s="79">
        <f>SUM(M322+M329+M318+M334)</f>
        <v>2414.5</v>
      </c>
      <c r="N317" s="221">
        <f t="shared" si="9"/>
        <v>2414.5</v>
      </c>
    </row>
    <row r="318" spans="1:14" s="15" customFormat="1" ht="14.25" hidden="1">
      <c r="A318" s="231" t="s">
        <v>376</v>
      </c>
      <c r="B318" s="271"/>
      <c r="C318" s="64" t="s">
        <v>109</v>
      </c>
      <c r="D318" s="67" t="s">
        <v>109</v>
      </c>
      <c r="E318" s="67" t="s">
        <v>378</v>
      </c>
      <c r="F318" s="270"/>
      <c r="G318" s="79">
        <f>SUM(G319)</f>
        <v>0</v>
      </c>
      <c r="H318" s="73">
        <f>SUM(H319)</f>
        <v>9483.6</v>
      </c>
      <c r="I318" s="73" t="e">
        <f t="shared" si="10"/>
        <v>#DIV/0!</v>
      </c>
      <c r="J318" s="245"/>
      <c r="K318" s="245"/>
      <c r="L318" s="242"/>
      <c r="M318" s="79">
        <f>SUM(M319)</f>
        <v>0</v>
      </c>
      <c r="N318" s="221">
        <f t="shared" si="9"/>
        <v>0</v>
      </c>
    </row>
    <row r="319" spans="1:14" s="15" customFormat="1" ht="14.25" hidden="1">
      <c r="A319" s="231" t="s">
        <v>357</v>
      </c>
      <c r="B319" s="271"/>
      <c r="C319" s="64" t="s">
        <v>109</v>
      </c>
      <c r="D319" s="67" t="s">
        <v>109</v>
      </c>
      <c r="E319" s="67" t="s">
        <v>358</v>
      </c>
      <c r="F319" s="270"/>
      <c r="G319" s="79">
        <f>SUM(G320+G321)</f>
        <v>0</v>
      </c>
      <c r="H319" s="73">
        <v>9483.6</v>
      </c>
      <c r="I319" s="73" t="e">
        <f t="shared" si="10"/>
        <v>#DIV/0!</v>
      </c>
      <c r="J319" s="245"/>
      <c r="K319" s="245"/>
      <c r="L319" s="242"/>
      <c r="M319" s="79">
        <f>SUM(M320+M321)</f>
        <v>0</v>
      </c>
      <c r="N319" s="221">
        <f t="shared" si="9"/>
        <v>0</v>
      </c>
    </row>
    <row r="320" spans="1:14" s="15" customFormat="1" ht="14.25" hidden="1">
      <c r="A320" s="231" t="s">
        <v>239</v>
      </c>
      <c r="B320" s="271"/>
      <c r="C320" s="64" t="s">
        <v>109</v>
      </c>
      <c r="D320" s="67" t="s">
        <v>109</v>
      </c>
      <c r="E320" s="67" t="s">
        <v>358</v>
      </c>
      <c r="F320" s="270" t="s">
        <v>240</v>
      </c>
      <c r="G320" s="79"/>
      <c r="H320" s="73">
        <f>SUM(H321+H323+H325)</f>
        <v>15047</v>
      </c>
      <c r="I320" s="73" t="e">
        <f t="shared" si="10"/>
        <v>#DIV/0!</v>
      </c>
      <c r="J320" s="245"/>
      <c r="K320" s="245"/>
      <c r="L320" s="242"/>
      <c r="M320" s="79"/>
      <c r="N320" s="221">
        <f t="shared" si="9"/>
        <v>0</v>
      </c>
    </row>
    <row r="321" spans="1:14" s="15" customFormat="1" ht="14.25" hidden="1">
      <c r="A321" s="231" t="s">
        <v>207</v>
      </c>
      <c r="B321" s="271"/>
      <c r="C321" s="64" t="s">
        <v>109</v>
      </c>
      <c r="D321" s="67" t="s">
        <v>109</v>
      </c>
      <c r="E321" s="67" t="s">
        <v>358</v>
      </c>
      <c r="F321" s="270" t="s">
        <v>208</v>
      </c>
      <c r="G321" s="79"/>
      <c r="H321" s="73">
        <f>SUM(H322)</f>
        <v>0</v>
      </c>
      <c r="I321" s="73" t="e">
        <f t="shared" si="10"/>
        <v>#DIV/0!</v>
      </c>
      <c r="J321" s="245"/>
      <c r="K321" s="245"/>
      <c r="L321" s="242"/>
      <c r="M321" s="79"/>
      <c r="N321" s="221">
        <f t="shared" si="9"/>
        <v>0</v>
      </c>
    </row>
    <row r="322" spans="1:14" s="15" customFormat="1" ht="14.25">
      <c r="A322" s="231" t="s">
        <v>209</v>
      </c>
      <c r="B322" s="271"/>
      <c r="C322" s="64" t="s">
        <v>109</v>
      </c>
      <c r="D322" s="67" t="s">
        <v>109</v>
      </c>
      <c r="E322" s="67" t="s">
        <v>210</v>
      </c>
      <c r="F322" s="270"/>
      <c r="G322" s="79">
        <f>SUM(G325+G323)</f>
        <v>1914.5</v>
      </c>
      <c r="H322" s="73"/>
      <c r="I322" s="73">
        <f t="shared" si="10"/>
        <v>0</v>
      </c>
      <c r="J322" s="245"/>
      <c r="K322" s="245"/>
      <c r="L322" s="242"/>
      <c r="M322" s="79">
        <f>SUM(M325+M323)</f>
        <v>1914.5</v>
      </c>
      <c r="N322" s="221">
        <f t="shared" si="9"/>
        <v>1914.5</v>
      </c>
    </row>
    <row r="323" spans="1:14" s="15" customFormat="1" ht="28.5" hidden="1">
      <c r="A323" s="231" t="s">
        <v>249</v>
      </c>
      <c r="B323" s="271"/>
      <c r="C323" s="64" t="s">
        <v>109</v>
      </c>
      <c r="D323" s="67" t="s">
        <v>109</v>
      </c>
      <c r="E323" s="67" t="s">
        <v>196</v>
      </c>
      <c r="F323" s="270"/>
      <c r="G323" s="79"/>
      <c r="H323" s="73">
        <f>SUM(H324)</f>
        <v>0</v>
      </c>
      <c r="I323" s="73" t="e">
        <f t="shared" si="10"/>
        <v>#DIV/0!</v>
      </c>
      <c r="J323" s="245"/>
      <c r="K323" s="245"/>
      <c r="L323" s="242"/>
      <c r="M323" s="79"/>
      <c r="N323" s="221">
        <f t="shared" si="9"/>
        <v>0</v>
      </c>
    </row>
    <row r="324" spans="1:14" s="15" customFormat="1" ht="14.25" hidden="1">
      <c r="A324" s="231" t="s">
        <v>48</v>
      </c>
      <c r="B324" s="271"/>
      <c r="C324" s="64" t="s">
        <v>109</v>
      </c>
      <c r="D324" s="67" t="s">
        <v>109</v>
      </c>
      <c r="E324" s="67" t="s">
        <v>196</v>
      </c>
      <c r="F324" s="270"/>
      <c r="G324" s="79"/>
      <c r="H324" s="73"/>
      <c r="I324" s="73" t="e">
        <f t="shared" si="10"/>
        <v>#DIV/0!</v>
      </c>
      <c r="J324" s="245"/>
      <c r="K324" s="245"/>
      <c r="L324" s="242"/>
      <c r="M324" s="79"/>
      <c r="N324" s="221">
        <f aca="true" t="shared" si="11" ref="N324:N342">SUM(M324-K324)</f>
        <v>0</v>
      </c>
    </row>
    <row r="325" spans="1:14" s="15" customFormat="1" ht="28.5">
      <c r="A325" s="231" t="s">
        <v>47</v>
      </c>
      <c r="B325" s="271"/>
      <c r="C325" s="64" t="s">
        <v>109</v>
      </c>
      <c r="D325" s="67" t="s">
        <v>109</v>
      </c>
      <c r="E325" s="67" t="s">
        <v>213</v>
      </c>
      <c r="F325" s="270"/>
      <c r="G325" s="79">
        <f>SUM(G326+G327+G328)</f>
        <v>1914.5</v>
      </c>
      <c r="H325" s="73">
        <f>SUM(H326)+H327</f>
        <v>15047</v>
      </c>
      <c r="I325" s="73">
        <f t="shared" si="10"/>
        <v>785.9493340297728</v>
      </c>
      <c r="J325" s="245"/>
      <c r="K325" s="245"/>
      <c r="L325" s="242"/>
      <c r="M325" s="79">
        <f>SUM(M326+M327+M328)</f>
        <v>1914.5</v>
      </c>
      <c r="N325" s="221">
        <f t="shared" si="11"/>
        <v>1914.5</v>
      </c>
    </row>
    <row r="326" spans="1:14" s="15" customFormat="1" ht="42.75">
      <c r="A326" s="231" t="s">
        <v>461</v>
      </c>
      <c r="B326" s="271"/>
      <c r="C326" s="64" t="s">
        <v>109</v>
      </c>
      <c r="D326" s="67" t="s">
        <v>109</v>
      </c>
      <c r="E326" s="67" t="s">
        <v>213</v>
      </c>
      <c r="F326" s="270" t="s">
        <v>462</v>
      </c>
      <c r="G326" s="79">
        <v>1714.3</v>
      </c>
      <c r="H326" s="73">
        <f>878+4272.1+2990.6</f>
        <v>8140.700000000001</v>
      </c>
      <c r="I326" s="73">
        <f t="shared" si="10"/>
        <v>474.87020941492165</v>
      </c>
      <c r="J326" s="245">
        <f>SUM('ведомствен.2016-2014'!G615)</f>
        <v>1714.3</v>
      </c>
      <c r="K326" s="245">
        <f>SUM('ведомствен.2016-2014'!H615)</f>
        <v>1714.3</v>
      </c>
      <c r="L326" s="242">
        <f aca="true" t="shared" si="12" ref="L326:L377">SUM(G326-J326)</f>
        <v>0</v>
      </c>
      <c r="M326" s="79">
        <v>1714.3</v>
      </c>
      <c r="N326" s="221">
        <f t="shared" si="11"/>
        <v>0</v>
      </c>
    </row>
    <row r="327" spans="1:14" s="15" customFormat="1" ht="14.25">
      <c r="A327" s="231" t="s">
        <v>463</v>
      </c>
      <c r="B327" s="271"/>
      <c r="C327" s="64" t="s">
        <v>109</v>
      </c>
      <c r="D327" s="67" t="s">
        <v>109</v>
      </c>
      <c r="E327" s="67" t="s">
        <v>213</v>
      </c>
      <c r="F327" s="270" t="s">
        <v>112</v>
      </c>
      <c r="G327" s="79">
        <v>188.4</v>
      </c>
      <c r="H327" s="73">
        <v>6906.3</v>
      </c>
      <c r="I327" s="73">
        <f t="shared" si="10"/>
        <v>3665.764331210191</v>
      </c>
      <c r="J327" s="245">
        <f>SUM('ведомствен.2016-2014'!G616)</f>
        <v>188.4</v>
      </c>
      <c r="K327" s="245">
        <f>SUM('ведомствен.2016-2014'!H616)</f>
        <v>188.4</v>
      </c>
      <c r="L327" s="242">
        <f t="shared" si="12"/>
        <v>0</v>
      </c>
      <c r="M327" s="79">
        <v>188.4</v>
      </c>
      <c r="N327" s="221">
        <f t="shared" si="11"/>
        <v>0</v>
      </c>
    </row>
    <row r="328" spans="1:14" s="15" customFormat="1" ht="14.25">
      <c r="A328" s="231" t="s">
        <v>467</v>
      </c>
      <c r="B328" s="271"/>
      <c r="C328" s="64" t="s">
        <v>109</v>
      </c>
      <c r="D328" s="67" t="s">
        <v>109</v>
      </c>
      <c r="E328" s="67" t="s">
        <v>213</v>
      </c>
      <c r="F328" s="270" t="s">
        <v>161</v>
      </c>
      <c r="G328" s="79">
        <v>11.8</v>
      </c>
      <c r="H328" s="73">
        <f>SUM(H329)</f>
        <v>0</v>
      </c>
      <c r="I328" s="73">
        <f t="shared" si="10"/>
        <v>0</v>
      </c>
      <c r="J328" s="245">
        <f>SUM('ведомствен.2016-2014'!G617)</f>
        <v>11.8</v>
      </c>
      <c r="K328" s="245">
        <f>SUM('ведомствен.2016-2014'!H617)</f>
        <v>11.8</v>
      </c>
      <c r="L328" s="242">
        <f t="shared" si="12"/>
        <v>0</v>
      </c>
      <c r="M328" s="79">
        <v>11.8</v>
      </c>
      <c r="N328" s="221">
        <f t="shared" si="11"/>
        <v>0</v>
      </c>
    </row>
    <row r="329" spans="1:14" s="15" customFormat="1" ht="14.25">
      <c r="A329" s="235" t="s">
        <v>214</v>
      </c>
      <c r="B329" s="271"/>
      <c r="C329" s="64" t="s">
        <v>109</v>
      </c>
      <c r="D329" s="67" t="s">
        <v>109</v>
      </c>
      <c r="E329" s="67" t="s">
        <v>111</v>
      </c>
      <c r="F329" s="270"/>
      <c r="G329" s="79">
        <f>SUM(G330)</f>
        <v>500</v>
      </c>
      <c r="H329" s="73">
        <f>SUM(H330)</f>
        <v>0</v>
      </c>
      <c r="I329" s="73">
        <f t="shared" si="10"/>
        <v>0</v>
      </c>
      <c r="J329" s="245"/>
      <c r="K329" s="245"/>
      <c r="L329" s="242">
        <f t="shared" si="12"/>
        <v>500</v>
      </c>
      <c r="M329" s="79">
        <f>SUM(M330)</f>
        <v>500</v>
      </c>
      <c r="N329" s="221">
        <f t="shared" si="11"/>
        <v>500</v>
      </c>
    </row>
    <row r="330" spans="1:14" s="15" customFormat="1" ht="42.75">
      <c r="A330" s="235" t="s">
        <v>82</v>
      </c>
      <c r="B330" s="271"/>
      <c r="C330" s="64" t="s">
        <v>109</v>
      </c>
      <c r="D330" s="67" t="s">
        <v>109</v>
      </c>
      <c r="E330" s="67" t="s">
        <v>83</v>
      </c>
      <c r="F330" s="270"/>
      <c r="G330" s="79">
        <f>SUM(G331)</f>
        <v>500</v>
      </c>
      <c r="H330" s="73">
        <f>SUM(H331)</f>
        <v>0</v>
      </c>
      <c r="I330" s="73">
        <f t="shared" si="10"/>
        <v>0</v>
      </c>
      <c r="J330" s="245"/>
      <c r="K330" s="245"/>
      <c r="L330" s="242">
        <f t="shared" si="12"/>
        <v>500</v>
      </c>
      <c r="M330" s="79">
        <f>SUM(M331)</f>
        <v>500</v>
      </c>
      <c r="N330" s="221">
        <f t="shared" si="11"/>
        <v>500</v>
      </c>
    </row>
    <row r="331" spans="1:14" s="15" customFormat="1" ht="42.75">
      <c r="A331" s="235" t="s">
        <v>84</v>
      </c>
      <c r="B331" s="271"/>
      <c r="C331" s="64" t="s">
        <v>109</v>
      </c>
      <c r="D331" s="67" t="s">
        <v>109</v>
      </c>
      <c r="E331" s="67" t="s">
        <v>85</v>
      </c>
      <c r="F331" s="270"/>
      <c r="G331" s="79">
        <f>SUM(G332)</f>
        <v>500</v>
      </c>
      <c r="H331" s="73"/>
      <c r="I331" s="73">
        <f t="shared" si="10"/>
        <v>0</v>
      </c>
      <c r="J331" s="245"/>
      <c r="K331" s="245"/>
      <c r="L331" s="242">
        <f t="shared" si="12"/>
        <v>500</v>
      </c>
      <c r="M331" s="79">
        <f>SUM(M332)</f>
        <v>500</v>
      </c>
      <c r="N331" s="221">
        <f t="shared" si="11"/>
        <v>500</v>
      </c>
    </row>
    <row r="332" spans="1:14" s="15" customFormat="1" ht="14.25">
      <c r="A332" s="231" t="s">
        <v>48</v>
      </c>
      <c r="B332" s="271"/>
      <c r="C332" s="64" t="s">
        <v>109</v>
      </c>
      <c r="D332" s="67" t="s">
        <v>109</v>
      </c>
      <c r="E332" s="67" t="s">
        <v>85</v>
      </c>
      <c r="F332" s="270"/>
      <c r="G332" s="79">
        <f>SUM(G333)</f>
        <v>500</v>
      </c>
      <c r="H332" s="73">
        <f>SUM(H333)</f>
        <v>0</v>
      </c>
      <c r="I332" s="73">
        <f t="shared" si="10"/>
        <v>0</v>
      </c>
      <c r="J332" s="245"/>
      <c r="K332" s="245"/>
      <c r="L332" s="242">
        <f t="shared" si="12"/>
        <v>500</v>
      </c>
      <c r="M332" s="79">
        <f>SUM(M333)</f>
        <v>500</v>
      </c>
      <c r="N332" s="221">
        <f t="shared" si="11"/>
        <v>500</v>
      </c>
    </row>
    <row r="333" spans="1:14" s="15" customFormat="1" ht="14.25">
      <c r="A333" s="231" t="s">
        <v>463</v>
      </c>
      <c r="B333" s="271"/>
      <c r="C333" s="64" t="s">
        <v>109</v>
      </c>
      <c r="D333" s="67" t="s">
        <v>109</v>
      </c>
      <c r="E333" s="67" t="s">
        <v>85</v>
      </c>
      <c r="F333" s="270" t="s">
        <v>112</v>
      </c>
      <c r="G333" s="79">
        <v>500</v>
      </c>
      <c r="H333" s="73">
        <f>SUM(H334:H337)</f>
        <v>0</v>
      </c>
      <c r="I333" s="73">
        <f t="shared" si="10"/>
        <v>0</v>
      </c>
      <c r="J333" s="245">
        <f>SUM('ведомствен.2016-2014'!G622)</f>
        <v>500</v>
      </c>
      <c r="K333" s="245">
        <f>SUM('ведомствен.2016-2014'!H622)</f>
        <v>500</v>
      </c>
      <c r="L333" s="242">
        <f t="shared" si="12"/>
        <v>0</v>
      </c>
      <c r="M333" s="79">
        <v>500</v>
      </c>
      <c r="N333" s="221">
        <f t="shared" si="11"/>
        <v>0</v>
      </c>
    </row>
    <row r="334" spans="1:14" s="15" customFormat="1" ht="14.25" hidden="1">
      <c r="A334" s="231" t="s">
        <v>563</v>
      </c>
      <c r="B334" s="278"/>
      <c r="C334" s="64" t="s">
        <v>109</v>
      </c>
      <c r="D334" s="67" t="s">
        <v>109</v>
      </c>
      <c r="E334" s="67" t="s">
        <v>122</v>
      </c>
      <c r="F334" s="270"/>
      <c r="G334" s="79">
        <f>SUM(G335)</f>
        <v>0</v>
      </c>
      <c r="H334" s="73"/>
      <c r="I334" s="73" t="e">
        <f t="shared" si="10"/>
        <v>#DIV/0!</v>
      </c>
      <c r="J334" s="245"/>
      <c r="K334" s="245"/>
      <c r="L334" s="242">
        <f t="shared" si="12"/>
        <v>0</v>
      </c>
      <c r="M334" s="79">
        <f>SUM(M335)</f>
        <v>0</v>
      </c>
      <c r="N334" s="221">
        <f t="shared" si="11"/>
        <v>0</v>
      </c>
    </row>
    <row r="335" spans="1:14" s="15" customFormat="1" ht="14.25" hidden="1">
      <c r="A335" s="306" t="s">
        <v>573</v>
      </c>
      <c r="B335" s="278"/>
      <c r="C335" s="64" t="s">
        <v>109</v>
      </c>
      <c r="D335" s="67" t="s">
        <v>109</v>
      </c>
      <c r="E335" s="67" t="s">
        <v>89</v>
      </c>
      <c r="F335" s="270"/>
      <c r="G335" s="80">
        <f>SUM(G336)</f>
        <v>0</v>
      </c>
      <c r="H335" s="73"/>
      <c r="I335" s="73" t="e">
        <f t="shared" si="10"/>
        <v>#DIV/0!</v>
      </c>
      <c r="J335" s="245"/>
      <c r="K335" s="245"/>
      <c r="L335" s="242">
        <f t="shared" si="12"/>
        <v>0</v>
      </c>
      <c r="M335" s="80">
        <f>SUM(M336)</f>
        <v>0</v>
      </c>
      <c r="N335" s="221">
        <f t="shared" si="11"/>
        <v>0</v>
      </c>
    </row>
    <row r="336" spans="1:14" s="15" customFormat="1" ht="14.25" hidden="1">
      <c r="A336" s="231" t="s">
        <v>463</v>
      </c>
      <c r="B336" s="278"/>
      <c r="C336" s="64" t="s">
        <v>109</v>
      </c>
      <c r="D336" s="67" t="s">
        <v>109</v>
      </c>
      <c r="E336" s="67" t="s">
        <v>89</v>
      </c>
      <c r="F336" s="270" t="s">
        <v>112</v>
      </c>
      <c r="G336" s="80"/>
      <c r="H336" s="73"/>
      <c r="I336" s="73" t="e">
        <f t="shared" si="10"/>
        <v>#DIV/0!</v>
      </c>
      <c r="J336" s="245">
        <f>SUM('ведомствен.2016-2014'!G625)</f>
        <v>0</v>
      </c>
      <c r="K336" s="245">
        <f>SUM('ведомствен.2016-2014'!H625)</f>
        <v>0</v>
      </c>
      <c r="L336" s="242">
        <f t="shared" si="12"/>
        <v>0</v>
      </c>
      <c r="M336" s="80"/>
      <c r="N336" s="221">
        <f t="shared" si="11"/>
        <v>0</v>
      </c>
    </row>
    <row r="337" spans="1:14" s="15" customFormat="1" ht="14.25">
      <c r="A337" s="231" t="s">
        <v>217</v>
      </c>
      <c r="B337" s="271"/>
      <c r="C337" s="64" t="s">
        <v>109</v>
      </c>
      <c r="D337" s="67" t="s">
        <v>294</v>
      </c>
      <c r="E337" s="67"/>
      <c r="F337" s="270"/>
      <c r="G337" s="79">
        <f>G338+G343</f>
        <v>37578.99999999999</v>
      </c>
      <c r="H337" s="73">
        <f>SUM(H338)</f>
        <v>0</v>
      </c>
      <c r="I337" s="73">
        <f t="shared" si="10"/>
        <v>0</v>
      </c>
      <c r="J337" s="245"/>
      <c r="K337" s="245"/>
      <c r="L337" s="242"/>
      <c r="M337" s="79">
        <f>M338+M343</f>
        <v>37578.99999999999</v>
      </c>
      <c r="N337" s="221">
        <f t="shared" si="11"/>
        <v>37578.99999999999</v>
      </c>
    </row>
    <row r="338" spans="1:14" s="15" customFormat="1" ht="57">
      <c r="A338" s="235" t="s">
        <v>283</v>
      </c>
      <c r="B338" s="271"/>
      <c r="C338" s="64" t="s">
        <v>109</v>
      </c>
      <c r="D338" s="67" t="s">
        <v>294</v>
      </c>
      <c r="E338" s="67" t="s">
        <v>284</v>
      </c>
      <c r="F338" s="270"/>
      <c r="G338" s="79">
        <f>SUM(G339)</f>
        <v>37578.99999999999</v>
      </c>
      <c r="H338" s="73">
        <f>SUM(H339)</f>
        <v>0</v>
      </c>
      <c r="I338" s="73">
        <f t="shared" si="10"/>
        <v>0</v>
      </c>
      <c r="J338" s="245"/>
      <c r="K338" s="245"/>
      <c r="L338" s="242"/>
      <c r="M338" s="79">
        <f>SUM(M339)</f>
        <v>37578.99999999999</v>
      </c>
      <c r="N338" s="221">
        <f t="shared" si="11"/>
        <v>37578.99999999999</v>
      </c>
    </row>
    <row r="339" spans="1:14" s="15" customFormat="1" ht="28.5">
      <c r="A339" s="231" t="s">
        <v>47</v>
      </c>
      <c r="B339" s="271"/>
      <c r="C339" s="64" t="s">
        <v>109</v>
      </c>
      <c r="D339" s="67" t="s">
        <v>294</v>
      </c>
      <c r="E339" s="67" t="s">
        <v>285</v>
      </c>
      <c r="F339" s="270"/>
      <c r="G339" s="79">
        <f>SUM(G340+G341+G342)</f>
        <v>37578.99999999999</v>
      </c>
      <c r="H339" s="73"/>
      <c r="I339" s="73">
        <f t="shared" si="10"/>
        <v>0</v>
      </c>
      <c r="J339" s="245"/>
      <c r="K339" s="245"/>
      <c r="L339" s="242"/>
      <c r="M339" s="79">
        <f>SUM(M340+M341+M342)</f>
        <v>37578.99999999999</v>
      </c>
      <c r="N339" s="221">
        <f t="shared" si="11"/>
        <v>37578.99999999999</v>
      </c>
    </row>
    <row r="340" spans="1:14" ht="42.75">
      <c r="A340" s="231" t="s">
        <v>461</v>
      </c>
      <c r="B340" s="271"/>
      <c r="C340" s="64" t="s">
        <v>109</v>
      </c>
      <c r="D340" s="67" t="s">
        <v>294</v>
      </c>
      <c r="E340" s="67" t="s">
        <v>285</v>
      </c>
      <c r="F340" s="270" t="s">
        <v>462</v>
      </c>
      <c r="G340" s="79">
        <v>33338.6</v>
      </c>
      <c r="H340" s="73"/>
      <c r="I340" s="73"/>
      <c r="J340" s="245">
        <f>SUM('ведомствен.2016-2014'!G629)</f>
        <v>33338.6</v>
      </c>
      <c r="K340" s="245">
        <f>SUM('ведомствен.2016-2014'!H629)</f>
        <v>33338.6</v>
      </c>
      <c r="L340" s="242">
        <f t="shared" si="12"/>
        <v>0</v>
      </c>
      <c r="M340" s="79">
        <v>33338.6</v>
      </c>
      <c r="N340" s="221">
        <f t="shared" si="11"/>
        <v>0</v>
      </c>
    </row>
    <row r="341" spans="1:14" ht="14.25">
      <c r="A341" s="231" t="s">
        <v>463</v>
      </c>
      <c r="B341" s="278"/>
      <c r="C341" s="64" t="s">
        <v>109</v>
      </c>
      <c r="D341" s="67" t="s">
        <v>294</v>
      </c>
      <c r="E341" s="67" t="s">
        <v>285</v>
      </c>
      <c r="F341" s="270" t="s">
        <v>112</v>
      </c>
      <c r="G341" s="79">
        <v>3841.7</v>
      </c>
      <c r="H341" s="73"/>
      <c r="I341" s="73"/>
      <c r="J341" s="245">
        <f>SUM('ведомствен.2016-2014'!G630)</f>
        <v>3841.7</v>
      </c>
      <c r="K341" s="245">
        <f>SUM('ведомствен.2016-2014'!H630)</f>
        <v>3841.7</v>
      </c>
      <c r="L341" s="242">
        <f t="shared" si="12"/>
        <v>0</v>
      </c>
      <c r="M341" s="79">
        <v>3841.7</v>
      </c>
      <c r="N341" s="221">
        <f t="shared" si="11"/>
        <v>0</v>
      </c>
    </row>
    <row r="342" spans="1:14" ht="14.25">
      <c r="A342" s="231" t="s">
        <v>467</v>
      </c>
      <c r="B342" s="271"/>
      <c r="C342" s="64" t="s">
        <v>109</v>
      </c>
      <c r="D342" s="67" t="s">
        <v>294</v>
      </c>
      <c r="E342" s="67" t="s">
        <v>285</v>
      </c>
      <c r="F342" s="270" t="s">
        <v>161</v>
      </c>
      <c r="G342" s="79">
        <v>398.7</v>
      </c>
      <c r="H342" s="73"/>
      <c r="I342" s="73"/>
      <c r="J342" s="245">
        <f>SUM('ведомствен.2016-2014'!G631)</f>
        <v>398.7</v>
      </c>
      <c r="K342" s="245">
        <f>SUM('ведомствен.2016-2014'!H631)</f>
        <v>398.7</v>
      </c>
      <c r="L342" s="242">
        <f t="shared" si="12"/>
        <v>0</v>
      </c>
      <c r="M342" s="79">
        <v>398.7</v>
      </c>
      <c r="N342" s="221">
        <f t="shared" si="11"/>
        <v>0</v>
      </c>
    </row>
    <row r="343" spans="1:13" ht="14.25" hidden="1">
      <c r="A343" s="229" t="s">
        <v>507</v>
      </c>
      <c r="B343" s="290"/>
      <c r="C343" s="291" t="s">
        <v>109</v>
      </c>
      <c r="D343" s="292" t="s">
        <v>294</v>
      </c>
      <c r="E343" s="97" t="s">
        <v>122</v>
      </c>
      <c r="F343" s="293"/>
      <c r="G343" s="315">
        <f>SUM(G344)</f>
        <v>0</v>
      </c>
      <c r="H343" s="73"/>
      <c r="I343" s="73"/>
      <c r="J343" s="242"/>
      <c r="K343" s="242"/>
      <c r="L343" s="242">
        <f t="shared" si="12"/>
        <v>0</v>
      </c>
      <c r="M343" s="315">
        <f>SUM(M344)</f>
        <v>0</v>
      </c>
    </row>
    <row r="344" spans="1:13" ht="28.5" hidden="1">
      <c r="A344" s="261" t="s">
        <v>523</v>
      </c>
      <c r="B344" s="290"/>
      <c r="C344" s="291" t="s">
        <v>109</v>
      </c>
      <c r="D344" s="292" t="s">
        <v>294</v>
      </c>
      <c r="E344" s="292" t="s">
        <v>45</v>
      </c>
      <c r="F344" s="293"/>
      <c r="G344" s="315">
        <f>G345</f>
        <v>0</v>
      </c>
      <c r="H344" s="73"/>
      <c r="I344" s="73"/>
      <c r="J344" s="242"/>
      <c r="K344" s="242"/>
      <c r="L344" s="242">
        <f t="shared" si="12"/>
        <v>0</v>
      </c>
      <c r="M344" s="315">
        <f>M345</f>
        <v>0</v>
      </c>
    </row>
    <row r="345" spans="1:13" ht="28.5" hidden="1">
      <c r="A345" s="229" t="s">
        <v>539</v>
      </c>
      <c r="B345" s="290"/>
      <c r="C345" s="291" t="s">
        <v>109</v>
      </c>
      <c r="D345" s="292" t="s">
        <v>294</v>
      </c>
      <c r="E345" s="292" t="s">
        <v>540</v>
      </c>
      <c r="F345" s="293" t="s">
        <v>534</v>
      </c>
      <c r="G345" s="315"/>
      <c r="H345" s="73"/>
      <c r="I345" s="73"/>
      <c r="J345" s="245"/>
      <c r="K345" s="245"/>
      <c r="L345" s="242">
        <f t="shared" si="12"/>
        <v>0</v>
      </c>
      <c r="M345" s="315"/>
    </row>
    <row r="346" spans="1:14" ht="15">
      <c r="A346" s="258" t="s">
        <v>312</v>
      </c>
      <c r="B346" s="259"/>
      <c r="C346" s="155" t="s">
        <v>116</v>
      </c>
      <c r="D346" s="96"/>
      <c r="E346" s="96"/>
      <c r="F346" s="260"/>
      <c r="G346" s="78">
        <f>SUM(G347+G397)</f>
        <v>123534.1</v>
      </c>
      <c r="H346" s="73"/>
      <c r="I346" s="73"/>
      <c r="J346" s="242"/>
      <c r="K346" s="242"/>
      <c r="L346" s="242"/>
      <c r="M346" s="78">
        <f>SUM(M347+M397)</f>
        <v>123534.1</v>
      </c>
      <c r="N346" s="221">
        <f>SUM(K350:K405)</f>
        <v>123534.10000000002</v>
      </c>
    </row>
    <row r="347" spans="1:13" s="15" customFormat="1" ht="14.25">
      <c r="A347" s="232" t="s">
        <v>337</v>
      </c>
      <c r="B347" s="256"/>
      <c r="C347" s="47" t="s">
        <v>116</v>
      </c>
      <c r="D347" s="97" t="s">
        <v>429</v>
      </c>
      <c r="E347" s="97"/>
      <c r="F347" s="187"/>
      <c r="G347" s="73">
        <f>SUM(G348+G373+G382)</f>
        <v>116370.1</v>
      </c>
      <c r="H347" s="73"/>
      <c r="I347" s="73"/>
      <c r="J347" s="245"/>
      <c r="K347" s="245"/>
      <c r="L347" s="242"/>
      <c r="M347" s="73">
        <f>SUM(M348+M373+M382)</f>
        <v>116370.1</v>
      </c>
    </row>
    <row r="348" spans="1:13" s="15" customFormat="1" ht="28.5">
      <c r="A348" s="229" t="s">
        <v>483</v>
      </c>
      <c r="B348" s="256"/>
      <c r="C348" s="47" t="s">
        <v>116</v>
      </c>
      <c r="D348" s="97" t="s">
        <v>429</v>
      </c>
      <c r="E348" s="97" t="s">
        <v>129</v>
      </c>
      <c r="F348" s="187"/>
      <c r="G348" s="73">
        <f>SUM(G351+G354)+G349</f>
        <v>62567.7</v>
      </c>
      <c r="H348" s="73"/>
      <c r="I348" s="73"/>
      <c r="J348" s="245"/>
      <c r="K348" s="245"/>
      <c r="L348" s="242"/>
      <c r="M348" s="73">
        <f>SUM(M351+M354)+M349</f>
        <v>62567.7</v>
      </c>
    </row>
    <row r="349" spans="1:13" s="15" customFormat="1" ht="42.75">
      <c r="A349" s="229" t="s">
        <v>351</v>
      </c>
      <c r="B349" s="224"/>
      <c r="C349" s="97" t="s">
        <v>116</v>
      </c>
      <c r="D349" s="97" t="s">
        <v>429</v>
      </c>
      <c r="E349" s="97" t="s">
        <v>598</v>
      </c>
      <c r="F349" s="187"/>
      <c r="G349" s="73">
        <f>SUM(G350)</f>
        <v>57</v>
      </c>
      <c r="H349" s="73"/>
      <c r="I349" s="73"/>
      <c r="J349" s="245"/>
      <c r="K349" s="245"/>
      <c r="L349" s="242"/>
      <c r="M349" s="75">
        <f>SUM(M350)</f>
        <v>57</v>
      </c>
    </row>
    <row r="350" spans="1:13" s="15" customFormat="1" ht="14.25">
      <c r="A350" s="232" t="s">
        <v>463</v>
      </c>
      <c r="B350" s="224"/>
      <c r="C350" s="97" t="s">
        <v>116</v>
      </c>
      <c r="D350" s="97" t="s">
        <v>429</v>
      </c>
      <c r="E350" s="97" t="s">
        <v>598</v>
      </c>
      <c r="F350" s="187" t="s">
        <v>112</v>
      </c>
      <c r="G350" s="73">
        <v>57</v>
      </c>
      <c r="H350" s="73"/>
      <c r="I350" s="73"/>
      <c r="J350" s="245">
        <f>SUM('ведомствен.2016-2014'!G673)</f>
        <v>57</v>
      </c>
      <c r="K350" s="245">
        <f>SUM('ведомствен.2016-2014'!H673)</f>
        <v>57</v>
      </c>
      <c r="L350" s="242"/>
      <c r="M350" s="75">
        <v>57</v>
      </c>
    </row>
    <row r="351" spans="1:13" s="15" customFormat="1" ht="28.5">
      <c r="A351" s="232" t="s">
        <v>11</v>
      </c>
      <c r="B351" s="259"/>
      <c r="C351" s="47" t="s">
        <v>116</v>
      </c>
      <c r="D351" s="97" t="s">
        <v>429</v>
      </c>
      <c r="E351" s="97" t="s">
        <v>188</v>
      </c>
      <c r="F351" s="187"/>
      <c r="G351" s="73">
        <f>SUM(G352)</f>
        <v>38205.7</v>
      </c>
      <c r="H351" s="73"/>
      <c r="I351" s="73"/>
      <c r="J351" s="245"/>
      <c r="K351" s="245"/>
      <c r="L351" s="242"/>
      <c r="M351" s="73">
        <f>SUM(M352)</f>
        <v>38205.7</v>
      </c>
    </row>
    <row r="352" spans="1:13" s="15" customFormat="1" ht="28.5">
      <c r="A352" s="232" t="s">
        <v>86</v>
      </c>
      <c r="B352" s="259"/>
      <c r="C352" s="47" t="s">
        <v>116</v>
      </c>
      <c r="D352" s="97" t="s">
        <v>429</v>
      </c>
      <c r="E352" s="97" t="s">
        <v>190</v>
      </c>
      <c r="F352" s="187"/>
      <c r="G352" s="73">
        <f>SUM(G353)</f>
        <v>38205.7</v>
      </c>
      <c r="H352" s="73"/>
      <c r="I352" s="73"/>
      <c r="J352" s="245"/>
      <c r="K352" s="245"/>
      <c r="L352" s="242"/>
      <c r="M352" s="73">
        <f>SUM(M353)</f>
        <v>38205.7</v>
      </c>
    </row>
    <row r="353" spans="1:13" s="15" customFormat="1" ht="28.5">
      <c r="A353" s="231" t="s">
        <v>480</v>
      </c>
      <c r="B353" s="269"/>
      <c r="C353" s="47" t="s">
        <v>116</v>
      </c>
      <c r="D353" s="97" t="s">
        <v>429</v>
      </c>
      <c r="E353" s="97" t="s">
        <v>190</v>
      </c>
      <c r="F353" s="238" t="s">
        <v>477</v>
      </c>
      <c r="G353" s="73">
        <v>38205.7</v>
      </c>
      <c r="H353" s="73"/>
      <c r="I353" s="73"/>
      <c r="J353" s="245">
        <f>SUM('ведомствен.2016-2014'!G677)</f>
        <v>38205.7</v>
      </c>
      <c r="K353" s="245">
        <f>SUM('ведомствен.2016-2014'!H677)</f>
        <v>38205.7</v>
      </c>
      <c r="L353" s="242">
        <f t="shared" si="12"/>
        <v>0</v>
      </c>
      <c r="M353" s="73">
        <v>38205.7</v>
      </c>
    </row>
    <row r="354" spans="1:13" s="15" customFormat="1" ht="28.5">
      <c r="A354" s="232" t="s">
        <v>47</v>
      </c>
      <c r="B354" s="269"/>
      <c r="C354" s="47" t="s">
        <v>116</v>
      </c>
      <c r="D354" s="97" t="s">
        <v>429</v>
      </c>
      <c r="E354" s="97" t="s">
        <v>130</v>
      </c>
      <c r="F354" s="238"/>
      <c r="G354" s="73">
        <f>SUM(G355:G357)</f>
        <v>24305</v>
      </c>
      <c r="H354" s="73"/>
      <c r="I354" s="73"/>
      <c r="J354" s="245"/>
      <c r="K354" s="245"/>
      <c r="L354" s="242"/>
      <c r="M354" s="73">
        <f>SUM(M355:M357)</f>
        <v>24305</v>
      </c>
    </row>
    <row r="355" spans="1:13" s="15" customFormat="1" ht="42.75">
      <c r="A355" s="232" t="s">
        <v>461</v>
      </c>
      <c r="B355" s="256"/>
      <c r="C355" s="47" t="s">
        <v>116</v>
      </c>
      <c r="D355" s="97" t="s">
        <v>429</v>
      </c>
      <c r="E355" s="97" t="s">
        <v>130</v>
      </c>
      <c r="F355" s="237" t="s">
        <v>462</v>
      </c>
      <c r="G355" s="73">
        <v>20532.5</v>
      </c>
      <c r="H355" s="73"/>
      <c r="I355" s="73"/>
      <c r="J355" s="245">
        <f>SUM('ведомствен.2016-2014'!G679)</f>
        <v>20532.5</v>
      </c>
      <c r="K355" s="245">
        <f>SUM('ведомствен.2016-2014'!H679)</f>
        <v>20532.5</v>
      </c>
      <c r="L355" s="242">
        <f t="shared" si="12"/>
        <v>0</v>
      </c>
      <c r="M355" s="73">
        <v>20532.5</v>
      </c>
    </row>
    <row r="356" spans="1:13" s="15" customFormat="1" ht="14.25">
      <c r="A356" s="232" t="s">
        <v>463</v>
      </c>
      <c r="B356" s="256"/>
      <c r="C356" s="47" t="s">
        <v>116</v>
      </c>
      <c r="D356" s="97" t="s">
        <v>429</v>
      </c>
      <c r="E356" s="97" t="s">
        <v>130</v>
      </c>
      <c r="F356" s="237" t="s">
        <v>112</v>
      </c>
      <c r="G356" s="74">
        <v>3352.2</v>
      </c>
      <c r="H356" s="73"/>
      <c r="I356" s="73"/>
      <c r="J356" s="245">
        <f>SUM('ведомствен.2016-2014'!G680)</f>
        <v>3352.2</v>
      </c>
      <c r="K356" s="245">
        <f>SUM('ведомствен.2016-2014'!H680)</f>
        <v>3352.2</v>
      </c>
      <c r="L356" s="242">
        <f t="shared" si="12"/>
        <v>0</v>
      </c>
      <c r="M356" s="74">
        <v>3352.2</v>
      </c>
    </row>
    <row r="357" spans="1:13" ht="14.25">
      <c r="A357" s="232" t="s">
        <v>467</v>
      </c>
      <c r="B357" s="256"/>
      <c r="C357" s="47" t="s">
        <v>116</v>
      </c>
      <c r="D357" s="97" t="s">
        <v>429</v>
      </c>
      <c r="E357" s="97" t="s">
        <v>130</v>
      </c>
      <c r="F357" s="187" t="s">
        <v>161</v>
      </c>
      <c r="G357" s="73">
        <v>420.3</v>
      </c>
      <c r="H357" s="73">
        <v>5048</v>
      </c>
      <c r="I357" s="73">
        <f>SUM(H357/G357*100)</f>
        <v>1201.0468712824172</v>
      </c>
      <c r="J357" s="245">
        <f>SUM('ведомствен.2016-2014'!G681)</f>
        <v>420.3</v>
      </c>
      <c r="K357" s="245">
        <f>SUM('ведомствен.2016-2014'!H681)</f>
        <v>420.3</v>
      </c>
      <c r="L357" s="242">
        <f t="shared" si="12"/>
        <v>0</v>
      </c>
      <c r="M357" s="73">
        <v>420.3</v>
      </c>
    </row>
    <row r="358" spans="1:13" ht="28.5" hidden="1">
      <c r="A358" s="232" t="s">
        <v>87</v>
      </c>
      <c r="B358" s="259"/>
      <c r="C358" s="47" t="s">
        <v>116</v>
      </c>
      <c r="D358" s="97" t="s">
        <v>429</v>
      </c>
      <c r="E358" s="97" t="s">
        <v>188</v>
      </c>
      <c r="F358" s="187"/>
      <c r="G358" s="73">
        <f>SUM(G359+G361)</f>
        <v>0</v>
      </c>
      <c r="H358" s="73"/>
      <c r="I358" s="73"/>
      <c r="J358" s="242"/>
      <c r="K358" s="242"/>
      <c r="L358" s="242">
        <f t="shared" si="12"/>
        <v>0</v>
      </c>
      <c r="M358" s="73">
        <f>SUM(M359+M361)</f>
        <v>0</v>
      </c>
    </row>
    <row r="359" spans="1:13" s="15" customFormat="1" ht="28.5" hidden="1">
      <c r="A359" s="232" t="s">
        <v>189</v>
      </c>
      <c r="B359" s="259"/>
      <c r="C359" s="47" t="s">
        <v>116</v>
      </c>
      <c r="D359" s="97" t="s">
        <v>429</v>
      </c>
      <c r="E359" s="97" t="s">
        <v>190</v>
      </c>
      <c r="F359" s="187"/>
      <c r="G359" s="73">
        <f>SUM(G360)</f>
        <v>0</v>
      </c>
      <c r="H359" s="73">
        <f>SUM(H360+H365+H370+H373)+H368</f>
        <v>71087.2</v>
      </c>
      <c r="I359" s="73" t="e">
        <f t="shared" si="10"/>
        <v>#DIV/0!</v>
      </c>
      <c r="J359" s="245"/>
      <c r="K359" s="245"/>
      <c r="L359" s="242">
        <f t="shared" si="12"/>
        <v>0</v>
      </c>
      <c r="M359" s="73">
        <f>SUM(M360)</f>
        <v>0</v>
      </c>
    </row>
    <row r="360" spans="1:13" s="15" customFormat="1" ht="42.75" hidden="1">
      <c r="A360" s="231" t="s">
        <v>150</v>
      </c>
      <c r="B360" s="269"/>
      <c r="C360" s="47" t="s">
        <v>116</v>
      </c>
      <c r="D360" s="97" t="s">
        <v>429</v>
      </c>
      <c r="E360" s="97" t="s">
        <v>190</v>
      </c>
      <c r="F360" s="238" t="s">
        <v>49</v>
      </c>
      <c r="G360" s="73"/>
      <c r="H360" s="73">
        <f>SUM(H362:H363)</f>
        <v>20816.7</v>
      </c>
      <c r="I360" s="73" t="e">
        <f t="shared" si="10"/>
        <v>#DIV/0!</v>
      </c>
      <c r="J360" s="245"/>
      <c r="K360" s="245"/>
      <c r="L360" s="242">
        <f t="shared" si="12"/>
        <v>0</v>
      </c>
      <c r="M360" s="73"/>
    </row>
    <row r="361" spans="1:13" s="22" customFormat="1" ht="28.5" hidden="1">
      <c r="A361" s="232" t="s">
        <v>151</v>
      </c>
      <c r="B361" s="256"/>
      <c r="C361" s="47" t="s">
        <v>116</v>
      </c>
      <c r="D361" s="97" t="s">
        <v>429</v>
      </c>
      <c r="E361" s="46" t="s">
        <v>385</v>
      </c>
      <c r="F361" s="238"/>
      <c r="G361" s="73">
        <f>SUM(G364+G366)+G362</f>
        <v>0</v>
      </c>
      <c r="H361" s="73"/>
      <c r="I361" s="73"/>
      <c r="J361" s="242"/>
      <c r="K361" s="242"/>
      <c r="L361" s="242">
        <f t="shared" si="12"/>
        <v>0</v>
      </c>
      <c r="M361" s="73">
        <f>SUM(M364+M366)+M362</f>
        <v>0</v>
      </c>
    </row>
    <row r="362" spans="1:13" s="15" customFormat="1" ht="28.5" hidden="1">
      <c r="A362" s="232" t="s">
        <v>432</v>
      </c>
      <c r="B362" s="256"/>
      <c r="C362" s="47" t="s">
        <v>116</v>
      </c>
      <c r="D362" s="97" t="s">
        <v>429</v>
      </c>
      <c r="E362" s="46" t="s">
        <v>386</v>
      </c>
      <c r="F362" s="238"/>
      <c r="G362" s="73">
        <f>SUM(G363)</f>
        <v>0</v>
      </c>
      <c r="H362" s="73">
        <v>20816.7</v>
      </c>
      <c r="I362" s="73" t="e">
        <f t="shared" si="10"/>
        <v>#DIV/0!</v>
      </c>
      <c r="J362" s="242"/>
      <c r="K362" s="242"/>
      <c r="L362" s="242">
        <f t="shared" si="12"/>
        <v>0</v>
      </c>
      <c r="M362" s="73">
        <f>SUM(M363)</f>
        <v>0</v>
      </c>
    </row>
    <row r="363" spans="1:13" s="15" customFormat="1" ht="28.5" hidden="1">
      <c r="A363" s="232" t="s">
        <v>151</v>
      </c>
      <c r="B363" s="256"/>
      <c r="C363" s="47" t="s">
        <v>116</v>
      </c>
      <c r="D363" s="97" t="s">
        <v>429</v>
      </c>
      <c r="E363" s="46" t="s">
        <v>386</v>
      </c>
      <c r="F363" s="238" t="s">
        <v>76</v>
      </c>
      <c r="G363" s="73"/>
      <c r="H363" s="73">
        <f>SUM(H364)</f>
        <v>0</v>
      </c>
      <c r="I363" s="73" t="e">
        <f t="shared" si="10"/>
        <v>#DIV/0!</v>
      </c>
      <c r="J363" s="245"/>
      <c r="K363" s="245"/>
      <c r="L363" s="242">
        <f t="shared" si="12"/>
        <v>0</v>
      </c>
      <c r="M363" s="73"/>
    </row>
    <row r="364" spans="1:13" s="15" customFormat="1" ht="28.5" hidden="1">
      <c r="A364" s="231" t="s">
        <v>384</v>
      </c>
      <c r="B364" s="269"/>
      <c r="C364" s="47" t="s">
        <v>116</v>
      </c>
      <c r="D364" s="97" t="s">
        <v>429</v>
      </c>
      <c r="E364" s="97" t="s">
        <v>383</v>
      </c>
      <c r="F364" s="238"/>
      <c r="G364" s="73">
        <f>SUM(G365)</f>
        <v>0</v>
      </c>
      <c r="H364" s="73"/>
      <c r="I364" s="73" t="e">
        <f t="shared" si="10"/>
        <v>#DIV/0!</v>
      </c>
      <c r="J364" s="245"/>
      <c r="K364" s="245"/>
      <c r="L364" s="242">
        <f t="shared" si="12"/>
        <v>0</v>
      </c>
      <c r="M364" s="73">
        <f>SUM(M365)</f>
        <v>0</v>
      </c>
    </row>
    <row r="365" spans="1:13" s="15" customFormat="1" ht="28.5" hidden="1">
      <c r="A365" s="231" t="s">
        <v>135</v>
      </c>
      <c r="B365" s="269"/>
      <c r="C365" s="47" t="s">
        <v>116</v>
      </c>
      <c r="D365" s="97" t="s">
        <v>429</v>
      </c>
      <c r="E365" s="97" t="s">
        <v>383</v>
      </c>
      <c r="F365" s="238" t="s">
        <v>76</v>
      </c>
      <c r="G365" s="73"/>
      <c r="H365" s="73">
        <f>SUM(H367)</f>
        <v>43097.5</v>
      </c>
      <c r="I365" s="73" t="e">
        <f t="shared" si="10"/>
        <v>#DIV/0!</v>
      </c>
      <c r="J365" s="245"/>
      <c r="K365" s="245"/>
      <c r="L365" s="242">
        <f t="shared" si="12"/>
        <v>0</v>
      </c>
      <c r="M365" s="73"/>
    </row>
    <row r="366" spans="1:13" s="15" customFormat="1" ht="28.5" hidden="1">
      <c r="A366" s="231" t="s">
        <v>147</v>
      </c>
      <c r="B366" s="269"/>
      <c r="C366" s="47" t="s">
        <v>116</v>
      </c>
      <c r="D366" s="97" t="s">
        <v>429</v>
      </c>
      <c r="E366" s="97" t="s">
        <v>198</v>
      </c>
      <c r="F366" s="238"/>
      <c r="G366" s="73">
        <f>SUM(G367)</f>
        <v>0</v>
      </c>
      <c r="H366" s="73"/>
      <c r="I366" s="73"/>
      <c r="J366" s="242"/>
      <c r="K366" s="242"/>
      <c r="L366" s="242">
        <f t="shared" si="12"/>
        <v>0</v>
      </c>
      <c r="M366" s="73">
        <f>SUM(M367)</f>
        <v>0</v>
      </c>
    </row>
    <row r="367" spans="1:13" s="15" customFormat="1" ht="28.5" hidden="1">
      <c r="A367" s="231" t="s">
        <v>135</v>
      </c>
      <c r="B367" s="269"/>
      <c r="C367" s="47" t="s">
        <v>116</v>
      </c>
      <c r="D367" s="97" t="s">
        <v>429</v>
      </c>
      <c r="E367" s="97" t="s">
        <v>198</v>
      </c>
      <c r="F367" s="238" t="s">
        <v>76</v>
      </c>
      <c r="G367" s="73"/>
      <c r="H367" s="73">
        <v>43097.5</v>
      </c>
      <c r="I367" s="73" t="e">
        <f t="shared" si="10"/>
        <v>#DIV/0!</v>
      </c>
      <c r="J367" s="242"/>
      <c r="K367" s="242"/>
      <c r="L367" s="242">
        <f t="shared" si="12"/>
        <v>0</v>
      </c>
      <c r="M367" s="73"/>
    </row>
    <row r="368" spans="1:13" s="15" customFormat="1" ht="28.5" hidden="1">
      <c r="A368" s="232" t="s">
        <v>47</v>
      </c>
      <c r="B368" s="257"/>
      <c r="C368" s="47" t="s">
        <v>116</v>
      </c>
      <c r="D368" s="97" t="s">
        <v>429</v>
      </c>
      <c r="E368" s="97" t="s">
        <v>130</v>
      </c>
      <c r="F368" s="187"/>
      <c r="G368" s="73">
        <f>SUM(G369:G371)</f>
        <v>0</v>
      </c>
      <c r="H368" s="73">
        <f>SUM(H369)</f>
        <v>482.9</v>
      </c>
      <c r="I368" s="73" t="e">
        <f t="shared" si="10"/>
        <v>#DIV/0!</v>
      </c>
      <c r="J368" s="245"/>
      <c r="K368" s="245"/>
      <c r="L368" s="242">
        <f t="shared" si="12"/>
        <v>0</v>
      </c>
      <c r="M368" s="73">
        <f>SUM(M369:M371)</f>
        <v>0</v>
      </c>
    </row>
    <row r="369" spans="1:13" s="15" customFormat="1" ht="14.25" hidden="1">
      <c r="A369" s="231" t="s">
        <v>48</v>
      </c>
      <c r="B369" s="257"/>
      <c r="C369" s="47" t="s">
        <v>116</v>
      </c>
      <c r="D369" s="97" t="s">
        <v>429</v>
      </c>
      <c r="E369" s="97" t="s">
        <v>130</v>
      </c>
      <c r="F369" s="187" t="s">
        <v>240</v>
      </c>
      <c r="G369" s="73"/>
      <c r="H369" s="73">
        <v>482.9</v>
      </c>
      <c r="I369" s="73" t="e">
        <f t="shared" si="10"/>
        <v>#DIV/0!</v>
      </c>
      <c r="J369" s="245"/>
      <c r="K369" s="245"/>
      <c r="L369" s="242">
        <f t="shared" si="12"/>
        <v>0</v>
      </c>
      <c r="M369" s="73"/>
    </row>
    <row r="370" spans="1:13" s="15" customFormat="1" ht="42.75" hidden="1">
      <c r="A370" s="231" t="s">
        <v>340</v>
      </c>
      <c r="B370" s="269"/>
      <c r="C370" s="47" t="s">
        <v>116</v>
      </c>
      <c r="D370" s="97" t="s">
        <v>429</v>
      </c>
      <c r="E370" s="97" t="s">
        <v>130</v>
      </c>
      <c r="F370" s="238" t="s">
        <v>341</v>
      </c>
      <c r="G370" s="73"/>
      <c r="H370" s="73">
        <f>SUM(H372)</f>
        <v>489.8</v>
      </c>
      <c r="I370" s="73" t="e">
        <f t="shared" si="10"/>
        <v>#DIV/0!</v>
      </c>
      <c r="J370" s="245"/>
      <c r="K370" s="245"/>
      <c r="L370" s="242">
        <f t="shared" si="12"/>
        <v>0</v>
      </c>
      <c r="M370" s="73"/>
    </row>
    <row r="371" spans="1:13" ht="57" hidden="1">
      <c r="A371" s="232" t="s">
        <v>250</v>
      </c>
      <c r="B371" s="256"/>
      <c r="C371" s="47" t="s">
        <v>116</v>
      </c>
      <c r="D371" s="97" t="s">
        <v>429</v>
      </c>
      <c r="E371" s="97" t="s">
        <v>342</v>
      </c>
      <c r="F371" s="238"/>
      <c r="G371" s="73">
        <f>SUM(G372)</f>
        <v>0</v>
      </c>
      <c r="H371" s="73"/>
      <c r="I371" s="73"/>
      <c r="J371" s="242"/>
      <c r="K371" s="242"/>
      <c r="L371" s="242">
        <f t="shared" si="12"/>
        <v>0</v>
      </c>
      <c r="M371" s="73">
        <f>SUM(M372)</f>
        <v>0</v>
      </c>
    </row>
    <row r="372" spans="1:13" s="15" customFormat="1" ht="15" hidden="1">
      <c r="A372" s="231" t="s">
        <v>239</v>
      </c>
      <c r="B372" s="269"/>
      <c r="C372" s="47" t="s">
        <v>116</v>
      </c>
      <c r="D372" s="97" t="s">
        <v>429</v>
      </c>
      <c r="E372" s="97" t="s">
        <v>342</v>
      </c>
      <c r="F372" s="238" t="s">
        <v>240</v>
      </c>
      <c r="G372" s="73"/>
      <c r="H372" s="73">
        <v>489.8</v>
      </c>
      <c r="I372" s="73" t="e">
        <f t="shared" si="10"/>
        <v>#DIV/0!</v>
      </c>
      <c r="J372" s="245"/>
      <c r="K372" s="245"/>
      <c r="L372" s="242">
        <f t="shared" si="12"/>
        <v>0</v>
      </c>
      <c r="M372" s="73"/>
    </row>
    <row r="373" spans="1:13" s="15" customFormat="1" ht="14.25">
      <c r="A373" s="232" t="s">
        <v>343</v>
      </c>
      <c r="B373" s="256"/>
      <c r="C373" s="47" t="s">
        <v>116</v>
      </c>
      <c r="D373" s="97" t="s">
        <v>429</v>
      </c>
      <c r="E373" s="97" t="s">
        <v>344</v>
      </c>
      <c r="F373" s="187"/>
      <c r="G373" s="73">
        <f>SUM(G374)</f>
        <v>7106.6</v>
      </c>
      <c r="H373" s="73">
        <f>SUM(H375)</f>
        <v>6200.3</v>
      </c>
      <c r="I373" s="73">
        <f t="shared" si="10"/>
        <v>87.24706610756199</v>
      </c>
      <c r="J373" s="245"/>
      <c r="K373" s="245"/>
      <c r="L373" s="242"/>
      <c r="M373" s="73">
        <f>SUM(M374)</f>
        <v>7106.6</v>
      </c>
    </row>
    <row r="374" spans="1:13" s="30" customFormat="1" ht="28.5">
      <c r="A374" s="232" t="s">
        <v>87</v>
      </c>
      <c r="B374" s="259"/>
      <c r="C374" s="47" t="s">
        <v>116</v>
      </c>
      <c r="D374" s="97" t="s">
        <v>429</v>
      </c>
      <c r="E374" s="97" t="s">
        <v>74</v>
      </c>
      <c r="F374" s="187"/>
      <c r="G374" s="73">
        <f>SUM(G375)+G377</f>
        <v>7106.6</v>
      </c>
      <c r="H374" s="73"/>
      <c r="I374" s="73"/>
      <c r="J374" s="245"/>
      <c r="K374" s="245"/>
      <c r="L374" s="242"/>
      <c r="M374" s="73">
        <f>SUM(M375)+M377</f>
        <v>7106.6</v>
      </c>
    </row>
    <row r="375" spans="1:13" s="15" customFormat="1" ht="28.5">
      <c r="A375" s="232" t="s">
        <v>189</v>
      </c>
      <c r="B375" s="259"/>
      <c r="C375" s="47" t="s">
        <v>116</v>
      </c>
      <c r="D375" s="97" t="s">
        <v>429</v>
      </c>
      <c r="E375" s="97" t="s">
        <v>75</v>
      </c>
      <c r="F375" s="187"/>
      <c r="G375" s="73">
        <f>SUM(G376)</f>
        <v>7106.6</v>
      </c>
      <c r="H375" s="73">
        <v>6200.3</v>
      </c>
      <c r="I375" s="73">
        <f t="shared" si="10"/>
        <v>87.24706610756199</v>
      </c>
      <c r="J375" s="245"/>
      <c r="K375" s="245"/>
      <c r="L375" s="242"/>
      <c r="M375" s="73">
        <f>SUM(M376)</f>
        <v>7106.6</v>
      </c>
    </row>
    <row r="376" spans="1:13" s="15" customFormat="1" ht="28.5">
      <c r="A376" s="231" t="s">
        <v>480</v>
      </c>
      <c r="B376" s="269"/>
      <c r="C376" s="47" t="s">
        <v>116</v>
      </c>
      <c r="D376" s="97" t="s">
        <v>429</v>
      </c>
      <c r="E376" s="97" t="s">
        <v>75</v>
      </c>
      <c r="F376" s="238" t="s">
        <v>477</v>
      </c>
      <c r="G376" s="73">
        <v>7106.6</v>
      </c>
      <c r="H376" s="73">
        <f>SUM(H377)</f>
        <v>395.4</v>
      </c>
      <c r="I376" s="73">
        <f t="shared" si="10"/>
        <v>5.563842062308276</v>
      </c>
      <c r="J376" s="245">
        <f>SUM('ведомствен.2016-2014'!G700)</f>
        <v>7106.6</v>
      </c>
      <c r="K376" s="245">
        <f>SUM('ведомствен.2016-2014'!H700)</f>
        <v>7106.6</v>
      </c>
      <c r="L376" s="242">
        <f t="shared" si="12"/>
        <v>0</v>
      </c>
      <c r="M376" s="73">
        <v>7106.6</v>
      </c>
    </row>
    <row r="377" spans="1:13" s="15" customFormat="1" ht="28.5" hidden="1">
      <c r="A377" s="232" t="s">
        <v>151</v>
      </c>
      <c r="B377" s="269"/>
      <c r="C377" s="47" t="s">
        <v>116</v>
      </c>
      <c r="D377" s="97" t="s">
        <v>429</v>
      </c>
      <c r="E377" s="97" t="s">
        <v>199</v>
      </c>
      <c r="F377" s="238"/>
      <c r="G377" s="73">
        <f>SUM(G380+G378)</f>
        <v>0</v>
      </c>
      <c r="H377" s="73">
        <f>SUM(H378:H380)</f>
        <v>395.4</v>
      </c>
      <c r="I377" s="73" t="e">
        <f t="shared" si="10"/>
        <v>#DIV/0!</v>
      </c>
      <c r="J377" s="245"/>
      <c r="K377" s="245"/>
      <c r="L377" s="242">
        <f t="shared" si="12"/>
        <v>0</v>
      </c>
      <c r="M377" s="73">
        <f>SUM(M380+M378)</f>
        <v>0</v>
      </c>
    </row>
    <row r="378" spans="1:13" s="19" customFormat="1" ht="28.5" hidden="1">
      <c r="A378" s="232" t="s">
        <v>432</v>
      </c>
      <c r="B378" s="269"/>
      <c r="C378" s="47" t="s">
        <v>116</v>
      </c>
      <c r="D378" s="97" t="s">
        <v>429</v>
      </c>
      <c r="E378" s="97" t="s">
        <v>434</v>
      </c>
      <c r="F378" s="238"/>
      <c r="G378" s="73">
        <f>SUM(G379)</f>
        <v>0</v>
      </c>
      <c r="H378" s="73"/>
      <c r="I378" s="73" t="e">
        <f t="shared" si="10"/>
        <v>#DIV/0!</v>
      </c>
      <c r="J378" s="247"/>
      <c r="K378" s="247"/>
      <c r="L378" s="242">
        <f aca="true" t="shared" si="13" ref="L378:L440">SUM(G378-J378)</f>
        <v>0</v>
      </c>
      <c r="M378" s="73">
        <f>SUM(M379)</f>
        <v>0</v>
      </c>
    </row>
    <row r="379" spans="1:13" s="19" customFormat="1" ht="28.5" hidden="1">
      <c r="A379" s="232" t="s">
        <v>151</v>
      </c>
      <c r="B379" s="269"/>
      <c r="C379" s="47" t="s">
        <v>116</v>
      </c>
      <c r="D379" s="97" t="s">
        <v>429</v>
      </c>
      <c r="E379" s="97" t="s">
        <v>434</v>
      </c>
      <c r="F379" s="238" t="s">
        <v>76</v>
      </c>
      <c r="G379" s="73"/>
      <c r="H379" s="73">
        <v>395.4</v>
      </c>
      <c r="I379" s="73" t="e">
        <f t="shared" si="10"/>
        <v>#DIV/0!</v>
      </c>
      <c r="J379" s="247"/>
      <c r="K379" s="247"/>
      <c r="L379" s="242">
        <f t="shared" si="13"/>
        <v>0</v>
      </c>
      <c r="M379" s="73"/>
    </row>
    <row r="380" spans="1:13" s="19" customFormat="1" ht="28.5" hidden="1">
      <c r="A380" s="231" t="s">
        <v>384</v>
      </c>
      <c r="B380" s="269"/>
      <c r="C380" s="47" t="s">
        <v>116</v>
      </c>
      <c r="D380" s="97" t="s">
        <v>429</v>
      </c>
      <c r="E380" s="97" t="s">
        <v>145</v>
      </c>
      <c r="F380" s="238"/>
      <c r="G380" s="73">
        <f>SUM(G381)</f>
        <v>0</v>
      </c>
      <c r="H380" s="73"/>
      <c r="I380" s="73" t="e">
        <f t="shared" si="10"/>
        <v>#DIV/0!</v>
      </c>
      <c r="J380" s="247"/>
      <c r="K380" s="247"/>
      <c r="L380" s="242">
        <f t="shared" si="13"/>
        <v>0</v>
      </c>
      <c r="M380" s="73">
        <f>SUM(M381)</f>
        <v>0</v>
      </c>
    </row>
    <row r="381" spans="1:13" ht="28.5" hidden="1">
      <c r="A381" s="231" t="s">
        <v>135</v>
      </c>
      <c r="B381" s="269"/>
      <c r="C381" s="47" t="s">
        <v>116</v>
      </c>
      <c r="D381" s="97" t="s">
        <v>429</v>
      </c>
      <c r="E381" s="97" t="s">
        <v>145</v>
      </c>
      <c r="F381" s="238" t="s">
        <v>76</v>
      </c>
      <c r="G381" s="73"/>
      <c r="H381" s="73"/>
      <c r="I381" s="73"/>
      <c r="J381" s="242"/>
      <c r="K381" s="242"/>
      <c r="L381" s="242">
        <f t="shared" si="13"/>
        <v>0</v>
      </c>
      <c r="M381" s="73"/>
    </row>
    <row r="382" spans="1:13" ht="14.25">
      <c r="A382" s="232" t="s">
        <v>345</v>
      </c>
      <c r="B382" s="256"/>
      <c r="C382" s="47" t="s">
        <v>116</v>
      </c>
      <c r="D382" s="97" t="s">
        <v>429</v>
      </c>
      <c r="E382" s="97" t="s">
        <v>346</v>
      </c>
      <c r="F382" s="187"/>
      <c r="G382" s="73">
        <f>SUM(G383)</f>
        <v>46695.8</v>
      </c>
      <c r="H382" s="73"/>
      <c r="I382" s="73"/>
      <c r="J382" s="242"/>
      <c r="K382" s="242"/>
      <c r="L382" s="242"/>
      <c r="M382" s="73">
        <f>SUM(M383)</f>
        <v>46695.8</v>
      </c>
    </row>
    <row r="383" spans="1:13" ht="28.5">
      <c r="A383" s="232" t="s">
        <v>47</v>
      </c>
      <c r="B383" s="259"/>
      <c r="C383" s="47" t="s">
        <v>116</v>
      </c>
      <c r="D383" s="97" t="s">
        <v>429</v>
      </c>
      <c r="E383" s="97" t="s">
        <v>347</v>
      </c>
      <c r="F383" s="187"/>
      <c r="G383" s="73">
        <f>SUM(G384:G386)</f>
        <v>46695.8</v>
      </c>
      <c r="H383" s="73"/>
      <c r="I383" s="73"/>
      <c r="J383" s="242"/>
      <c r="K383" s="242"/>
      <c r="L383" s="242"/>
      <c r="M383" s="73">
        <f>SUM(M384:M386)</f>
        <v>46695.8</v>
      </c>
    </row>
    <row r="384" spans="1:13" ht="42.75">
      <c r="A384" s="232" t="s">
        <v>461</v>
      </c>
      <c r="B384" s="256"/>
      <c r="C384" s="47" t="s">
        <v>116</v>
      </c>
      <c r="D384" s="97" t="s">
        <v>429</v>
      </c>
      <c r="E384" s="97" t="s">
        <v>347</v>
      </c>
      <c r="F384" s="237" t="s">
        <v>462</v>
      </c>
      <c r="G384" s="73">
        <v>41773.4</v>
      </c>
      <c r="H384" s="73"/>
      <c r="I384" s="73"/>
      <c r="J384" s="245">
        <f>SUM('ведомствен.2016-2014'!G708)</f>
        <v>41773.4</v>
      </c>
      <c r="K384" s="245">
        <f>SUM('ведомствен.2016-2014'!H708)</f>
        <v>41773.4</v>
      </c>
      <c r="L384" s="242">
        <f t="shared" si="13"/>
        <v>0</v>
      </c>
      <c r="M384" s="73">
        <v>41773.4</v>
      </c>
    </row>
    <row r="385" spans="1:13" ht="14.25">
      <c r="A385" s="232" t="s">
        <v>463</v>
      </c>
      <c r="B385" s="256"/>
      <c r="C385" s="47" t="s">
        <v>116</v>
      </c>
      <c r="D385" s="97" t="s">
        <v>429</v>
      </c>
      <c r="E385" s="97" t="s">
        <v>347</v>
      </c>
      <c r="F385" s="237" t="s">
        <v>112</v>
      </c>
      <c r="G385" s="74">
        <v>4389.8</v>
      </c>
      <c r="H385" s="73"/>
      <c r="I385" s="73"/>
      <c r="J385" s="245">
        <f>SUM('ведомствен.2016-2014'!G709)</f>
        <v>4389.8</v>
      </c>
      <c r="K385" s="245">
        <f>SUM('ведомствен.2016-2014'!H709)</f>
        <v>4389.8</v>
      </c>
      <c r="L385" s="242">
        <f t="shared" si="13"/>
        <v>0</v>
      </c>
      <c r="M385" s="74">
        <v>4389.8</v>
      </c>
    </row>
    <row r="386" spans="1:13" ht="14.25">
      <c r="A386" s="232" t="s">
        <v>467</v>
      </c>
      <c r="B386" s="256"/>
      <c r="C386" s="47" t="s">
        <v>116</v>
      </c>
      <c r="D386" s="97" t="s">
        <v>429</v>
      </c>
      <c r="E386" s="97" t="s">
        <v>347</v>
      </c>
      <c r="F386" s="187" t="s">
        <v>161</v>
      </c>
      <c r="G386" s="73">
        <v>532.6</v>
      </c>
      <c r="H386" s="73" t="e">
        <f>SUM(H387+H391+H406+H394)+H402</f>
        <v>#REF!</v>
      </c>
      <c r="I386" s="73" t="e">
        <f t="shared" si="10"/>
        <v>#REF!</v>
      </c>
      <c r="J386" s="245">
        <f>SUM('ведомствен.2016-2014'!G710)</f>
        <v>532.6</v>
      </c>
      <c r="K386" s="245">
        <f>SUM('ведомствен.2016-2014'!H710)</f>
        <v>532.6</v>
      </c>
      <c r="L386" s="242">
        <f t="shared" si="13"/>
        <v>0</v>
      </c>
      <c r="M386" s="73">
        <v>532.6</v>
      </c>
    </row>
    <row r="387" spans="1:13" s="15" customFormat="1" ht="42.75" hidden="1">
      <c r="A387" s="231" t="s">
        <v>53</v>
      </c>
      <c r="B387" s="269"/>
      <c r="C387" s="47" t="s">
        <v>116</v>
      </c>
      <c r="D387" s="97" t="s">
        <v>429</v>
      </c>
      <c r="E387" s="97" t="s">
        <v>348</v>
      </c>
      <c r="F387" s="238"/>
      <c r="G387" s="73">
        <f>SUM(G388)</f>
        <v>0</v>
      </c>
      <c r="H387" s="73">
        <f>SUM(H388)</f>
        <v>0</v>
      </c>
      <c r="I387" s="73" t="e">
        <f t="shared" si="10"/>
        <v>#DIV/0!</v>
      </c>
      <c r="J387" s="245"/>
      <c r="K387" s="245"/>
      <c r="L387" s="242">
        <f t="shared" si="13"/>
        <v>0</v>
      </c>
      <c r="M387" s="73">
        <f>SUM(M388)</f>
        <v>0</v>
      </c>
    </row>
    <row r="388" spans="1:13" s="15" customFormat="1" ht="15" hidden="1">
      <c r="A388" s="231" t="s">
        <v>48</v>
      </c>
      <c r="B388" s="269"/>
      <c r="C388" s="47" t="s">
        <v>116</v>
      </c>
      <c r="D388" s="97" t="s">
        <v>429</v>
      </c>
      <c r="E388" s="97" t="s">
        <v>348</v>
      </c>
      <c r="F388" s="238" t="s">
        <v>240</v>
      </c>
      <c r="G388" s="73"/>
      <c r="H388" s="73">
        <f>SUM(H390)</f>
        <v>0</v>
      </c>
      <c r="I388" s="73" t="e">
        <f t="shared" si="10"/>
        <v>#DIV/0!</v>
      </c>
      <c r="J388" s="245"/>
      <c r="K388" s="245"/>
      <c r="L388" s="242">
        <f t="shared" si="13"/>
        <v>0</v>
      </c>
      <c r="M388" s="73"/>
    </row>
    <row r="389" spans="1:13" s="15" customFormat="1" ht="28.5" hidden="1">
      <c r="A389" s="231" t="s">
        <v>349</v>
      </c>
      <c r="B389" s="269"/>
      <c r="C389" s="47" t="s">
        <v>116</v>
      </c>
      <c r="D389" s="97" t="s">
        <v>429</v>
      </c>
      <c r="E389" s="97" t="s">
        <v>350</v>
      </c>
      <c r="F389" s="238"/>
      <c r="G389" s="73">
        <f>SUM(G392+G390)</f>
        <v>0</v>
      </c>
      <c r="H389" s="73">
        <f>SUM(H390)</f>
        <v>0</v>
      </c>
      <c r="I389" s="73" t="e">
        <f aca="true" t="shared" si="14" ref="I389:I455">SUM(H389/G389*100)</f>
        <v>#DIV/0!</v>
      </c>
      <c r="J389" s="242"/>
      <c r="K389" s="242"/>
      <c r="L389" s="242">
        <f t="shared" si="13"/>
        <v>0</v>
      </c>
      <c r="M389" s="73">
        <f>SUM(M392+M390)</f>
        <v>0</v>
      </c>
    </row>
    <row r="390" spans="1:13" s="15" customFormat="1" ht="15" hidden="1">
      <c r="A390" s="231" t="s">
        <v>239</v>
      </c>
      <c r="B390" s="269"/>
      <c r="C390" s="47" t="s">
        <v>116</v>
      </c>
      <c r="D390" s="97" t="s">
        <v>429</v>
      </c>
      <c r="E390" s="97" t="s">
        <v>350</v>
      </c>
      <c r="F390" s="238" t="s">
        <v>240</v>
      </c>
      <c r="G390" s="73"/>
      <c r="H390" s="73"/>
      <c r="I390" s="73" t="e">
        <f t="shared" si="14"/>
        <v>#DIV/0!</v>
      </c>
      <c r="J390" s="245"/>
      <c r="K390" s="245"/>
      <c r="L390" s="242">
        <f t="shared" si="13"/>
        <v>0</v>
      </c>
      <c r="M390" s="73"/>
    </row>
    <row r="391" spans="1:13" ht="42.75" hidden="1">
      <c r="A391" s="231" t="s">
        <v>351</v>
      </c>
      <c r="B391" s="269"/>
      <c r="C391" s="47" t="s">
        <v>116</v>
      </c>
      <c r="D391" s="97" t="s">
        <v>429</v>
      </c>
      <c r="E391" s="97" t="s">
        <v>352</v>
      </c>
      <c r="F391" s="238"/>
      <c r="G391" s="73">
        <f>SUM(G392)</f>
        <v>0</v>
      </c>
      <c r="H391" s="73" t="e">
        <f>SUM(H392)</f>
        <v>#REF!</v>
      </c>
      <c r="I391" s="73" t="e">
        <f t="shared" si="14"/>
        <v>#REF!</v>
      </c>
      <c r="J391" s="242"/>
      <c r="K391" s="242"/>
      <c r="L391" s="242">
        <f t="shared" si="13"/>
        <v>0</v>
      </c>
      <c r="M391" s="73">
        <f>SUM(M392)</f>
        <v>0</v>
      </c>
    </row>
    <row r="392" spans="1:13" ht="15" hidden="1">
      <c r="A392" s="231" t="s">
        <v>239</v>
      </c>
      <c r="B392" s="269"/>
      <c r="C392" s="47" t="s">
        <v>116</v>
      </c>
      <c r="D392" s="97" t="s">
        <v>429</v>
      </c>
      <c r="E392" s="97" t="s">
        <v>352</v>
      </c>
      <c r="F392" s="238" t="s">
        <v>240</v>
      </c>
      <c r="G392" s="73"/>
      <c r="H392" s="73" t="e">
        <f>SUM(H393)</f>
        <v>#REF!</v>
      </c>
      <c r="I392" s="73" t="e">
        <f t="shared" si="14"/>
        <v>#REF!</v>
      </c>
      <c r="J392" s="242"/>
      <c r="K392" s="242"/>
      <c r="L392" s="242">
        <f t="shared" si="13"/>
        <v>0</v>
      </c>
      <c r="M392" s="73"/>
    </row>
    <row r="393" spans="1:13" ht="15" hidden="1">
      <c r="A393" s="231" t="s">
        <v>121</v>
      </c>
      <c r="B393" s="259"/>
      <c r="C393" s="47" t="s">
        <v>116</v>
      </c>
      <c r="D393" s="97" t="s">
        <v>429</v>
      </c>
      <c r="E393" s="97" t="s">
        <v>122</v>
      </c>
      <c r="F393" s="187"/>
      <c r="G393" s="73">
        <f>SUM(G394)</f>
        <v>0</v>
      </c>
      <c r="H393" s="73" t="e">
        <f>SUM('[1]Ведомств.'!G241)</f>
        <v>#REF!</v>
      </c>
      <c r="I393" s="73" t="e">
        <f t="shared" si="14"/>
        <v>#REF!</v>
      </c>
      <c r="J393" s="242"/>
      <c r="K393" s="242"/>
      <c r="L393" s="242">
        <f t="shared" si="13"/>
        <v>0</v>
      </c>
      <c r="M393" s="73">
        <f>SUM(M394)</f>
        <v>0</v>
      </c>
    </row>
    <row r="394" spans="1:13" ht="42.75" hidden="1">
      <c r="A394" s="232" t="s">
        <v>191</v>
      </c>
      <c r="B394" s="259"/>
      <c r="C394" s="47" t="s">
        <v>116</v>
      </c>
      <c r="D394" s="97" t="s">
        <v>429</v>
      </c>
      <c r="E394" s="97" t="s">
        <v>292</v>
      </c>
      <c r="F394" s="187"/>
      <c r="G394" s="73">
        <f>SUM(G395:G396)</f>
        <v>0</v>
      </c>
      <c r="H394" s="73">
        <f>SUM(H395+H400)</f>
        <v>4731.200000000001</v>
      </c>
      <c r="I394" s="73" t="e">
        <f t="shared" si="14"/>
        <v>#DIV/0!</v>
      </c>
      <c r="J394" s="242"/>
      <c r="K394" s="242"/>
      <c r="L394" s="242">
        <f t="shared" si="13"/>
        <v>0</v>
      </c>
      <c r="M394" s="73">
        <f>SUM(M395:M396)</f>
        <v>0</v>
      </c>
    </row>
    <row r="395" spans="1:13" ht="15" hidden="1">
      <c r="A395" s="231" t="s">
        <v>48</v>
      </c>
      <c r="B395" s="259"/>
      <c r="C395" s="47" t="s">
        <v>116</v>
      </c>
      <c r="D395" s="97" t="s">
        <v>429</v>
      </c>
      <c r="E395" s="97" t="s">
        <v>292</v>
      </c>
      <c r="F395" s="187" t="s">
        <v>240</v>
      </c>
      <c r="G395" s="73"/>
      <c r="H395" s="73">
        <f>SUM(H396+H398)</f>
        <v>4731.200000000001</v>
      </c>
      <c r="I395" s="73" t="e">
        <f t="shared" si="14"/>
        <v>#DIV/0!</v>
      </c>
      <c r="J395" s="242"/>
      <c r="K395" s="242"/>
      <c r="L395" s="242">
        <f t="shared" si="13"/>
        <v>0</v>
      </c>
      <c r="M395" s="73"/>
    </row>
    <row r="396" spans="1:13" ht="28.5" hidden="1">
      <c r="A396" s="231" t="s">
        <v>135</v>
      </c>
      <c r="B396" s="259"/>
      <c r="C396" s="47" t="s">
        <v>116</v>
      </c>
      <c r="D396" s="97" t="s">
        <v>429</v>
      </c>
      <c r="E396" s="97" t="s">
        <v>292</v>
      </c>
      <c r="F396" s="187" t="s">
        <v>76</v>
      </c>
      <c r="G396" s="73"/>
      <c r="H396" s="73">
        <f>SUM(H397+H405)</f>
        <v>4731.200000000001</v>
      </c>
      <c r="I396" s="73" t="e">
        <f t="shared" si="14"/>
        <v>#DIV/0!</v>
      </c>
      <c r="J396" s="242"/>
      <c r="K396" s="242"/>
      <c r="L396" s="242">
        <f t="shared" si="13"/>
        <v>0</v>
      </c>
      <c r="M396" s="73"/>
    </row>
    <row r="397" spans="1:13" ht="15">
      <c r="A397" s="234" t="s">
        <v>218</v>
      </c>
      <c r="B397" s="259"/>
      <c r="C397" s="47" t="s">
        <v>116</v>
      </c>
      <c r="D397" s="97" t="s">
        <v>114</v>
      </c>
      <c r="E397" s="97"/>
      <c r="F397" s="187"/>
      <c r="G397" s="73">
        <f>SUM(G401+G406+G399)</f>
        <v>7164</v>
      </c>
      <c r="H397" s="73">
        <v>2740.8</v>
      </c>
      <c r="I397" s="73">
        <f t="shared" si="14"/>
        <v>38.25795644891122</v>
      </c>
      <c r="J397" s="242"/>
      <c r="K397" s="242"/>
      <c r="L397" s="242"/>
      <c r="M397" s="73">
        <f>SUM(M401+M406+M399)</f>
        <v>7164</v>
      </c>
    </row>
    <row r="398" spans="1:13" ht="15" hidden="1">
      <c r="A398" s="232" t="s">
        <v>376</v>
      </c>
      <c r="B398" s="259"/>
      <c r="C398" s="47" t="s">
        <v>116</v>
      </c>
      <c r="D398" s="97" t="s">
        <v>114</v>
      </c>
      <c r="E398" s="97" t="s">
        <v>378</v>
      </c>
      <c r="F398" s="187"/>
      <c r="G398" s="73">
        <f>SUM(G399)</f>
        <v>0</v>
      </c>
      <c r="H398" s="73">
        <f>SUM(H399)</f>
        <v>0</v>
      </c>
      <c r="I398" s="73" t="e">
        <f t="shared" si="14"/>
        <v>#DIV/0!</v>
      </c>
      <c r="J398" s="242"/>
      <c r="K398" s="242"/>
      <c r="L398" s="242"/>
      <c r="M398" s="73">
        <f>SUM(M399)</f>
        <v>0</v>
      </c>
    </row>
    <row r="399" spans="1:13" ht="15" hidden="1">
      <c r="A399" s="232" t="s">
        <v>357</v>
      </c>
      <c r="B399" s="259"/>
      <c r="C399" s="47" t="s">
        <v>116</v>
      </c>
      <c r="D399" s="97" t="s">
        <v>114</v>
      </c>
      <c r="E399" s="97" t="s">
        <v>358</v>
      </c>
      <c r="F399" s="187"/>
      <c r="G399" s="73">
        <f>SUM(G400)</f>
        <v>0</v>
      </c>
      <c r="H399" s="73"/>
      <c r="I399" s="73" t="e">
        <f t="shared" si="14"/>
        <v>#DIV/0!</v>
      </c>
      <c r="J399" s="242"/>
      <c r="K399" s="242"/>
      <c r="L399" s="242"/>
      <c r="M399" s="73">
        <f>SUM(M400)</f>
        <v>0</v>
      </c>
    </row>
    <row r="400" spans="1:13" ht="42.75" hidden="1">
      <c r="A400" s="232" t="s">
        <v>300</v>
      </c>
      <c r="B400" s="259"/>
      <c r="C400" s="47" t="s">
        <v>116</v>
      </c>
      <c r="D400" s="97" t="s">
        <v>114</v>
      </c>
      <c r="E400" s="97" t="s">
        <v>358</v>
      </c>
      <c r="F400" s="187" t="s">
        <v>301</v>
      </c>
      <c r="G400" s="73"/>
      <c r="H400" s="73">
        <f>SUM(H401)</f>
        <v>0</v>
      </c>
      <c r="I400" s="73" t="e">
        <f t="shared" si="14"/>
        <v>#DIV/0!</v>
      </c>
      <c r="J400" s="242"/>
      <c r="K400" s="242"/>
      <c r="L400" s="242"/>
      <c r="M400" s="73"/>
    </row>
    <row r="401" spans="1:13" ht="57">
      <c r="A401" s="234" t="s">
        <v>283</v>
      </c>
      <c r="B401" s="259"/>
      <c r="C401" s="47" t="s">
        <v>116</v>
      </c>
      <c r="D401" s="97" t="s">
        <v>114</v>
      </c>
      <c r="E401" s="97" t="s">
        <v>284</v>
      </c>
      <c r="F401" s="187"/>
      <c r="G401" s="73">
        <f>SUM(G402)</f>
        <v>7164</v>
      </c>
      <c r="H401" s="73"/>
      <c r="I401" s="73">
        <f t="shared" si="14"/>
        <v>0</v>
      </c>
      <c r="J401" s="242"/>
      <c r="K401" s="242"/>
      <c r="L401" s="242"/>
      <c r="M401" s="73">
        <f>SUM(M402)</f>
        <v>7164</v>
      </c>
    </row>
    <row r="402" spans="1:13" ht="28.5">
      <c r="A402" s="232" t="s">
        <v>47</v>
      </c>
      <c r="B402" s="259"/>
      <c r="C402" s="47" t="s">
        <v>116</v>
      </c>
      <c r="D402" s="97" t="s">
        <v>114</v>
      </c>
      <c r="E402" s="97" t="s">
        <v>285</v>
      </c>
      <c r="F402" s="187"/>
      <c r="G402" s="73">
        <f>SUM(G403:G405)</f>
        <v>7164</v>
      </c>
      <c r="H402" s="73">
        <f>SUM(H403)</f>
        <v>0</v>
      </c>
      <c r="I402" s="73">
        <f t="shared" si="14"/>
        <v>0</v>
      </c>
      <c r="J402" s="242"/>
      <c r="K402" s="242"/>
      <c r="L402" s="242"/>
      <c r="M402" s="73">
        <f>SUM(M403:M405)</f>
        <v>7164</v>
      </c>
    </row>
    <row r="403" spans="1:13" ht="42.75">
      <c r="A403" s="232" t="s">
        <v>461</v>
      </c>
      <c r="B403" s="269"/>
      <c r="C403" s="47" t="s">
        <v>116</v>
      </c>
      <c r="D403" s="97" t="s">
        <v>114</v>
      </c>
      <c r="E403" s="97" t="s">
        <v>285</v>
      </c>
      <c r="F403" s="238" t="s">
        <v>462</v>
      </c>
      <c r="G403" s="73">
        <v>6337.8</v>
      </c>
      <c r="H403" s="73">
        <f>SUM(H404)</f>
        <v>0</v>
      </c>
      <c r="I403" s="73">
        <f t="shared" si="14"/>
        <v>0</v>
      </c>
      <c r="J403" s="245">
        <f>SUM('ведомствен.2016-2014'!G727)</f>
        <v>6337.8</v>
      </c>
      <c r="K403" s="245">
        <f>SUM('ведомствен.2016-2014'!H727)</f>
        <v>6337.8</v>
      </c>
      <c r="L403" s="242">
        <f t="shared" si="13"/>
        <v>0</v>
      </c>
      <c r="M403" s="73">
        <v>6337.8</v>
      </c>
    </row>
    <row r="404" spans="1:13" ht="15">
      <c r="A404" s="232" t="s">
        <v>463</v>
      </c>
      <c r="B404" s="269"/>
      <c r="C404" s="47" t="s">
        <v>116</v>
      </c>
      <c r="D404" s="97" t="s">
        <v>114</v>
      </c>
      <c r="E404" s="97" t="s">
        <v>285</v>
      </c>
      <c r="F404" s="238" t="s">
        <v>112</v>
      </c>
      <c r="G404" s="73">
        <v>817.3</v>
      </c>
      <c r="H404" s="73"/>
      <c r="I404" s="73">
        <f t="shared" si="14"/>
        <v>0</v>
      </c>
      <c r="J404" s="245">
        <f>SUM('ведомствен.2016-2014'!G728)</f>
        <v>817.3</v>
      </c>
      <c r="K404" s="245">
        <f>SUM('ведомствен.2016-2014'!H728)</f>
        <v>817.3</v>
      </c>
      <c r="L404" s="242">
        <f t="shared" si="13"/>
        <v>0</v>
      </c>
      <c r="M404" s="73">
        <v>817.3</v>
      </c>
    </row>
    <row r="405" spans="1:13" ht="15">
      <c r="A405" s="232" t="s">
        <v>467</v>
      </c>
      <c r="B405" s="269"/>
      <c r="C405" s="47" t="s">
        <v>116</v>
      </c>
      <c r="D405" s="97" t="s">
        <v>114</v>
      </c>
      <c r="E405" s="97" t="s">
        <v>285</v>
      </c>
      <c r="F405" s="238" t="s">
        <v>161</v>
      </c>
      <c r="G405" s="73">
        <v>8.9</v>
      </c>
      <c r="H405" s="73">
        <v>1990.4</v>
      </c>
      <c r="I405" s="73">
        <f t="shared" si="14"/>
        <v>22364.044943820223</v>
      </c>
      <c r="J405" s="245">
        <f>SUM('ведомствен.2016-2014'!G729)</f>
        <v>8.9</v>
      </c>
      <c r="K405" s="245">
        <f>SUM('ведомствен.2016-2014'!H729)</f>
        <v>8.9</v>
      </c>
      <c r="L405" s="242">
        <f t="shared" si="13"/>
        <v>0</v>
      </c>
      <c r="M405" s="73">
        <v>8.9</v>
      </c>
    </row>
    <row r="406" spans="1:13" ht="15" hidden="1">
      <c r="A406" s="231" t="s">
        <v>121</v>
      </c>
      <c r="B406" s="259"/>
      <c r="C406" s="47" t="s">
        <v>116</v>
      </c>
      <c r="D406" s="97" t="s">
        <v>114</v>
      </c>
      <c r="E406" s="97" t="s">
        <v>122</v>
      </c>
      <c r="F406" s="187"/>
      <c r="G406" s="73">
        <f>SUM(G409)+G412+G407</f>
        <v>0</v>
      </c>
      <c r="H406" s="73">
        <f>SUM(H408+H417)</f>
        <v>2530.4</v>
      </c>
      <c r="I406" s="73" t="e">
        <f t="shared" si="14"/>
        <v>#DIV/0!</v>
      </c>
      <c r="J406" s="242"/>
      <c r="K406" s="242"/>
      <c r="L406" s="242">
        <f t="shared" si="13"/>
        <v>0</v>
      </c>
      <c r="M406" s="73">
        <f>SUM(M409)+M412+M407</f>
        <v>0</v>
      </c>
    </row>
    <row r="407" spans="1:13" ht="42.75" hidden="1">
      <c r="A407" s="232" t="s">
        <v>191</v>
      </c>
      <c r="B407" s="259"/>
      <c r="C407" s="47" t="s">
        <v>116</v>
      </c>
      <c r="D407" s="97" t="s">
        <v>114</v>
      </c>
      <c r="E407" s="97" t="s">
        <v>292</v>
      </c>
      <c r="F407" s="187"/>
      <c r="G407" s="73">
        <f>SUM(G408)</f>
        <v>0</v>
      </c>
      <c r="H407" s="73">
        <f>SUM(H408:H417)</f>
        <v>3022.5</v>
      </c>
      <c r="I407" s="73" t="e">
        <f t="shared" si="14"/>
        <v>#DIV/0!</v>
      </c>
      <c r="J407" s="242"/>
      <c r="K407" s="242"/>
      <c r="L407" s="242">
        <f t="shared" si="13"/>
        <v>0</v>
      </c>
      <c r="M407" s="73">
        <f>SUM(M408)</f>
        <v>0</v>
      </c>
    </row>
    <row r="408" spans="1:13" s="20" customFormat="1" ht="15" hidden="1">
      <c r="A408" s="231" t="s">
        <v>48</v>
      </c>
      <c r="B408" s="259"/>
      <c r="C408" s="47" t="s">
        <v>116</v>
      </c>
      <c r="D408" s="97" t="s">
        <v>114</v>
      </c>
      <c r="E408" s="97" t="s">
        <v>292</v>
      </c>
      <c r="F408" s="187" t="s">
        <v>240</v>
      </c>
      <c r="G408" s="73"/>
      <c r="H408" s="73">
        <f>SUM(H410)</f>
        <v>492.1</v>
      </c>
      <c r="I408" s="73" t="e">
        <f t="shared" si="14"/>
        <v>#DIV/0!</v>
      </c>
      <c r="J408" s="242"/>
      <c r="K408" s="242"/>
      <c r="L408" s="242">
        <f t="shared" si="13"/>
        <v>0</v>
      </c>
      <c r="M408" s="73"/>
    </row>
    <row r="409" spans="1:13" s="15" customFormat="1" ht="28.5" hidden="1">
      <c r="A409" s="232" t="s">
        <v>478</v>
      </c>
      <c r="B409" s="259"/>
      <c r="C409" s="47" t="s">
        <v>116</v>
      </c>
      <c r="D409" s="97" t="s">
        <v>114</v>
      </c>
      <c r="E409" s="97" t="s">
        <v>302</v>
      </c>
      <c r="F409" s="187"/>
      <c r="G409" s="73">
        <f>SUM(G410:G411)</f>
        <v>0</v>
      </c>
      <c r="H409" s="73"/>
      <c r="I409" s="73"/>
      <c r="J409" s="245"/>
      <c r="K409" s="245"/>
      <c r="L409" s="242">
        <f t="shared" si="13"/>
        <v>0</v>
      </c>
      <c r="M409" s="73">
        <f>SUM(M410:M411)</f>
        <v>0</v>
      </c>
    </row>
    <row r="410" spans="1:13" s="20" customFormat="1" ht="57" hidden="1">
      <c r="A410" s="231" t="s">
        <v>88</v>
      </c>
      <c r="B410" s="259"/>
      <c r="C410" s="47" t="s">
        <v>116</v>
      </c>
      <c r="D410" s="97" t="s">
        <v>114</v>
      </c>
      <c r="E410" s="97" t="s">
        <v>302</v>
      </c>
      <c r="F410" s="187" t="s">
        <v>301</v>
      </c>
      <c r="G410" s="73"/>
      <c r="H410" s="73">
        <v>492.1</v>
      </c>
      <c r="I410" s="73" t="e">
        <f t="shared" si="14"/>
        <v>#DIV/0!</v>
      </c>
      <c r="J410" s="242"/>
      <c r="K410" s="242"/>
      <c r="L410" s="242">
        <f t="shared" si="13"/>
        <v>0</v>
      </c>
      <c r="M410" s="73"/>
    </row>
    <row r="411" spans="1:13" s="20" customFormat="1" ht="28.5" hidden="1">
      <c r="A411" s="232" t="s">
        <v>151</v>
      </c>
      <c r="B411" s="259"/>
      <c r="C411" s="47" t="s">
        <v>116</v>
      </c>
      <c r="D411" s="97" t="s">
        <v>114</v>
      </c>
      <c r="E411" s="97" t="s">
        <v>302</v>
      </c>
      <c r="F411" s="187" t="s">
        <v>76</v>
      </c>
      <c r="G411" s="73"/>
      <c r="H411" s="73">
        <f>SUM(H413)</f>
        <v>0</v>
      </c>
      <c r="I411" s="73" t="e">
        <f t="shared" si="14"/>
        <v>#DIV/0!</v>
      </c>
      <c r="J411" s="242"/>
      <c r="K411" s="242"/>
      <c r="L411" s="242">
        <f t="shared" si="13"/>
        <v>0</v>
      </c>
      <c r="M411" s="73"/>
    </row>
    <row r="412" spans="1:13" s="20" customFormat="1" ht="15" hidden="1">
      <c r="A412" s="232" t="s">
        <v>479</v>
      </c>
      <c r="B412" s="259"/>
      <c r="C412" s="47" t="s">
        <v>116</v>
      </c>
      <c r="D412" s="97" t="s">
        <v>114</v>
      </c>
      <c r="E412" s="97" t="s">
        <v>303</v>
      </c>
      <c r="F412" s="187"/>
      <c r="G412" s="73">
        <f>SUM(G413:G415)</f>
        <v>0</v>
      </c>
      <c r="H412" s="73"/>
      <c r="I412" s="73"/>
      <c r="J412" s="242"/>
      <c r="K412" s="242"/>
      <c r="L412" s="242">
        <f t="shared" si="13"/>
        <v>0</v>
      </c>
      <c r="M412" s="73">
        <f>SUM(M413:M415)</f>
        <v>0</v>
      </c>
    </row>
    <row r="413" spans="1:13" s="20" customFormat="1" ht="42.75" hidden="1">
      <c r="A413" s="232" t="s">
        <v>461</v>
      </c>
      <c r="B413" s="259"/>
      <c r="C413" s="47" t="s">
        <v>116</v>
      </c>
      <c r="D413" s="97" t="s">
        <v>114</v>
      </c>
      <c r="E413" s="97" t="s">
        <v>303</v>
      </c>
      <c r="F413" s="187" t="s">
        <v>462</v>
      </c>
      <c r="G413" s="73"/>
      <c r="H413" s="73"/>
      <c r="I413" s="73" t="e">
        <f t="shared" si="14"/>
        <v>#DIV/0!</v>
      </c>
      <c r="J413" s="245">
        <f>SUM('ведомствен.2016-2014'!G737)</f>
        <v>0</v>
      </c>
      <c r="K413" s="245">
        <f>SUM('ведомствен.2016-2014'!H737)</f>
        <v>0</v>
      </c>
      <c r="L413" s="242">
        <f t="shared" si="13"/>
        <v>0</v>
      </c>
      <c r="M413" s="73"/>
    </row>
    <row r="414" spans="1:13" s="20" customFormat="1" ht="15" hidden="1">
      <c r="A414" s="232" t="s">
        <v>463</v>
      </c>
      <c r="B414" s="259"/>
      <c r="C414" s="47" t="s">
        <v>116</v>
      </c>
      <c r="D414" s="97" t="s">
        <v>114</v>
      </c>
      <c r="E414" s="97" t="s">
        <v>303</v>
      </c>
      <c r="F414" s="187" t="s">
        <v>112</v>
      </c>
      <c r="G414" s="73"/>
      <c r="H414" s="73">
        <f>SUM(H416)</f>
        <v>0</v>
      </c>
      <c r="I414" s="73" t="e">
        <f>SUM(H414/G414*100)</f>
        <v>#DIV/0!</v>
      </c>
      <c r="J414" s="245">
        <f>SUM('ведомствен.2016-2014'!G738)</f>
        <v>0</v>
      </c>
      <c r="K414" s="245">
        <f>SUM('ведомствен.2016-2014'!H738)</f>
        <v>0</v>
      </c>
      <c r="L414" s="242">
        <f t="shared" si="13"/>
        <v>0</v>
      </c>
      <c r="M414" s="73"/>
    </row>
    <row r="415" spans="1:13" s="20" customFormat="1" ht="15" hidden="1">
      <c r="A415" s="232" t="s">
        <v>467</v>
      </c>
      <c r="B415" s="259"/>
      <c r="C415" s="47" t="s">
        <v>116</v>
      </c>
      <c r="D415" s="97" t="s">
        <v>114</v>
      </c>
      <c r="E415" s="97" t="s">
        <v>303</v>
      </c>
      <c r="F415" s="187" t="s">
        <v>161</v>
      </c>
      <c r="G415" s="73"/>
      <c r="H415" s="73"/>
      <c r="I415" s="73"/>
      <c r="J415" s="245"/>
      <c r="K415" s="245"/>
      <c r="L415" s="242">
        <f t="shared" si="13"/>
        <v>0</v>
      </c>
      <c r="M415" s="73"/>
    </row>
    <row r="416" spans="1:13" s="20" customFormat="1" ht="28.5" hidden="1">
      <c r="A416" s="232" t="s">
        <v>151</v>
      </c>
      <c r="B416" s="259"/>
      <c r="C416" s="47" t="s">
        <v>116</v>
      </c>
      <c r="D416" s="97" t="s">
        <v>114</v>
      </c>
      <c r="E416" s="97" t="s">
        <v>303</v>
      </c>
      <c r="F416" s="187" t="s">
        <v>76</v>
      </c>
      <c r="G416" s="73"/>
      <c r="H416" s="73"/>
      <c r="I416" s="73" t="e">
        <f>SUM(H416/G416*100)</f>
        <v>#DIV/0!</v>
      </c>
      <c r="J416" s="242"/>
      <c r="K416" s="242"/>
      <c r="L416" s="242">
        <f t="shared" si="13"/>
        <v>0</v>
      </c>
      <c r="M416" s="73"/>
    </row>
    <row r="417" spans="1:13" ht="42.75" hidden="1">
      <c r="A417" s="232" t="s">
        <v>461</v>
      </c>
      <c r="B417" s="259"/>
      <c r="C417" s="47" t="s">
        <v>116</v>
      </c>
      <c r="D417" s="97" t="s">
        <v>114</v>
      </c>
      <c r="E417" s="97" t="s">
        <v>303</v>
      </c>
      <c r="F417" s="187" t="s">
        <v>462</v>
      </c>
      <c r="G417" s="73"/>
      <c r="H417" s="73">
        <f>SUM(H418+H421)</f>
        <v>2038.3</v>
      </c>
      <c r="I417" s="73" t="e">
        <f t="shared" si="14"/>
        <v>#DIV/0!</v>
      </c>
      <c r="J417" s="242"/>
      <c r="K417" s="242"/>
      <c r="L417" s="242">
        <f t="shared" si="13"/>
        <v>0</v>
      </c>
      <c r="M417" s="73"/>
    </row>
    <row r="418" spans="1:13" s="20" customFormat="1" ht="15" hidden="1">
      <c r="A418" s="232" t="s">
        <v>463</v>
      </c>
      <c r="B418" s="259"/>
      <c r="C418" s="47" t="s">
        <v>116</v>
      </c>
      <c r="D418" s="97" t="s">
        <v>114</v>
      </c>
      <c r="E418" s="97" t="s">
        <v>303</v>
      </c>
      <c r="F418" s="187" t="s">
        <v>112</v>
      </c>
      <c r="G418" s="73"/>
      <c r="H418" s="73">
        <f>SUM(H419:H420)</f>
        <v>1157.5</v>
      </c>
      <c r="I418" s="73" t="e">
        <f t="shared" si="14"/>
        <v>#DIV/0!</v>
      </c>
      <c r="J418" s="242"/>
      <c r="K418" s="242"/>
      <c r="L418" s="242">
        <f t="shared" si="13"/>
        <v>0</v>
      </c>
      <c r="M418" s="73"/>
    </row>
    <row r="419" spans="1:14" s="20" customFormat="1" ht="15">
      <c r="A419" s="258" t="s">
        <v>310</v>
      </c>
      <c r="B419" s="259"/>
      <c r="C419" s="155" t="s">
        <v>294</v>
      </c>
      <c r="D419" s="96"/>
      <c r="E419" s="96"/>
      <c r="F419" s="260"/>
      <c r="G419" s="76">
        <f>SUM(G420+G431+G449+G458)</f>
        <v>43884.8</v>
      </c>
      <c r="H419" s="73">
        <v>1157.5</v>
      </c>
      <c r="I419" s="73">
        <f t="shared" si="14"/>
        <v>2.6375875018229546</v>
      </c>
      <c r="J419" s="242"/>
      <c r="K419" s="242"/>
      <c r="L419" s="242"/>
      <c r="M419" s="76">
        <f>SUM(M420+M431+M449+M458)</f>
        <v>43884.8</v>
      </c>
      <c r="N419" s="223">
        <f>SUM(K430:K465)</f>
        <v>43884.799999999996</v>
      </c>
    </row>
    <row r="420" spans="1:13" s="20" customFormat="1" ht="14.25">
      <c r="A420" s="232" t="s">
        <v>310</v>
      </c>
      <c r="B420" s="224"/>
      <c r="C420" s="97" t="s">
        <v>294</v>
      </c>
      <c r="D420" s="97"/>
      <c r="E420" s="97"/>
      <c r="F420" s="187"/>
      <c r="G420" s="72">
        <f>SUM(G421+G438)</f>
        <v>6561.1</v>
      </c>
      <c r="H420" s="73"/>
      <c r="I420" s="73">
        <f t="shared" si="14"/>
        <v>0</v>
      </c>
      <c r="J420" s="242"/>
      <c r="K420" s="242"/>
      <c r="L420" s="242"/>
      <c r="M420" s="161">
        <f>SUM(M421+M438)</f>
        <v>6561.1</v>
      </c>
    </row>
    <row r="421" spans="1:13" ht="14.25">
      <c r="A421" s="232" t="s">
        <v>163</v>
      </c>
      <c r="B421" s="224"/>
      <c r="C421" s="97" t="s">
        <v>294</v>
      </c>
      <c r="D421" s="97" t="s">
        <v>429</v>
      </c>
      <c r="E421" s="97"/>
      <c r="F421" s="187"/>
      <c r="G421" s="72">
        <f>SUM(G422+G425)</f>
        <v>6561.1</v>
      </c>
      <c r="H421" s="73">
        <f>SUM(H422)</f>
        <v>880.8</v>
      </c>
      <c r="I421" s="73">
        <f t="shared" si="14"/>
        <v>13.424578195729373</v>
      </c>
      <c r="J421" s="242"/>
      <c r="K421" s="242"/>
      <c r="L421" s="242"/>
      <c r="M421" s="161">
        <f>SUM(M422+M425)</f>
        <v>6561.1</v>
      </c>
    </row>
    <row r="422" spans="1:13" ht="28.5">
      <c r="A422" s="232" t="s">
        <v>593</v>
      </c>
      <c r="B422" s="224"/>
      <c r="C422" s="97" t="s">
        <v>294</v>
      </c>
      <c r="D422" s="97" t="s">
        <v>429</v>
      </c>
      <c r="E422" s="97" t="s">
        <v>594</v>
      </c>
      <c r="F422" s="187"/>
      <c r="G422" s="74">
        <f>SUM(G423)</f>
        <v>6561.1</v>
      </c>
      <c r="H422" s="73">
        <v>880.8</v>
      </c>
      <c r="I422" s="73">
        <f t="shared" si="14"/>
        <v>13.424578195729373</v>
      </c>
      <c r="J422" s="242"/>
      <c r="K422" s="242"/>
      <c r="L422" s="242"/>
      <c r="M422" s="167">
        <f>SUM(M423)</f>
        <v>6561.1</v>
      </c>
    </row>
    <row r="423" spans="1:13" ht="27.75" customHeight="1">
      <c r="A423" s="232" t="s">
        <v>87</v>
      </c>
      <c r="B423" s="225"/>
      <c r="C423" s="97" t="s">
        <v>294</v>
      </c>
      <c r="D423" s="97" t="s">
        <v>429</v>
      </c>
      <c r="E423" s="97" t="s">
        <v>595</v>
      </c>
      <c r="F423" s="187"/>
      <c r="G423" s="72">
        <f>SUM(G429)</f>
        <v>6561.1</v>
      </c>
      <c r="H423" s="73">
        <f>SUM(H424)</f>
        <v>0</v>
      </c>
      <c r="I423" s="73">
        <f t="shared" si="14"/>
        <v>0</v>
      </c>
      <c r="J423" s="242"/>
      <c r="K423" s="242"/>
      <c r="L423" s="242"/>
      <c r="M423" s="161">
        <f>SUM(M429)</f>
        <v>6561.1</v>
      </c>
    </row>
    <row r="424" spans="1:13" ht="28.5" hidden="1">
      <c r="A424" s="231" t="s">
        <v>135</v>
      </c>
      <c r="B424" s="259"/>
      <c r="C424" s="47" t="s">
        <v>294</v>
      </c>
      <c r="D424" s="97" t="s">
        <v>429</v>
      </c>
      <c r="E424" s="97" t="s">
        <v>133</v>
      </c>
      <c r="F424" s="187" t="s">
        <v>76</v>
      </c>
      <c r="G424" s="73"/>
      <c r="H424" s="73"/>
      <c r="I424" s="73" t="e">
        <f t="shared" si="14"/>
        <v>#DIV/0!</v>
      </c>
      <c r="J424" s="242"/>
      <c r="K424" s="242"/>
      <c r="L424" s="242"/>
      <c r="M424" s="73"/>
    </row>
    <row r="425" spans="1:13" s="12" customFormat="1" ht="28.5" hidden="1">
      <c r="A425" s="231" t="s">
        <v>384</v>
      </c>
      <c r="B425" s="259"/>
      <c r="C425" s="47" t="s">
        <v>294</v>
      </c>
      <c r="D425" s="97" t="s">
        <v>429</v>
      </c>
      <c r="E425" s="97" t="s">
        <v>134</v>
      </c>
      <c r="F425" s="187"/>
      <c r="G425" s="73">
        <f>SUM(G426)</f>
        <v>0</v>
      </c>
      <c r="H425" s="78">
        <f>SUM(H426)+H430</f>
        <v>4199.7</v>
      </c>
      <c r="I425" s="78" t="e">
        <f t="shared" si="14"/>
        <v>#DIV/0!</v>
      </c>
      <c r="J425" s="244"/>
      <c r="K425" s="244"/>
      <c r="L425" s="242"/>
      <c r="M425" s="73">
        <f>SUM(M426)</f>
        <v>0</v>
      </c>
    </row>
    <row r="426" spans="1:13" ht="28.5" hidden="1">
      <c r="A426" s="231" t="s">
        <v>135</v>
      </c>
      <c r="B426" s="259"/>
      <c r="C426" s="47" t="s">
        <v>294</v>
      </c>
      <c r="D426" s="97" t="s">
        <v>429</v>
      </c>
      <c r="E426" s="97" t="s">
        <v>134</v>
      </c>
      <c r="F426" s="187" t="s">
        <v>76</v>
      </c>
      <c r="G426" s="73"/>
      <c r="H426" s="73">
        <f>SUM(H429)</f>
        <v>2199.7</v>
      </c>
      <c r="I426" s="73" t="e">
        <f t="shared" si="14"/>
        <v>#DIV/0!</v>
      </c>
      <c r="J426" s="242"/>
      <c r="K426" s="242"/>
      <c r="L426" s="242"/>
      <c r="M426" s="73"/>
    </row>
    <row r="427" spans="1:13" ht="28.5" hidden="1">
      <c r="A427" s="232" t="s">
        <v>197</v>
      </c>
      <c r="B427" s="259"/>
      <c r="C427" s="47" t="s">
        <v>294</v>
      </c>
      <c r="D427" s="97" t="s">
        <v>429</v>
      </c>
      <c r="E427" s="97" t="s">
        <v>200</v>
      </c>
      <c r="F427" s="187"/>
      <c r="G427" s="73">
        <f>SUM(G428)</f>
        <v>0</v>
      </c>
      <c r="H427" s="73">
        <f>SUM(H428)</f>
        <v>2199.7</v>
      </c>
      <c r="I427" s="73" t="e">
        <f t="shared" si="14"/>
        <v>#DIV/0!</v>
      </c>
      <c r="J427" s="242"/>
      <c r="K427" s="242"/>
      <c r="L427" s="242"/>
      <c r="M427" s="73">
        <f>SUM(M428)</f>
        <v>0</v>
      </c>
    </row>
    <row r="428" spans="1:13" ht="28.5" hidden="1">
      <c r="A428" s="232" t="s">
        <v>151</v>
      </c>
      <c r="B428" s="259"/>
      <c r="C428" s="47" t="s">
        <v>294</v>
      </c>
      <c r="D428" s="97" t="s">
        <v>429</v>
      </c>
      <c r="E428" s="97" t="s">
        <v>200</v>
      </c>
      <c r="F428" s="187" t="s">
        <v>76</v>
      </c>
      <c r="G428" s="73"/>
      <c r="H428" s="73">
        <f>SUM(H429)</f>
        <v>2199.7</v>
      </c>
      <c r="I428" s="73" t="e">
        <f t="shared" si="14"/>
        <v>#DIV/0!</v>
      </c>
      <c r="J428" s="242"/>
      <c r="K428" s="242"/>
      <c r="L428" s="242"/>
      <c r="M428" s="73"/>
    </row>
    <row r="429" spans="1:13" ht="28.5">
      <c r="A429" s="232" t="s">
        <v>295</v>
      </c>
      <c r="B429" s="225"/>
      <c r="C429" s="97" t="s">
        <v>294</v>
      </c>
      <c r="D429" s="97" t="s">
        <v>429</v>
      </c>
      <c r="E429" s="97" t="s">
        <v>596</v>
      </c>
      <c r="F429" s="187"/>
      <c r="G429" s="72">
        <f>SUM(G430)</f>
        <v>6561.1</v>
      </c>
      <c r="H429" s="73">
        <v>2199.7</v>
      </c>
      <c r="I429" s="73">
        <f t="shared" si="14"/>
        <v>33.526390391855024</v>
      </c>
      <c r="J429" s="242"/>
      <c r="K429" s="242"/>
      <c r="L429" s="242"/>
      <c r="M429" s="161">
        <f>SUM(M430)</f>
        <v>6561.1</v>
      </c>
    </row>
    <row r="430" spans="1:13" ht="28.5">
      <c r="A430" s="231" t="s">
        <v>480</v>
      </c>
      <c r="B430" s="226"/>
      <c r="C430" s="97" t="s">
        <v>294</v>
      </c>
      <c r="D430" s="97" t="s">
        <v>429</v>
      </c>
      <c r="E430" s="97" t="s">
        <v>596</v>
      </c>
      <c r="F430" s="238" t="s">
        <v>477</v>
      </c>
      <c r="G430" s="72">
        <v>6561.1</v>
      </c>
      <c r="H430" s="73">
        <f>SUM(H434)+H431</f>
        <v>2000</v>
      </c>
      <c r="I430" s="73">
        <f t="shared" si="14"/>
        <v>30.482693450793306</v>
      </c>
      <c r="J430" s="242">
        <f>SUM('ведомствен.2016-2014'!G762)</f>
        <v>6561.1</v>
      </c>
      <c r="K430" s="242">
        <f>SUM('ведомствен.2016-2014'!H762)</f>
        <v>6561.1</v>
      </c>
      <c r="L430" s="242">
        <f t="shared" si="13"/>
        <v>0</v>
      </c>
      <c r="M430" s="161">
        <v>6561.1</v>
      </c>
    </row>
    <row r="431" spans="1:13" ht="14.25">
      <c r="A431" s="232" t="s">
        <v>227</v>
      </c>
      <c r="B431" s="256"/>
      <c r="C431" s="47" t="s">
        <v>294</v>
      </c>
      <c r="D431" s="97" t="s">
        <v>431</v>
      </c>
      <c r="E431" s="97"/>
      <c r="F431" s="187"/>
      <c r="G431" s="73">
        <f>SUM(G432)</f>
        <v>22863</v>
      </c>
      <c r="H431" s="73">
        <f>SUM(H432)</f>
        <v>0</v>
      </c>
      <c r="I431" s="73">
        <f t="shared" si="14"/>
        <v>0</v>
      </c>
      <c r="J431" s="242"/>
      <c r="K431" s="242"/>
      <c r="L431" s="242"/>
      <c r="M431" s="73">
        <f>SUM(M432)</f>
        <v>22863</v>
      </c>
    </row>
    <row r="432" spans="1:13" ht="28.5">
      <c r="A432" s="232" t="s">
        <v>593</v>
      </c>
      <c r="B432" s="224"/>
      <c r="C432" s="97" t="s">
        <v>294</v>
      </c>
      <c r="D432" s="97" t="s">
        <v>431</v>
      </c>
      <c r="E432" s="97" t="s">
        <v>594</v>
      </c>
      <c r="F432" s="187"/>
      <c r="G432" s="73">
        <f>SUM(G433)+G441</f>
        <v>22863</v>
      </c>
      <c r="H432" s="73">
        <f>SUM(H433)</f>
        <v>0</v>
      </c>
      <c r="I432" s="73">
        <f t="shared" si="14"/>
        <v>0</v>
      </c>
      <c r="J432" s="242"/>
      <c r="K432" s="242"/>
      <c r="L432" s="242"/>
      <c r="M432" s="75">
        <f>SUM(M433)+M441</f>
        <v>22863</v>
      </c>
    </row>
    <row r="433" spans="1:13" s="21" customFormat="1" ht="42.75">
      <c r="A433" s="232" t="s">
        <v>599</v>
      </c>
      <c r="B433" s="225"/>
      <c r="C433" s="97" t="s">
        <v>294</v>
      </c>
      <c r="D433" s="97" t="s">
        <v>431</v>
      </c>
      <c r="E433" s="97" t="s">
        <v>672</v>
      </c>
      <c r="F433" s="187"/>
      <c r="G433" s="73">
        <f>SUM(G439)</f>
        <v>10962.5</v>
      </c>
      <c r="H433" s="73"/>
      <c r="I433" s="73">
        <f t="shared" si="14"/>
        <v>0</v>
      </c>
      <c r="J433" s="248"/>
      <c r="K433" s="248"/>
      <c r="L433" s="242"/>
      <c r="M433" s="75">
        <f>SUM(M439)</f>
        <v>10962.5</v>
      </c>
    </row>
    <row r="434" spans="1:13" ht="28.5" hidden="1">
      <c r="A434" s="231" t="s">
        <v>151</v>
      </c>
      <c r="B434" s="259"/>
      <c r="C434" s="47" t="s">
        <v>294</v>
      </c>
      <c r="D434" s="97" t="s">
        <v>431</v>
      </c>
      <c r="E434" s="97" t="s">
        <v>133</v>
      </c>
      <c r="F434" s="187"/>
      <c r="G434" s="73">
        <f>SUM(G437)+G435</f>
        <v>0</v>
      </c>
      <c r="H434" s="73">
        <f>SUM(H437+H438+H441)</f>
        <v>2000</v>
      </c>
      <c r="I434" s="73" t="e">
        <f t="shared" si="14"/>
        <v>#DIV/0!</v>
      </c>
      <c r="J434" s="242"/>
      <c r="K434" s="242"/>
      <c r="L434" s="242"/>
      <c r="M434" s="73">
        <f>SUM(M437)+M435</f>
        <v>0</v>
      </c>
    </row>
    <row r="435" spans="1:13" ht="28.5" hidden="1">
      <c r="A435" s="231" t="s">
        <v>384</v>
      </c>
      <c r="B435" s="259"/>
      <c r="C435" s="47" t="s">
        <v>294</v>
      </c>
      <c r="D435" s="97" t="s">
        <v>431</v>
      </c>
      <c r="E435" s="97" t="s">
        <v>134</v>
      </c>
      <c r="F435" s="187"/>
      <c r="G435" s="73">
        <f>SUM(G436)</f>
        <v>0</v>
      </c>
      <c r="H435" s="73"/>
      <c r="I435" s="73" t="e">
        <f t="shared" si="14"/>
        <v>#DIV/0!</v>
      </c>
      <c r="J435" s="242"/>
      <c r="K435" s="242"/>
      <c r="L435" s="242"/>
      <c r="M435" s="73">
        <f>SUM(M436)</f>
        <v>0</v>
      </c>
    </row>
    <row r="436" spans="1:13" ht="28.5" hidden="1">
      <c r="A436" s="231" t="s">
        <v>135</v>
      </c>
      <c r="B436" s="259"/>
      <c r="C436" s="47" t="s">
        <v>294</v>
      </c>
      <c r="D436" s="97" t="s">
        <v>431</v>
      </c>
      <c r="E436" s="97" t="s">
        <v>134</v>
      </c>
      <c r="F436" s="187" t="s">
        <v>76</v>
      </c>
      <c r="G436" s="73"/>
      <c r="H436" s="81">
        <v>300</v>
      </c>
      <c r="I436" s="73" t="e">
        <f t="shared" si="14"/>
        <v>#DIV/0!</v>
      </c>
      <c r="J436" s="242"/>
      <c r="K436" s="242"/>
      <c r="L436" s="242"/>
      <c r="M436" s="73"/>
    </row>
    <row r="437" spans="1:13" ht="28.5" hidden="1">
      <c r="A437" s="232" t="s">
        <v>197</v>
      </c>
      <c r="B437" s="259"/>
      <c r="C437" s="47" t="s">
        <v>294</v>
      </c>
      <c r="D437" s="97" t="s">
        <v>431</v>
      </c>
      <c r="E437" s="97" t="s">
        <v>200</v>
      </c>
      <c r="F437" s="187"/>
      <c r="G437" s="73">
        <f>SUM(G438)</f>
        <v>0</v>
      </c>
      <c r="H437" s="73"/>
      <c r="I437" s="73" t="e">
        <f t="shared" si="14"/>
        <v>#DIV/0!</v>
      </c>
      <c r="J437" s="242"/>
      <c r="K437" s="242"/>
      <c r="L437" s="242"/>
      <c r="M437" s="73">
        <f>SUM(M438)</f>
        <v>0</v>
      </c>
    </row>
    <row r="438" spans="1:13" ht="28.5" hidden="1">
      <c r="A438" s="231" t="s">
        <v>135</v>
      </c>
      <c r="B438" s="259"/>
      <c r="C438" s="47" t="s">
        <v>294</v>
      </c>
      <c r="D438" s="97" t="s">
        <v>431</v>
      </c>
      <c r="E438" s="97" t="s">
        <v>200</v>
      </c>
      <c r="F438" s="187" t="s">
        <v>76</v>
      </c>
      <c r="G438" s="73"/>
      <c r="H438" s="73">
        <f>SUM(H439:H440)</f>
        <v>0</v>
      </c>
      <c r="I438" s="73" t="e">
        <f t="shared" si="14"/>
        <v>#DIV/0!</v>
      </c>
      <c r="J438" s="242"/>
      <c r="K438" s="242"/>
      <c r="L438" s="242"/>
      <c r="M438" s="73"/>
    </row>
    <row r="439" spans="1:13" ht="28.5">
      <c r="A439" s="232" t="s">
        <v>295</v>
      </c>
      <c r="B439" s="225"/>
      <c r="C439" s="97" t="s">
        <v>294</v>
      </c>
      <c r="D439" s="97" t="s">
        <v>431</v>
      </c>
      <c r="E439" s="97" t="s">
        <v>673</v>
      </c>
      <c r="F439" s="187"/>
      <c r="G439" s="73">
        <f>SUM(G440)</f>
        <v>10962.5</v>
      </c>
      <c r="H439" s="73"/>
      <c r="I439" s="73">
        <f t="shared" si="14"/>
        <v>0</v>
      </c>
      <c r="J439" s="242"/>
      <c r="K439" s="242"/>
      <c r="L439" s="242"/>
      <c r="M439" s="75">
        <f>SUM(M440)</f>
        <v>10962.5</v>
      </c>
    </row>
    <row r="440" spans="1:13" ht="28.5">
      <c r="A440" s="231" t="s">
        <v>480</v>
      </c>
      <c r="B440" s="227"/>
      <c r="C440" s="97" t="s">
        <v>294</v>
      </c>
      <c r="D440" s="97" t="s">
        <v>431</v>
      </c>
      <c r="E440" s="97" t="s">
        <v>673</v>
      </c>
      <c r="F440" s="238" t="s">
        <v>477</v>
      </c>
      <c r="G440" s="73">
        <v>10962.5</v>
      </c>
      <c r="H440" s="73"/>
      <c r="I440" s="73"/>
      <c r="J440" s="242">
        <f>SUM('ведомствен.2016-2014'!G777)</f>
        <v>10962.5</v>
      </c>
      <c r="K440" s="242">
        <f>SUM('ведомствен.2016-2014'!H777)</f>
        <v>10962.5</v>
      </c>
      <c r="L440" s="242">
        <f t="shared" si="13"/>
        <v>0</v>
      </c>
      <c r="M440" s="75">
        <v>10962.5</v>
      </c>
    </row>
    <row r="441" spans="1:13" ht="45" customHeight="1">
      <c r="A441" s="232" t="s">
        <v>600</v>
      </c>
      <c r="B441" s="224"/>
      <c r="C441" s="97" t="s">
        <v>294</v>
      </c>
      <c r="D441" s="97" t="s">
        <v>431</v>
      </c>
      <c r="E441" s="97" t="s">
        <v>674</v>
      </c>
      <c r="F441" s="187"/>
      <c r="G441" s="73">
        <f>SUM(G447)</f>
        <v>11900.5</v>
      </c>
      <c r="H441" s="75">
        <f>SUM(H445)</f>
        <v>2000</v>
      </c>
      <c r="I441" s="73">
        <f t="shared" si="14"/>
        <v>16.806016553926305</v>
      </c>
      <c r="J441" s="242"/>
      <c r="K441" s="242"/>
      <c r="L441" s="242"/>
      <c r="M441" s="75">
        <f>SUM(M447)</f>
        <v>11900.5</v>
      </c>
    </row>
    <row r="442" spans="1:13" ht="28.5" hidden="1">
      <c r="A442" s="231" t="s">
        <v>151</v>
      </c>
      <c r="B442" s="256"/>
      <c r="C442" s="47" t="s">
        <v>294</v>
      </c>
      <c r="D442" s="97" t="s">
        <v>431</v>
      </c>
      <c r="E442" s="97" t="s">
        <v>201</v>
      </c>
      <c r="F442" s="187"/>
      <c r="G442" s="73">
        <f>SUM(G443)+G445</f>
        <v>0</v>
      </c>
      <c r="H442" s="73"/>
      <c r="I442" s="73" t="e">
        <f t="shared" si="14"/>
        <v>#DIV/0!</v>
      </c>
      <c r="J442" s="242"/>
      <c r="K442" s="242"/>
      <c r="L442" s="242"/>
      <c r="M442" s="73">
        <f>SUM(M443)+M445</f>
        <v>0</v>
      </c>
    </row>
    <row r="443" spans="1:13" ht="28.5" hidden="1">
      <c r="A443" s="231" t="s">
        <v>136</v>
      </c>
      <c r="B443" s="259"/>
      <c r="C443" s="47" t="s">
        <v>294</v>
      </c>
      <c r="D443" s="97" t="s">
        <v>431</v>
      </c>
      <c r="E443" s="97" t="s">
        <v>137</v>
      </c>
      <c r="F443" s="187"/>
      <c r="G443" s="73">
        <f>SUM(G444)</f>
        <v>0</v>
      </c>
      <c r="H443" s="73"/>
      <c r="I443" s="73" t="e">
        <f t="shared" si="14"/>
        <v>#DIV/0!</v>
      </c>
      <c r="J443" s="242"/>
      <c r="K443" s="242"/>
      <c r="L443" s="242"/>
      <c r="M443" s="73">
        <f>SUM(M444)</f>
        <v>0</v>
      </c>
    </row>
    <row r="444" spans="1:13" s="21" customFormat="1" ht="28.5" hidden="1">
      <c r="A444" s="231" t="s">
        <v>480</v>
      </c>
      <c r="B444" s="269"/>
      <c r="C444" s="47" t="s">
        <v>294</v>
      </c>
      <c r="D444" s="97" t="s">
        <v>431</v>
      </c>
      <c r="E444" s="97" t="s">
        <v>137</v>
      </c>
      <c r="F444" s="238" t="s">
        <v>477</v>
      </c>
      <c r="G444" s="73"/>
      <c r="H444" s="81">
        <v>5000</v>
      </c>
      <c r="I444" s="73" t="e">
        <f t="shared" si="14"/>
        <v>#DIV/0!</v>
      </c>
      <c r="J444" s="242">
        <f>SUM('ведомствен.2016-2014'!G784)</f>
        <v>0</v>
      </c>
      <c r="K444" s="242">
        <f>SUM('ведомствен.2016-2014'!H784)</f>
        <v>0</v>
      </c>
      <c r="L444" s="242">
        <f>SUM(G444-J444)</f>
        <v>0</v>
      </c>
      <c r="M444" s="73"/>
    </row>
    <row r="445" spans="1:13" s="21" customFormat="1" ht="28.5" hidden="1">
      <c r="A445" s="231" t="s">
        <v>384</v>
      </c>
      <c r="B445" s="259"/>
      <c r="C445" s="47" t="s">
        <v>294</v>
      </c>
      <c r="D445" s="97" t="s">
        <v>431</v>
      </c>
      <c r="E445" s="97" t="s">
        <v>574</v>
      </c>
      <c r="F445" s="187"/>
      <c r="G445" s="73">
        <f>SUM(G446)</f>
        <v>0</v>
      </c>
      <c r="H445" s="81">
        <v>2000</v>
      </c>
      <c r="I445" s="73" t="e">
        <f t="shared" si="14"/>
        <v>#DIV/0!</v>
      </c>
      <c r="J445" s="242"/>
      <c r="K445" s="242"/>
      <c r="L445" s="242">
        <f>SUM(G445-J445)</f>
        <v>0</v>
      </c>
      <c r="M445" s="73">
        <f>SUM(M446)</f>
        <v>0</v>
      </c>
    </row>
    <row r="446" spans="1:13" ht="28.5" hidden="1">
      <c r="A446" s="231" t="s">
        <v>135</v>
      </c>
      <c r="B446" s="259"/>
      <c r="C446" s="47" t="s">
        <v>294</v>
      </c>
      <c r="D446" s="97" t="s">
        <v>431</v>
      </c>
      <c r="E446" s="97" t="s">
        <v>574</v>
      </c>
      <c r="F446" s="187" t="s">
        <v>76</v>
      </c>
      <c r="G446" s="73"/>
      <c r="H446" s="73">
        <f>SUM(H447)</f>
        <v>0</v>
      </c>
      <c r="I446" s="73" t="e">
        <f t="shared" si="14"/>
        <v>#DIV/0!</v>
      </c>
      <c r="J446" s="242"/>
      <c r="K446" s="242"/>
      <c r="L446" s="242">
        <f>SUM(G446-J446)</f>
        <v>0</v>
      </c>
      <c r="M446" s="73"/>
    </row>
    <row r="447" spans="1:13" ht="28.5">
      <c r="A447" s="231" t="s">
        <v>295</v>
      </c>
      <c r="B447" s="224"/>
      <c r="C447" s="97" t="s">
        <v>294</v>
      </c>
      <c r="D447" s="97" t="s">
        <v>431</v>
      </c>
      <c r="E447" s="97" t="s">
        <v>675</v>
      </c>
      <c r="F447" s="187"/>
      <c r="G447" s="73">
        <f>SUM(G448)</f>
        <v>11900.5</v>
      </c>
      <c r="H447" s="73"/>
      <c r="I447" s="73">
        <f t="shared" si="14"/>
        <v>0</v>
      </c>
      <c r="J447" s="242"/>
      <c r="K447" s="242"/>
      <c r="L447" s="242"/>
      <c r="M447" s="75">
        <f>SUM(M448)</f>
        <v>11900.5</v>
      </c>
    </row>
    <row r="448" spans="1:13" ht="28.5">
      <c r="A448" s="231" t="s">
        <v>480</v>
      </c>
      <c r="B448" s="227"/>
      <c r="C448" s="97" t="s">
        <v>294</v>
      </c>
      <c r="D448" s="97" t="s">
        <v>431</v>
      </c>
      <c r="E448" s="97" t="s">
        <v>675</v>
      </c>
      <c r="F448" s="238" t="s">
        <v>477</v>
      </c>
      <c r="G448" s="73">
        <v>11900.5</v>
      </c>
      <c r="H448" s="73">
        <f>SUM(H453+H449)</f>
        <v>0</v>
      </c>
      <c r="I448" s="73">
        <f t="shared" si="14"/>
        <v>0</v>
      </c>
      <c r="J448" s="242">
        <f>SUM('ведомствен.2016-2014'!G785)</f>
        <v>11900.5</v>
      </c>
      <c r="K448" s="242">
        <f>SUM('ведомствен.2016-2014'!H785)</f>
        <v>11900.5</v>
      </c>
      <c r="L448" s="242">
        <f>SUM(G448-J448)</f>
        <v>0</v>
      </c>
      <c r="M448" s="75">
        <v>11900.5</v>
      </c>
    </row>
    <row r="449" spans="1:13" ht="14.25">
      <c r="A449" s="231" t="s">
        <v>235</v>
      </c>
      <c r="B449" s="256"/>
      <c r="C449" s="47" t="s">
        <v>294</v>
      </c>
      <c r="D449" s="97" t="s">
        <v>114</v>
      </c>
      <c r="E449" s="97"/>
      <c r="F449" s="187"/>
      <c r="G449" s="73">
        <f>SUM(G452+G456)</f>
        <v>1586.9</v>
      </c>
      <c r="H449" s="73">
        <f>SUM(H450)</f>
        <v>0</v>
      </c>
      <c r="I449" s="73">
        <f t="shared" si="14"/>
        <v>0</v>
      </c>
      <c r="J449" s="242"/>
      <c r="K449" s="242"/>
      <c r="L449" s="242"/>
      <c r="M449" s="73">
        <f>SUM(M452+M456)</f>
        <v>1586.9</v>
      </c>
    </row>
    <row r="450" spans="1:13" ht="14.25" hidden="1">
      <c r="A450" s="231" t="s">
        <v>357</v>
      </c>
      <c r="B450" s="256"/>
      <c r="C450" s="47" t="s">
        <v>294</v>
      </c>
      <c r="D450" s="97" t="s">
        <v>114</v>
      </c>
      <c r="E450" s="97" t="s">
        <v>358</v>
      </c>
      <c r="F450" s="187"/>
      <c r="G450" s="73">
        <f>SUM(G451)</f>
        <v>0</v>
      </c>
      <c r="H450" s="73">
        <f>SUM(H451)</f>
        <v>0</v>
      </c>
      <c r="I450" s="73" t="e">
        <f t="shared" si="14"/>
        <v>#DIV/0!</v>
      </c>
      <c r="J450" s="242"/>
      <c r="K450" s="242"/>
      <c r="L450" s="242"/>
      <c r="M450" s="73">
        <f>SUM(M451)</f>
        <v>0</v>
      </c>
    </row>
    <row r="451" spans="1:13" ht="14.25" hidden="1">
      <c r="A451" s="231" t="s">
        <v>239</v>
      </c>
      <c r="B451" s="256"/>
      <c r="C451" s="47" t="s">
        <v>294</v>
      </c>
      <c r="D451" s="97" t="s">
        <v>114</v>
      </c>
      <c r="E451" s="97" t="s">
        <v>358</v>
      </c>
      <c r="F451" s="187" t="s">
        <v>240</v>
      </c>
      <c r="G451" s="73"/>
      <c r="H451" s="73"/>
      <c r="I451" s="73" t="e">
        <f t="shared" si="14"/>
        <v>#DIV/0!</v>
      </c>
      <c r="J451" s="242"/>
      <c r="K451" s="242"/>
      <c r="L451" s="242"/>
      <c r="M451" s="73"/>
    </row>
    <row r="452" spans="1:13" ht="28.5">
      <c r="A452" s="232" t="s">
        <v>593</v>
      </c>
      <c r="B452" s="224"/>
      <c r="C452" s="97" t="s">
        <v>294</v>
      </c>
      <c r="D452" s="97" t="s">
        <v>114</v>
      </c>
      <c r="E452" s="97" t="s">
        <v>594</v>
      </c>
      <c r="F452" s="187"/>
      <c r="G452" s="73">
        <f>SUM(G453)</f>
        <v>1586.9</v>
      </c>
      <c r="H452" s="73"/>
      <c r="I452" s="73"/>
      <c r="J452" s="242"/>
      <c r="K452" s="242"/>
      <c r="L452" s="242"/>
      <c r="M452" s="75">
        <f>SUM(M453)</f>
        <v>1586.9</v>
      </c>
    </row>
    <row r="453" spans="1:13" ht="28.5">
      <c r="A453" s="232" t="s">
        <v>87</v>
      </c>
      <c r="B453" s="224"/>
      <c r="C453" s="97" t="s">
        <v>294</v>
      </c>
      <c r="D453" s="97" t="s">
        <v>114</v>
      </c>
      <c r="E453" s="97" t="s">
        <v>595</v>
      </c>
      <c r="F453" s="187"/>
      <c r="G453" s="73">
        <f>SUM(G454)</f>
        <v>1586.9</v>
      </c>
      <c r="H453" s="73">
        <f>SUM(H454+H456)</f>
        <v>0</v>
      </c>
      <c r="I453" s="73">
        <f t="shared" si="14"/>
        <v>0</v>
      </c>
      <c r="J453" s="242"/>
      <c r="K453" s="242"/>
      <c r="L453" s="242"/>
      <c r="M453" s="75">
        <f>SUM(M454)</f>
        <v>1586.9</v>
      </c>
    </row>
    <row r="454" spans="1:13" ht="28.5">
      <c r="A454" s="231" t="s">
        <v>295</v>
      </c>
      <c r="B454" s="224"/>
      <c r="C454" s="97" t="s">
        <v>294</v>
      </c>
      <c r="D454" s="97" t="s">
        <v>114</v>
      </c>
      <c r="E454" s="97" t="s">
        <v>596</v>
      </c>
      <c r="F454" s="187"/>
      <c r="G454" s="73">
        <f>SUM(G455)</f>
        <v>1586.9</v>
      </c>
      <c r="H454" s="73">
        <f>SUM(H455)</f>
        <v>0</v>
      </c>
      <c r="I454" s="73">
        <f t="shared" si="14"/>
        <v>0</v>
      </c>
      <c r="J454" s="242"/>
      <c r="K454" s="242"/>
      <c r="L454" s="242"/>
      <c r="M454" s="75">
        <f>SUM(M455)</f>
        <v>1586.9</v>
      </c>
    </row>
    <row r="455" spans="1:13" ht="28.5">
      <c r="A455" s="231" t="s">
        <v>480</v>
      </c>
      <c r="B455" s="227"/>
      <c r="C455" s="97" t="s">
        <v>294</v>
      </c>
      <c r="D455" s="97" t="s">
        <v>114</v>
      </c>
      <c r="E455" s="97" t="s">
        <v>596</v>
      </c>
      <c r="F455" s="238" t="s">
        <v>477</v>
      </c>
      <c r="G455" s="73">
        <v>1586.9</v>
      </c>
      <c r="H455" s="73"/>
      <c r="I455" s="73">
        <f t="shared" si="14"/>
        <v>0</v>
      </c>
      <c r="J455" s="242">
        <f>SUM('ведомствен.2016-2014'!G805)</f>
        <v>1586.9</v>
      </c>
      <c r="K455" s="242">
        <f>SUM('ведомствен.2016-2014'!H805)</f>
        <v>1586.9</v>
      </c>
      <c r="L455" s="242">
        <f>SUM(G455-J455)</f>
        <v>0</v>
      </c>
      <c r="M455" s="75">
        <v>1586.9</v>
      </c>
    </row>
    <row r="456" spans="1:13" ht="14.25" hidden="1">
      <c r="A456" s="234" t="s">
        <v>3</v>
      </c>
      <c r="B456" s="256"/>
      <c r="C456" s="47" t="s">
        <v>294</v>
      </c>
      <c r="D456" s="97" t="s">
        <v>429</v>
      </c>
      <c r="E456" s="97" t="s">
        <v>261</v>
      </c>
      <c r="F456" s="237"/>
      <c r="G456" s="73">
        <f>SUM(G457)</f>
        <v>0</v>
      </c>
      <c r="H456" s="73">
        <f>SUM(H457)</f>
        <v>0</v>
      </c>
      <c r="I456" s="73" t="e">
        <f aca="true" t="shared" si="15" ref="I456:I468">SUM(H456/G456*100)</f>
        <v>#DIV/0!</v>
      </c>
      <c r="J456" s="242"/>
      <c r="K456" s="242"/>
      <c r="L456" s="242">
        <f>SUM(G456-J456)</f>
        <v>0</v>
      </c>
      <c r="M456" s="73">
        <f>SUM(M457)</f>
        <v>0</v>
      </c>
    </row>
    <row r="457" spans="1:13" ht="28.5" hidden="1">
      <c r="A457" s="232" t="s">
        <v>329</v>
      </c>
      <c r="B457" s="256"/>
      <c r="C457" s="47" t="s">
        <v>294</v>
      </c>
      <c r="D457" s="97" t="s">
        <v>429</v>
      </c>
      <c r="E457" s="97" t="s">
        <v>261</v>
      </c>
      <c r="F457" s="237" t="s">
        <v>262</v>
      </c>
      <c r="G457" s="73"/>
      <c r="H457" s="73"/>
      <c r="I457" s="73" t="e">
        <f t="shared" si="15"/>
        <v>#DIV/0!</v>
      </c>
      <c r="J457" s="242"/>
      <c r="K457" s="242"/>
      <c r="L457" s="242">
        <f>SUM(G457-J457)</f>
        <v>0</v>
      </c>
      <c r="M457" s="73"/>
    </row>
    <row r="458" spans="1:13" ht="14.25">
      <c r="A458" s="234" t="s">
        <v>225</v>
      </c>
      <c r="B458" s="257"/>
      <c r="C458" s="47" t="s">
        <v>294</v>
      </c>
      <c r="D458" s="97" t="s">
        <v>294</v>
      </c>
      <c r="E458" s="97"/>
      <c r="F458" s="187"/>
      <c r="G458" s="73">
        <f>SUM(G461)</f>
        <v>12873.800000000001</v>
      </c>
      <c r="H458" s="73">
        <f>SUM(H459)</f>
        <v>12873.800000000001</v>
      </c>
      <c r="I458" s="73">
        <f t="shared" si="15"/>
        <v>100</v>
      </c>
      <c r="J458" s="242"/>
      <c r="K458" s="242"/>
      <c r="L458" s="242"/>
      <c r="M458" s="73">
        <f>SUM(M461)</f>
        <v>12873.800000000001</v>
      </c>
    </row>
    <row r="459" spans="1:13" ht="42.75" hidden="1">
      <c r="A459" s="234" t="s">
        <v>203</v>
      </c>
      <c r="B459" s="257"/>
      <c r="C459" s="47" t="s">
        <v>294</v>
      </c>
      <c r="D459" s="97" t="s">
        <v>294</v>
      </c>
      <c r="E459" s="97" t="s">
        <v>204</v>
      </c>
      <c r="F459" s="187"/>
      <c r="G459" s="73">
        <f>SUM(G460)</f>
        <v>0</v>
      </c>
      <c r="H459" s="73">
        <f>SUM(H460)</f>
        <v>12873.800000000001</v>
      </c>
      <c r="I459" s="73" t="e">
        <f t="shared" si="15"/>
        <v>#DIV/0!</v>
      </c>
      <c r="J459" s="242"/>
      <c r="K459" s="242"/>
      <c r="L459" s="242"/>
      <c r="M459" s="73">
        <f>SUM(M460)</f>
        <v>0</v>
      </c>
    </row>
    <row r="460" spans="1:13" ht="28.5" hidden="1">
      <c r="A460" s="231" t="s">
        <v>151</v>
      </c>
      <c r="B460" s="257"/>
      <c r="C460" s="47" t="s">
        <v>294</v>
      </c>
      <c r="D460" s="97" t="s">
        <v>294</v>
      </c>
      <c r="E460" s="97" t="s">
        <v>204</v>
      </c>
      <c r="F460" s="187" t="s">
        <v>76</v>
      </c>
      <c r="G460" s="73"/>
      <c r="H460" s="73">
        <f>SUM(H461)</f>
        <v>12873.800000000001</v>
      </c>
      <c r="I460" s="73" t="e">
        <f t="shared" si="15"/>
        <v>#DIV/0!</v>
      </c>
      <c r="J460" s="242"/>
      <c r="K460" s="242"/>
      <c r="L460" s="242"/>
      <c r="M460" s="73"/>
    </row>
    <row r="461" spans="1:13" ht="28.5">
      <c r="A461" s="232" t="s">
        <v>593</v>
      </c>
      <c r="B461" s="224"/>
      <c r="C461" s="97" t="s">
        <v>294</v>
      </c>
      <c r="D461" s="97" t="s">
        <v>294</v>
      </c>
      <c r="E461" s="97" t="s">
        <v>594</v>
      </c>
      <c r="F461" s="187"/>
      <c r="G461" s="73">
        <f>SUM(G462)</f>
        <v>12873.800000000001</v>
      </c>
      <c r="H461" s="75">
        <f>SUM(H462)</f>
        <v>12873.800000000001</v>
      </c>
      <c r="I461" s="73">
        <f t="shared" si="15"/>
        <v>100</v>
      </c>
      <c r="J461" s="242"/>
      <c r="K461" s="242"/>
      <c r="L461" s="242"/>
      <c r="M461" s="75">
        <f>SUM(M462)</f>
        <v>12873.800000000001</v>
      </c>
    </row>
    <row r="462" spans="1:13" ht="28.5">
      <c r="A462" s="232" t="s">
        <v>47</v>
      </c>
      <c r="B462" s="224"/>
      <c r="C462" s="97" t="s">
        <v>294</v>
      </c>
      <c r="D462" s="97" t="s">
        <v>294</v>
      </c>
      <c r="E462" s="97" t="s">
        <v>597</v>
      </c>
      <c r="F462" s="187"/>
      <c r="G462" s="73">
        <f>SUM(G463:G465)</f>
        <v>12873.800000000001</v>
      </c>
      <c r="H462" s="75">
        <f>SUM(H463:H465)</f>
        <v>12873.800000000001</v>
      </c>
      <c r="I462" s="73">
        <f t="shared" si="15"/>
        <v>100</v>
      </c>
      <c r="J462" s="242"/>
      <c r="K462" s="242"/>
      <c r="L462" s="242"/>
      <c r="M462" s="75">
        <f>SUM(M463:M465)</f>
        <v>12873.800000000001</v>
      </c>
    </row>
    <row r="463" spans="1:13" ht="42.75">
      <c r="A463" s="232" t="s">
        <v>461</v>
      </c>
      <c r="B463" s="224"/>
      <c r="C463" s="97" t="s">
        <v>294</v>
      </c>
      <c r="D463" s="97" t="s">
        <v>294</v>
      </c>
      <c r="E463" s="97" t="s">
        <v>597</v>
      </c>
      <c r="F463" s="237" t="s">
        <v>462</v>
      </c>
      <c r="G463" s="73">
        <v>11364.4</v>
      </c>
      <c r="H463" s="75">
        <v>11364.4</v>
      </c>
      <c r="I463" s="73">
        <f t="shared" si="15"/>
        <v>100</v>
      </c>
      <c r="J463" s="242">
        <f>SUM('ведомствен.2016-2014'!G817)</f>
        <v>11364.4</v>
      </c>
      <c r="K463" s="242">
        <f>SUM('ведомствен.2016-2014'!H817)</f>
        <v>11364.4</v>
      </c>
      <c r="L463" s="242">
        <f>SUM(G463-J463)</f>
        <v>0</v>
      </c>
      <c r="M463" s="75">
        <v>11364.4</v>
      </c>
    </row>
    <row r="464" spans="1:13" ht="14.25">
      <c r="A464" s="232" t="s">
        <v>463</v>
      </c>
      <c r="B464" s="224"/>
      <c r="C464" s="97" t="s">
        <v>294</v>
      </c>
      <c r="D464" s="97" t="s">
        <v>294</v>
      </c>
      <c r="E464" s="97" t="s">
        <v>597</v>
      </c>
      <c r="F464" s="237" t="s">
        <v>112</v>
      </c>
      <c r="G464" s="74">
        <v>1463.2</v>
      </c>
      <c r="H464" s="167">
        <v>1463.2</v>
      </c>
      <c r="I464" s="73">
        <f t="shared" si="15"/>
        <v>100</v>
      </c>
      <c r="J464" s="242">
        <f>SUM('ведомствен.2016-2014'!G818)</f>
        <v>1463.2</v>
      </c>
      <c r="K464" s="242">
        <f>SUM('ведомствен.2016-2014'!H818)</f>
        <v>1463.2</v>
      </c>
      <c r="L464" s="242">
        <f>SUM(G464-J464)</f>
        <v>0</v>
      </c>
      <c r="M464" s="167">
        <v>1463.2</v>
      </c>
    </row>
    <row r="465" spans="1:13" ht="14.25">
      <c r="A465" s="232" t="s">
        <v>467</v>
      </c>
      <c r="B465" s="224"/>
      <c r="C465" s="97" t="s">
        <v>294</v>
      </c>
      <c r="D465" s="97" t="s">
        <v>294</v>
      </c>
      <c r="E465" s="97" t="s">
        <v>597</v>
      </c>
      <c r="F465" s="187" t="s">
        <v>161</v>
      </c>
      <c r="G465" s="73">
        <v>46.2</v>
      </c>
      <c r="H465" s="75">
        <v>46.2</v>
      </c>
      <c r="I465" s="73">
        <f t="shared" si="15"/>
        <v>100</v>
      </c>
      <c r="J465" s="242">
        <f>SUM('ведомствен.2016-2014'!G819)</f>
        <v>46.2</v>
      </c>
      <c r="K465" s="242">
        <f>SUM('ведомствен.2016-2014'!H819)</f>
        <v>46.2</v>
      </c>
      <c r="L465" s="242">
        <f>SUM(G465-J465)</f>
        <v>0</v>
      </c>
      <c r="M465" s="75">
        <v>46.2</v>
      </c>
    </row>
    <row r="466" spans="1:14" s="12" customFormat="1" ht="15">
      <c r="A466" s="258" t="s">
        <v>173</v>
      </c>
      <c r="B466" s="259"/>
      <c r="C466" s="128" t="s">
        <v>5</v>
      </c>
      <c r="D466" s="262"/>
      <c r="E466" s="262"/>
      <c r="F466" s="263"/>
      <c r="G466" s="76">
        <f>SUM(G467+G471+G485+G571+G591)</f>
        <v>976944.4000000001</v>
      </c>
      <c r="H466" s="78" t="e">
        <f>SUM(H467+#REF!+#REF!+#REF!)</f>
        <v>#REF!</v>
      </c>
      <c r="I466" s="78" t="e">
        <f t="shared" si="15"/>
        <v>#REF!</v>
      </c>
      <c r="J466" s="244"/>
      <c r="K466" s="244"/>
      <c r="L466" s="242">
        <f>SUM(J467:J618)</f>
        <v>976944.3999999998</v>
      </c>
      <c r="M466" s="76">
        <f>SUM(M467+M471+M485+M571+M591)</f>
        <v>997557.9000000001</v>
      </c>
      <c r="N466" s="221">
        <f>SUM(M466-K466)</f>
        <v>997557.9000000001</v>
      </c>
    </row>
    <row r="467" spans="1:14" s="22" customFormat="1" ht="15">
      <c r="A467" s="232" t="s">
        <v>175</v>
      </c>
      <c r="B467" s="256"/>
      <c r="C467" s="36" t="s">
        <v>5</v>
      </c>
      <c r="D467" s="46" t="s">
        <v>429</v>
      </c>
      <c r="E467" s="46"/>
      <c r="F467" s="237"/>
      <c r="G467" s="73">
        <f>SUM(G468)</f>
        <v>2046.5</v>
      </c>
      <c r="H467" s="73" t="e">
        <f>SUM(H468+H510)</f>
        <v>#REF!</v>
      </c>
      <c r="I467" s="73" t="e">
        <f t="shared" si="15"/>
        <v>#REF!</v>
      </c>
      <c r="J467" s="244"/>
      <c r="K467" s="244"/>
      <c r="L467" s="242">
        <f>977666.4-L466</f>
        <v>722.0000000002328</v>
      </c>
      <c r="M467" s="73">
        <f>SUM(M468)</f>
        <v>2046.5</v>
      </c>
      <c r="N467" s="222">
        <f>SUM(K470:K618)</f>
        <v>997557.8999999998</v>
      </c>
    </row>
    <row r="468" spans="1:13" s="22" customFormat="1" ht="15">
      <c r="A468" s="232" t="s">
        <v>176</v>
      </c>
      <c r="B468" s="256"/>
      <c r="C468" s="36" t="s">
        <v>5</v>
      </c>
      <c r="D468" s="46" t="s">
        <v>429</v>
      </c>
      <c r="E468" s="46" t="s">
        <v>177</v>
      </c>
      <c r="F468" s="237"/>
      <c r="G468" s="73">
        <f>SUM(G469)</f>
        <v>2046.5</v>
      </c>
      <c r="H468" s="73">
        <f>SUM(H484)</f>
        <v>213007.5</v>
      </c>
      <c r="I468" s="73">
        <f t="shared" si="15"/>
        <v>10408.380161250916</v>
      </c>
      <c r="J468" s="244"/>
      <c r="K468" s="244"/>
      <c r="L468" s="242"/>
      <c r="M468" s="73">
        <f>SUM(M469)</f>
        <v>2046.5</v>
      </c>
    </row>
    <row r="469" spans="1:13" s="22" customFormat="1" ht="28.5">
      <c r="A469" s="232" t="s">
        <v>178</v>
      </c>
      <c r="B469" s="256"/>
      <c r="C469" s="36" t="s">
        <v>5</v>
      </c>
      <c r="D469" s="46" t="s">
        <v>429</v>
      </c>
      <c r="E469" s="46" t="s">
        <v>179</v>
      </c>
      <c r="F469" s="237"/>
      <c r="G469" s="73">
        <f>SUM(G470)</f>
        <v>2046.5</v>
      </c>
      <c r="H469" s="73"/>
      <c r="I469" s="73"/>
      <c r="J469" s="244"/>
      <c r="K469" s="244"/>
      <c r="L469" s="242"/>
      <c r="M469" s="73">
        <f>SUM(M470)</f>
        <v>2046.5</v>
      </c>
    </row>
    <row r="470" spans="1:14" ht="14.25">
      <c r="A470" s="232" t="s">
        <v>471</v>
      </c>
      <c r="B470" s="256"/>
      <c r="C470" s="36" t="s">
        <v>5</v>
      </c>
      <c r="D470" s="46" t="s">
        <v>429</v>
      </c>
      <c r="E470" s="46" t="s">
        <v>179</v>
      </c>
      <c r="F470" s="237" t="s">
        <v>472</v>
      </c>
      <c r="G470" s="73">
        <v>2046.5</v>
      </c>
      <c r="H470" s="73"/>
      <c r="I470" s="73"/>
      <c r="J470" s="242">
        <f>SUM('ведомствен.2016-2014'!G362)</f>
        <v>2046.5</v>
      </c>
      <c r="K470" s="242">
        <f>SUM('ведомствен.2016-2014'!H362)</f>
        <v>2046.5</v>
      </c>
      <c r="L470" s="242">
        <f>SUM(G470-J470)</f>
        <v>0</v>
      </c>
      <c r="M470" s="73">
        <v>2046.5</v>
      </c>
      <c r="N470" s="221">
        <f aca="true" t="shared" si="16" ref="N470:N533">SUM(M470-K470)</f>
        <v>0</v>
      </c>
    </row>
    <row r="471" spans="1:14" ht="14.25">
      <c r="A471" s="232" t="s">
        <v>180</v>
      </c>
      <c r="B471" s="256"/>
      <c r="C471" s="47" t="s">
        <v>5</v>
      </c>
      <c r="D471" s="97" t="s">
        <v>431</v>
      </c>
      <c r="E471" s="46"/>
      <c r="F471" s="237"/>
      <c r="G471" s="73">
        <f>SUM(G472+G477)</f>
        <v>50497.1</v>
      </c>
      <c r="H471" s="73"/>
      <c r="I471" s="73"/>
      <c r="J471" s="242"/>
      <c r="K471" s="242"/>
      <c r="L471" s="242"/>
      <c r="M471" s="73">
        <f>SUM(M472+M477)</f>
        <v>50672.299999999996</v>
      </c>
      <c r="N471" s="221">
        <f t="shared" si="16"/>
        <v>50672.299999999996</v>
      </c>
    </row>
    <row r="472" spans="1:14" s="22" customFormat="1" ht="15" hidden="1">
      <c r="A472" s="280" t="s">
        <v>67</v>
      </c>
      <c r="B472" s="256"/>
      <c r="C472" s="47" t="s">
        <v>5</v>
      </c>
      <c r="D472" s="97" t="s">
        <v>431</v>
      </c>
      <c r="E472" s="97" t="s">
        <v>68</v>
      </c>
      <c r="F472" s="187"/>
      <c r="G472" s="73"/>
      <c r="H472" s="73"/>
      <c r="I472" s="73"/>
      <c r="J472" s="244"/>
      <c r="K472" s="244"/>
      <c r="L472" s="242"/>
      <c r="M472" s="73"/>
      <c r="N472" s="221">
        <f t="shared" si="16"/>
        <v>0</v>
      </c>
    </row>
    <row r="473" spans="1:14" s="22" customFormat="1" ht="28.5" hidden="1">
      <c r="A473" s="280" t="s">
        <v>14</v>
      </c>
      <c r="B473" s="256"/>
      <c r="C473" s="47" t="s">
        <v>5</v>
      </c>
      <c r="D473" s="97" t="s">
        <v>431</v>
      </c>
      <c r="E473" s="97" t="s">
        <v>15</v>
      </c>
      <c r="F473" s="187"/>
      <c r="G473" s="73">
        <f>SUM(G474+G475)</f>
        <v>0</v>
      </c>
      <c r="H473" s="73"/>
      <c r="I473" s="73"/>
      <c r="J473" s="244"/>
      <c r="K473" s="244"/>
      <c r="L473" s="242"/>
      <c r="M473" s="73">
        <f>SUM(M474+M475)</f>
        <v>0</v>
      </c>
      <c r="N473" s="221">
        <f t="shared" si="16"/>
        <v>0</v>
      </c>
    </row>
    <row r="474" spans="1:14" s="22" customFormat="1" ht="15" hidden="1">
      <c r="A474" s="229" t="s">
        <v>239</v>
      </c>
      <c r="B474" s="256"/>
      <c r="C474" s="47" t="s">
        <v>5</v>
      </c>
      <c r="D474" s="97" t="s">
        <v>431</v>
      </c>
      <c r="E474" s="97" t="s">
        <v>15</v>
      </c>
      <c r="F474" s="187" t="s">
        <v>240</v>
      </c>
      <c r="G474" s="73"/>
      <c r="H474" s="73"/>
      <c r="I474" s="73"/>
      <c r="J474" s="244"/>
      <c r="K474" s="244"/>
      <c r="L474" s="242"/>
      <c r="M474" s="73"/>
      <c r="N474" s="221">
        <f t="shared" si="16"/>
        <v>0</v>
      </c>
    </row>
    <row r="475" spans="1:14" ht="28.5" hidden="1">
      <c r="A475" s="280" t="s">
        <v>16</v>
      </c>
      <c r="B475" s="256"/>
      <c r="C475" s="47" t="s">
        <v>5</v>
      </c>
      <c r="D475" s="97" t="s">
        <v>431</v>
      </c>
      <c r="E475" s="97" t="s">
        <v>17</v>
      </c>
      <c r="F475" s="187"/>
      <c r="G475" s="73">
        <f>SUM(G476)</f>
        <v>0</v>
      </c>
      <c r="H475" s="73"/>
      <c r="I475" s="73"/>
      <c r="J475" s="242"/>
      <c r="K475" s="242"/>
      <c r="L475" s="242"/>
      <c r="M475" s="73">
        <f>SUM(M476)</f>
        <v>0</v>
      </c>
      <c r="N475" s="221">
        <f t="shared" si="16"/>
        <v>0</v>
      </c>
    </row>
    <row r="476" spans="1:14" ht="14.25" hidden="1">
      <c r="A476" s="229" t="s">
        <v>239</v>
      </c>
      <c r="B476" s="256"/>
      <c r="C476" s="47" t="s">
        <v>5</v>
      </c>
      <c r="D476" s="97" t="s">
        <v>431</v>
      </c>
      <c r="E476" s="97" t="s">
        <v>17</v>
      </c>
      <c r="F476" s="187" t="s">
        <v>240</v>
      </c>
      <c r="G476" s="73"/>
      <c r="H476" s="73"/>
      <c r="I476" s="73"/>
      <c r="J476" s="242"/>
      <c r="K476" s="242"/>
      <c r="L476" s="242"/>
      <c r="M476" s="73"/>
      <c r="N476" s="221">
        <f t="shared" si="16"/>
        <v>0</v>
      </c>
    </row>
    <row r="477" spans="1:14" ht="14.25">
      <c r="A477" s="280" t="s">
        <v>67</v>
      </c>
      <c r="B477" s="256"/>
      <c r="C477" s="47" t="s">
        <v>5</v>
      </c>
      <c r="D477" s="97" t="s">
        <v>431</v>
      </c>
      <c r="E477" s="97" t="s">
        <v>18</v>
      </c>
      <c r="F477" s="187"/>
      <c r="G477" s="73">
        <f>SUM(G478+G481)</f>
        <v>50497.1</v>
      </c>
      <c r="H477" s="73"/>
      <c r="I477" s="73"/>
      <c r="J477" s="242"/>
      <c r="K477" s="242"/>
      <c r="L477" s="242"/>
      <c r="M477" s="73">
        <f>SUM(M478+M481)</f>
        <v>50672.299999999996</v>
      </c>
      <c r="N477" s="221">
        <f t="shared" si="16"/>
        <v>50672.299999999996</v>
      </c>
    </row>
    <row r="478" spans="1:14" ht="28.5">
      <c r="A478" s="229" t="s">
        <v>47</v>
      </c>
      <c r="B478" s="256"/>
      <c r="C478" s="47" t="s">
        <v>5</v>
      </c>
      <c r="D478" s="97" t="s">
        <v>431</v>
      </c>
      <c r="E478" s="97" t="s">
        <v>19</v>
      </c>
      <c r="F478" s="187"/>
      <c r="G478" s="73">
        <f>SUM(G479:G480)</f>
        <v>1783</v>
      </c>
      <c r="H478" s="73"/>
      <c r="I478" s="73"/>
      <c r="J478" s="242"/>
      <c r="K478" s="242"/>
      <c r="L478" s="242"/>
      <c r="M478" s="73">
        <f>SUM(M479:M480)</f>
        <v>1783</v>
      </c>
      <c r="N478" s="221">
        <f t="shared" si="16"/>
        <v>1783</v>
      </c>
    </row>
    <row r="479" spans="1:14" s="22" customFormat="1" ht="42.75">
      <c r="A479" s="232" t="s">
        <v>461</v>
      </c>
      <c r="B479" s="256"/>
      <c r="C479" s="47" t="s">
        <v>5</v>
      </c>
      <c r="D479" s="97" t="s">
        <v>431</v>
      </c>
      <c r="E479" s="97" t="s">
        <v>19</v>
      </c>
      <c r="F479" s="237" t="s">
        <v>462</v>
      </c>
      <c r="G479" s="73">
        <v>633.7</v>
      </c>
      <c r="H479" s="73"/>
      <c r="I479" s="73"/>
      <c r="J479" s="242">
        <f>SUM('ведомствен.2016-2014'!G371)</f>
        <v>633.7</v>
      </c>
      <c r="K479" s="242">
        <f>SUM('ведомствен.2016-2014'!H371)</f>
        <v>633.7</v>
      </c>
      <c r="L479" s="242">
        <f>SUM(G479-J479)</f>
        <v>0</v>
      </c>
      <c r="M479" s="73">
        <v>633.7</v>
      </c>
      <c r="N479" s="221">
        <f t="shared" si="16"/>
        <v>0</v>
      </c>
    </row>
    <row r="480" spans="1:14" s="22" customFormat="1" ht="14.25">
      <c r="A480" s="232" t="s">
        <v>463</v>
      </c>
      <c r="B480" s="256"/>
      <c r="C480" s="47" t="s">
        <v>5</v>
      </c>
      <c r="D480" s="97" t="s">
        <v>431</v>
      </c>
      <c r="E480" s="97" t="s">
        <v>19</v>
      </c>
      <c r="F480" s="237" t="s">
        <v>112</v>
      </c>
      <c r="G480" s="73">
        <v>1149.3</v>
      </c>
      <c r="H480" s="73"/>
      <c r="I480" s="73"/>
      <c r="J480" s="242">
        <f>SUM('ведомствен.2016-2014'!G372)</f>
        <v>1149.3</v>
      </c>
      <c r="K480" s="242">
        <f>SUM('ведомствен.2016-2014'!H372)</f>
        <v>1149.3</v>
      </c>
      <c r="L480" s="242">
        <f>SUM(G480-J480)</f>
        <v>0</v>
      </c>
      <c r="M480" s="73">
        <v>1149.3</v>
      </c>
      <c r="N480" s="221">
        <f t="shared" si="16"/>
        <v>0</v>
      </c>
    </row>
    <row r="481" spans="1:14" s="22" customFormat="1" ht="28.5">
      <c r="A481" s="229" t="s">
        <v>20</v>
      </c>
      <c r="B481" s="256"/>
      <c r="C481" s="47" t="s">
        <v>5</v>
      </c>
      <c r="D481" s="97" t="s">
        <v>431</v>
      </c>
      <c r="E481" s="97" t="s">
        <v>21</v>
      </c>
      <c r="F481" s="187"/>
      <c r="G481" s="73">
        <f>SUM(G482:G484)</f>
        <v>48714.1</v>
      </c>
      <c r="H481" s="73"/>
      <c r="I481" s="73"/>
      <c r="J481" s="244"/>
      <c r="K481" s="244"/>
      <c r="L481" s="242"/>
      <c r="M481" s="73">
        <f>SUM(M482:M484)</f>
        <v>48889.299999999996</v>
      </c>
      <c r="N481" s="221">
        <f t="shared" si="16"/>
        <v>48889.299999999996</v>
      </c>
    </row>
    <row r="482" spans="1:14" s="22" customFormat="1" ht="42.75">
      <c r="A482" s="232" t="s">
        <v>461</v>
      </c>
      <c r="B482" s="256"/>
      <c r="C482" s="47" t="s">
        <v>5</v>
      </c>
      <c r="D482" s="97" t="s">
        <v>431</v>
      </c>
      <c r="E482" s="97" t="s">
        <v>21</v>
      </c>
      <c r="F482" s="237" t="s">
        <v>462</v>
      </c>
      <c r="G482" s="73">
        <v>40781.7</v>
      </c>
      <c r="H482" s="73"/>
      <c r="I482" s="73"/>
      <c r="J482" s="242">
        <f>SUM('ведомствен.2016-2014'!G374)</f>
        <v>40781.7</v>
      </c>
      <c r="K482" s="242">
        <f>SUM('ведомствен.2016-2014'!H374)</f>
        <v>40781.7</v>
      </c>
      <c r="L482" s="242">
        <f>SUM(G482-J482)</f>
        <v>0</v>
      </c>
      <c r="M482" s="73">
        <v>40781.7</v>
      </c>
      <c r="N482" s="221">
        <f t="shared" si="16"/>
        <v>0</v>
      </c>
    </row>
    <row r="483" spans="1:14" s="22" customFormat="1" ht="13.5" customHeight="1">
      <c r="A483" s="232" t="s">
        <v>463</v>
      </c>
      <c r="B483" s="256"/>
      <c r="C483" s="47" t="s">
        <v>5</v>
      </c>
      <c r="D483" s="97" t="s">
        <v>431</v>
      </c>
      <c r="E483" s="97" t="s">
        <v>21</v>
      </c>
      <c r="F483" s="237" t="s">
        <v>112</v>
      </c>
      <c r="G483" s="73">
        <v>7932.4</v>
      </c>
      <c r="H483" s="73"/>
      <c r="I483" s="73"/>
      <c r="J483" s="242">
        <f>SUM('ведомствен.2016-2014'!G375)</f>
        <v>7932.4</v>
      </c>
      <c r="K483" s="242">
        <f>SUM('ведомствен.2016-2014'!H375)</f>
        <v>8107.6</v>
      </c>
      <c r="L483" s="242">
        <f>SUM(G483-J483)</f>
        <v>0</v>
      </c>
      <c r="M483" s="73">
        <v>8107.6</v>
      </c>
      <c r="N483" s="221">
        <f t="shared" si="16"/>
        <v>0</v>
      </c>
    </row>
    <row r="484" spans="1:14" s="22" customFormat="1" ht="14.25" hidden="1">
      <c r="A484" s="232" t="s">
        <v>467</v>
      </c>
      <c r="B484" s="256"/>
      <c r="C484" s="47" t="s">
        <v>5</v>
      </c>
      <c r="D484" s="97" t="s">
        <v>431</v>
      </c>
      <c r="E484" s="97" t="s">
        <v>21</v>
      </c>
      <c r="F484" s="237" t="s">
        <v>161</v>
      </c>
      <c r="G484" s="73"/>
      <c r="H484" s="73">
        <f>SUM(H490+H502+H505+H508+H499)</f>
        <v>213007.5</v>
      </c>
      <c r="I484" s="73" t="e">
        <f>SUM(H484/G484*100)</f>
        <v>#DIV/0!</v>
      </c>
      <c r="J484" s="242">
        <f>SUM('ведомствен.2016-2014'!G376)</f>
        <v>0</v>
      </c>
      <c r="K484" s="242">
        <f>SUM('ведомствен.2016-2014'!H376)</f>
        <v>0</v>
      </c>
      <c r="L484" s="242">
        <f>SUM(G484-J484)</f>
        <v>0</v>
      </c>
      <c r="M484" s="73"/>
      <c r="N484" s="221">
        <f t="shared" si="16"/>
        <v>0</v>
      </c>
    </row>
    <row r="485" spans="1:14" ht="15">
      <c r="A485" s="232" t="s">
        <v>22</v>
      </c>
      <c r="B485" s="256"/>
      <c r="C485" s="36" t="s">
        <v>5</v>
      </c>
      <c r="D485" s="46" t="s">
        <v>98</v>
      </c>
      <c r="E485" s="46"/>
      <c r="F485" s="237"/>
      <c r="G485" s="73">
        <f>SUM(G489+G525+G568+G529+G552)</f>
        <v>762814.0000000001</v>
      </c>
      <c r="H485" s="73"/>
      <c r="I485" s="73"/>
      <c r="J485" s="244"/>
      <c r="K485" s="244"/>
      <c r="L485" s="242"/>
      <c r="M485" s="73">
        <f>SUM(M489+M525+M568+M529+M552)</f>
        <v>780341.1000000001</v>
      </c>
      <c r="N485" s="221">
        <f t="shared" si="16"/>
        <v>780341.1000000001</v>
      </c>
    </row>
    <row r="486" spans="1:14" ht="14.25" hidden="1">
      <c r="A486" s="232" t="s">
        <v>376</v>
      </c>
      <c r="B486" s="256"/>
      <c r="C486" s="36" t="s">
        <v>5</v>
      </c>
      <c r="D486" s="46" t="s">
        <v>98</v>
      </c>
      <c r="E486" s="46" t="s">
        <v>378</v>
      </c>
      <c r="F486" s="237"/>
      <c r="G486" s="73">
        <f>SUM(G488)</f>
        <v>0</v>
      </c>
      <c r="H486" s="73">
        <v>187516.5</v>
      </c>
      <c r="I486" s="73" t="e">
        <f>SUM(H486/G486*100)</f>
        <v>#DIV/0!</v>
      </c>
      <c r="J486" s="242"/>
      <c r="K486" s="242"/>
      <c r="L486" s="242"/>
      <c r="M486" s="73">
        <f>SUM(M488)</f>
        <v>0</v>
      </c>
      <c r="N486" s="221">
        <f t="shared" si="16"/>
        <v>0</v>
      </c>
    </row>
    <row r="487" spans="1:14" s="15" customFormat="1" ht="14.25" hidden="1">
      <c r="A487" s="232" t="s">
        <v>357</v>
      </c>
      <c r="B487" s="256"/>
      <c r="C487" s="36" t="s">
        <v>5</v>
      </c>
      <c r="D487" s="46" t="s">
        <v>98</v>
      </c>
      <c r="E487" s="46" t="s">
        <v>358</v>
      </c>
      <c r="F487" s="237"/>
      <c r="G487" s="73">
        <f>SUM(G488)</f>
        <v>0</v>
      </c>
      <c r="H487" s="73"/>
      <c r="I487" s="73"/>
      <c r="J487" s="245"/>
      <c r="K487" s="245"/>
      <c r="L487" s="242"/>
      <c r="M487" s="73">
        <f>SUM(M488)</f>
        <v>0</v>
      </c>
      <c r="N487" s="221">
        <f t="shared" si="16"/>
        <v>0</v>
      </c>
    </row>
    <row r="488" spans="1:14" s="15" customFormat="1" ht="14.25" hidden="1">
      <c r="A488" s="232" t="s">
        <v>289</v>
      </c>
      <c r="B488" s="257"/>
      <c r="C488" s="36" t="s">
        <v>5</v>
      </c>
      <c r="D488" s="46" t="s">
        <v>98</v>
      </c>
      <c r="E488" s="46" t="s">
        <v>358</v>
      </c>
      <c r="F488" s="187" t="s">
        <v>290</v>
      </c>
      <c r="G488" s="73"/>
      <c r="H488" s="73">
        <v>187516.5</v>
      </c>
      <c r="I488" s="73" t="e">
        <f>SUM(H488/G488*100)</f>
        <v>#DIV/0!</v>
      </c>
      <c r="J488" s="245"/>
      <c r="K488" s="245"/>
      <c r="L488" s="242"/>
      <c r="M488" s="73"/>
      <c r="N488" s="221">
        <f t="shared" si="16"/>
        <v>0</v>
      </c>
    </row>
    <row r="489" spans="1:14" s="15" customFormat="1" ht="14.25">
      <c r="A489" s="232" t="s">
        <v>23</v>
      </c>
      <c r="B489" s="224"/>
      <c r="C489" s="46" t="s">
        <v>5</v>
      </c>
      <c r="D489" s="46" t="s">
        <v>98</v>
      </c>
      <c r="E489" s="46" t="s">
        <v>24</v>
      </c>
      <c r="F489" s="237"/>
      <c r="G489" s="73">
        <f>SUM(G490+G499+G502+G505+G508+G511)+G493+G496</f>
        <v>295391.30000000005</v>
      </c>
      <c r="H489" s="73"/>
      <c r="I489" s="73"/>
      <c r="J489" s="245"/>
      <c r="K489" s="245"/>
      <c r="L489" s="242"/>
      <c r="M489" s="75">
        <f>SUM(M490+M499+M502+M505+M508+M511)+M493+M496</f>
        <v>300556.2</v>
      </c>
      <c r="N489" s="221">
        <f t="shared" si="16"/>
        <v>300556.2</v>
      </c>
    </row>
    <row r="490" spans="1:14" s="22" customFormat="1" ht="42.75">
      <c r="A490" s="232" t="s">
        <v>279</v>
      </c>
      <c r="B490" s="224"/>
      <c r="C490" s="97" t="s">
        <v>5</v>
      </c>
      <c r="D490" s="97" t="s">
        <v>98</v>
      </c>
      <c r="E490" s="97" t="s">
        <v>280</v>
      </c>
      <c r="F490" s="187"/>
      <c r="G490" s="73">
        <f>SUM(G491:G492)</f>
        <v>106002.1</v>
      </c>
      <c r="H490" s="73">
        <v>187516.5</v>
      </c>
      <c r="I490" s="73">
        <f>SUM(H490/G490*100)</f>
        <v>176.89885389063048</v>
      </c>
      <c r="J490" s="244"/>
      <c r="K490" s="244"/>
      <c r="L490" s="242"/>
      <c r="M490" s="75">
        <f>SUM(M491:M492)</f>
        <v>104708.70000000001</v>
      </c>
      <c r="N490" s="221">
        <f t="shared" si="16"/>
        <v>104708.70000000001</v>
      </c>
    </row>
    <row r="491" spans="1:14" s="22" customFormat="1" ht="15">
      <c r="A491" s="232" t="s">
        <v>463</v>
      </c>
      <c r="B491" s="224"/>
      <c r="C491" s="97" t="s">
        <v>5</v>
      </c>
      <c r="D491" s="97" t="s">
        <v>98</v>
      </c>
      <c r="E491" s="97" t="s">
        <v>280</v>
      </c>
      <c r="F491" s="187" t="s">
        <v>112</v>
      </c>
      <c r="G491" s="73">
        <v>2078.5</v>
      </c>
      <c r="H491" s="73"/>
      <c r="I491" s="73"/>
      <c r="J491" s="244">
        <f>SUM('ведомствен.2016-2014'!G383)</f>
        <v>2078.5</v>
      </c>
      <c r="K491" s="244">
        <f>SUM('ведомствен.2016-2014'!H383)</f>
        <v>2053.1</v>
      </c>
      <c r="L491" s="242">
        <f>SUM(G491-J491)</f>
        <v>0</v>
      </c>
      <c r="M491" s="75">
        <v>2053.1</v>
      </c>
      <c r="N491" s="221">
        <f t="shared" si="16"/>
        <v>0</v>
      </c>
    </row>
    <row r="492" spans="1:14" s="22" customFormat="1" ht="14.25">
      <c r="A492" s="232" t="s">
        <v>471</v>
      </c>
      <c r="B492" s="224"/>
      <c r="C492" s="97" t="s">
        <v>5</v>
      </c>
      <c r="D492" s="97" t="s">
        <v>98</v>
      </c>
      <c r="E492" s="97" t="s">
        <v>280</v>
      </c>
      <c r="F492" s="187" t="s">
        <v>472</v>
      </c>
      <c r="G492" s="73">
        <v>103923.6</v>
      </c>
      <c r="H492" s="73"/>
      <c r="I492" s="73">
        <f>SUM(H492/G492*100)</f>
        <v>0</v>
      </c>
      <c r="J492" s="242">
        <f>SUM('ведомствен.2016-2014'!G384)</f>
        <v>103923.6</v>
      </c>
      <c r="K492" s="242">
        <f>SUM('ведомствен.2016-2014'!H384)</f>
        <v>102655.6</v>
      </c>
      <c r="L492" s="242">
        <f>SUM(G492-J492)</f>
        <v>0</v>
      </c>
      <c r="M492" s="75">
        <v>102655.6</v>
      </c>
      <c r="N492" s="221">
        <f t="shared" si="16"/>
        <v>0</v>
      </c>
    </row>
    <row r="493" spans="1:14" s="22" customFormat="1" ht="42.75">
      <c r="A493" s="233" t="s">
        <v>606</v>
      </c>
      <c r="B493" s="307"/>
      <c r="C493" s="308" t="s">
        <v>5</v>
      </c>
      <c r="D493" s="308" t="s">
        <v>98</v>
      </c>
      <c r="E493" s="308" t="s">
        <v>607</v>
      </c>
      <c r="F493" s="309"/>
      <c r="G493" s="322">
        <f>G494+G495</f>
        <v>2149.8</v>
      </c>
      <c r="H493" s="73"/>
      <c r="I493" s="73"/>
      <c r="J493" s="242"/>
      <c r="K493" s="242"/>
      <c r="L493" s="242"/>
      <c r="M493" s="319">
        <f>M494+M495</f>
        <v>2235.8</v>
      </c>
      <c r="N493" s="221">
        <f t="shared" si="16"/>
        <v>2235.8</v>
      </c>
    </row>
    <row r="494" spans="1:14" s="22" customFormat="1" ht="14.25">
      <c r="A494" s="233" t="s">
        <v>463</v>
      </c>
      <c r="B494" s="307"/>
      <c r="C494" s="308" t="s">
        <v>5</v>
      </c>
      <c r="D494" s="308" t="s">
        <v>98</v>
      </c>
      <c r="E494" s="308" t="s">
        <v>607</v>
      </c>
      <c r="F494" s="309" t="s">
        <v>112</v>
      </c>
      <c r="G494" s="322">
        <v>31.8</v>
      </c>
      <c r="H494" s="73"/>
      <c r="I494" s="73"/>
      <c r="J494" s="242">
        <f>SUM('ведомствен.2016-2014'!G386)</f>
        <v>31.8</v>
      </c>
      <c r="K494" s="242">
        <f>SUM('ведомствен.2016-2014'!H386)</f>
        <v>33</v>
      </c>
      <c r="L494" s="242"/>
      <c r="M494" s="319">
        <v>33</v>
      </c>
      <c r="N494" s="221">
        <f t="shared" si="16"/>
        <v>0</v>
      </c>
    </row>
    <row r="495" spans="1:14" s="22" customFormat="1" ht="14.25">
      <c r="A495" s="233" t="s">
        <v>471</v>
      </c>
      <c r="B495" s="307"/>
      <c r="C495" s="308" t="s">
        <v>5</v>
      </c>
      <c r="D495" s="308" t="s">
        <v>98</v>
      </c>
      <c r="E495" s="308" t="s">
        <v>607</v>
      </c>
      <c r="F495" s="309" t="s">
        <v>472</v>
      </c>
      <c r="G495" s="322">
        <v>2118</v>
      </c>
      <c r="H495" s="73"/>
      <c r="I495" s="73"/>
      <c r="J495" s="242">
        <f>SUM('ведомствен.2016-2014'!G387)</f>
        <v>2118</v>
      </c>
      <c r="K495" s="242">
        <f>SUM('ведомствен.2016-2014'!H387)</f>
        <v>2202.8</v>
      </c>
      <c r="L495" s="242"/>
      <c r="M495" s="319">
        <v>2202.8</v>
      </c>
      <c r="N495" s="221">
        <f t="shared" si="16"/>
        <v>0</v>
      </c>
    </row>
    <row r="496" spans="1:14" s="22" customFormat="1" ht="42.75">
      <c r="A496" s="233" t="s">
        <v>608</v>
      </c>
      <c r="B496" s="307"/>
      <c r="C496" s="308" t="s">
        <v>5</v>
      </c>
      <c r="D496" s="308" t="s">
        <v>98</v>
      </c>
      <c r="E496" s="308" t="s">
        <v>609</v>
      </c>
      <c r="F496" s="309"/>
      <c r="G496" s="322">
        <f>G497+G498</f>
        <v>12081.4</v>
      </c>
      <c r="H496" s="73"/>
      <c r="I496" s="73"/>
      <c r="J496" s="242"/>
      <c r="K496" s="242"/>
      <c r="L496" s="242"/>
      <c r="M496" s="319">
        <f>M497+M498</f>
        <v>12605.699999999999</v>
      </c>
      <c r="N496" s="221">
        <f t="shared" si="16"/>
        <v>12605.699999999999</v>
      </c>
    </row>
    <row r="497" spans="1:14" s="22" customFormat="1" ht="14.25">
      <c r="A497" s="233" t="s">
        <v>463</v>
      </c>
      <c r="B497" s="307"/>
      <c r="C497" s="308" t="s">
        <v>5</v>
      </c>
      <c r="D497" s="308" t="s">
        <v>98</v>
      </c>
      <c r="E497" s="308" t="s">
        <v>609</v>
      </c>
      <c r="F497" s="309" t="s">
        <v>112</v>
      </c>
      <c r="G497" s="322">
        <v>178.5</v>
      </c>
      <c r="H497" s="73"/>
      <c r="I497" s="73"/>
      <c r="J497" s="242">
        <f>SUM('ведомствен.2016-2014'!G389)</f>
        <v>178.5</v>
      </c>
      <c r="K497" s="242">
        <f>SUM('ведомствен.2016-2014'!H389)</f>
        <v>186.3</v>
      </c>
      <c r="L497" s="242"/>
      <c r="M497" s="319">
        <v>186.3</v>
      </c>
      <c r="N497" s="221">
        <f t="shared" si="16"/>
        <v>0</v>
      </c>
    </row>
    <row r="498" spans="1:14" s="22" customFormat="1" ht="14.25">
      <c r="A498" s="233" t="s">
        <v>471</v>
      </c>
      <c r="B498" s="307"/>
      <c r="C498" s="308" t="s">
        <v>5</v>
      </c>
      <c r="D498" s="308" t="s">
        <v>98</v>
      </c>
      <c r="E498" s="308" t="s">
        <v>609</v>
      </c>
      <c r="F498" s="309" t="s">
        <v>472</v>
      </c>
      <c r="G498" s="322">
        <v>11902.9</v>
      </c>
      <c r="H498" s="73"/>
      <c r="I498" s="73"/>
      <c r="J498" s="242">
        <f>SUM('ведомствен.2016-2014'!G390)</f>
        <v>11902.9</v>
      </c>
      <c r="K498" s="242">
        <f>SUM('ведомствен.2016-2014'!H390)</f>
        <v>12419.4</v>
      </c>
      <c r="L498" s="242"/>
      <c r="M498" s="319">
        <v>12419.4</v>
      </c>
      <c r="N498" s="221">
        <f t="shared" si="16"/>
        <v>0</v>
      </c>
    </row>
    <row r="499" spans="1:14" ht="28.5">
      <c r="A499" s="232" t="s">
        <v>278</v>
      </c>
      <c r="B499" s="224"/>
      <c r="C499" s="97" t="s">
        <v>5</v>
      </c>
      <c r="D499" s="97" t="s">
        <v>98</v>
      </c>
      <c r="E499" s="97" t="s">
        <v>550</v>
      </c>
      <c r="F499" s="187"/>
      <c r="G499" s="73">
        <f>SUM(G500:G501)</f>
        <v>164340.2</v>
      </c>
      <c r="H499" s="73">
        <f>SUM(H501)</f>
        <v>120.3</v>
      </c>
      <c r="I499" s="73">
        <f>SUM(H499/G499*100)</f>
        <v>0.07320180941729412</v>
      </c>
      <c r="J499" s="242"/>
      <c r="K499" s="242"/>
      <c r="L499" s="242"/>
      <c r="M499" s="75">
        <f>SUM(M500:M501)</f>
        <v>169763.5</v>
      </c>
      <c r="N499" s="221">
        <f t="shared" si="16"/>
        <v>169763.5</v>
      </c>
    </row>
    <row r="500" spans="1:14" ht="14.25">
      <c r="A500" s="232" t="s">
        <v>463</v>
      </c>
      <c r="B500" s="224"/>
      <c r="C500" s="97" t="s">
        <v>5</v>
      </c>
      <c r="D500" s="97" t="s">
        <v>98</v>
      </c>
      <c r="E500" s="97" t="s">
        <v>550</v>
      </c>
      <c r="F500" s="187" t="s">
        <v>112</v>
      </c>
      <c r="G500" s="73">
        <v>2428.7</v>
      </c>
      <c r="H500" s="73"/>
      <c r="I500" s="73"/>
      <c r="J500" s="242">
        <f>SUM('ведомствен.2016-2014'!G392)</f>
        <v>2428.7</v>
      </c>
      <c r="K500" s="242">
        <f>SUM('ведомствен.2016-2014'!H392)</f>
        <v>2508.8</v>
      </c>
      <c r="L500" s="242">
        <f>SUM(G500-J500)</f>
        <v>0</v>
      </c>
      <c r="M500" s="75">
        <v>2508.8</v>
      </c>
      <c r="N500" s="221">
        <f t="shared" si="16"/>
        <v>0</v>
      </c>
    </row>
    <row r="501" spans="1:14" ht="13.5" customHeight="1">
      <c r="A501" s="232" t="s">
        <v>471</v>
      </c>
      <c r="B501" s="228"/>
      <c r="C501" s="97" t="s">
        <v>5</v>
      </c>
      <c r="D501" s="97" t="s">
        <v>98</v>
      </c>
      <c r="E501" s="97" t="s">
        <v>550</v>
      </c>
      <c r="F501" s="187" t="s">
        <v>472</v>
      </c>
      <c r="G501" s="73">
        <v>161911.5</v>
      </c>
      <c r="H501" s="73">
        <v>120.3</v>
      </c>
      <c r="I501" s="73">
        <f>SUM(H501/G501*100)</f>
        <v>0.07429984899157874</v>
      </c>
      <c r="J501" s="242">
        <f>SUM('ведомствен.2016-2014'!G393)</f>
        <v>161911.5</v>
      </c>
      <c r="K501" s="242">
        <f>SUM('ведомствен.2016-2014'!H393)</f>
        <v>167254.7</v>
      </c>
      <c r="L501" s="242">
        <f>SUM(G501-J501)</f>
        <v>0</v>
      </c>
      <c r="M501" s="75">
        <v>167254.7</v>
      </c>
      <c r="N501" s="221">
        <f t="shared" si="16"/>
        <v>0</v>
      </c>
    </row>
    <row r="502" spans="1:14" s="22" customFormat="1" ht="42.75" hidden="1">
      <c r="A502" s="234" t="s">
        <v>277</v>
      </c>
      <c r="B502" s="224"/>
      <c r="C502" s="97" t="s">
        <v>5</v>
      </c>
      <c r="D502" s="97" t="s">
        <v>98</v>
      </c>
      <c r="E502" s="97" t="s">
        <v>551</v>
      </c>
      <c r="F502" s="187"/>
      <c r="G502" s="73">
        <f>SUM(G503:G504)</f>
        <v>0</v>
      </c>
      <c r="H502" s="73">
        <f>SUM(H504)</f>
        <v>24134</v>
      </c>
      <c r="I502" s="73" t="e">
        <f>SUM(H502/G502*100)</f>
        <v>#DIV/0!</v>
      </c>
      <c r="J502" s="244"/>
      <c r="K502" s="244"/>
      <c r="L502" s="242"/>
      <c r="M502" s="75">
        <f>SUM(M503:M504)</f>
        <v>0</v>
      </c>
      <c r="N502" s="221">
        <f t="shared" si="16"/>
        <v>0</v>
      </c>
    </row>
    <row r="503" spans="1:14" s="22" customFormat="1" ht="15" hidden="1">
      <c r="A503" s="232" t="s">
        <v>463</v>
      </c>
      <c r="B503" s="224"/>
      <c r="C503" s="97" t="s">
        <v>5</v>
      </c>
      <c r="D503" s="97" t="s">
        <v>98</v>
      </c>
      <c r="E503" s="97" t="s">
        <v>551</v>
      </c>
      <c r="F503" s="187" t="s">
        <v>112</v>
      </c>
      <c r="G503" s="73"/>
      <c r="H503" s="73"/>
      <c r="I503" s="73"/>
      <c r="J503" s="244">
        <f>SUM('ведомствен.2016-2014'!G395)</f>
        <v>0</v>
      </c>
      <c r="K503" s="244">
        <f>SUM('ведомствен.2016-2014'!H395)</f>
        <v>0</v>
      </c>
      <c r="L503" s="242">
        <f>SUM(G503-J503)</f>
        <v>0</v>
      </c>
      <c r="M503" s="75"/>
      <c r="N503" s="221">
        <f t="shared" si="16"/>
        <v>0</v>
      </c>
    </row>
    <row r="504" spans="1:14" s="22" customFormat="1" ht="14.25" hidden="1">
      <c r="A504" s="232" t="s">
        <v>471</v>
      </c>
      <c r="B504" s="224"/>
      <c r="C504" s="97" t="s">
        <v>5</v>
      </c>
      <c r="D504" s="97" t="s">
        <v>98</v>
      </c>
      <c r="E504" s="97" t="s">
        <v>551</v>
      </c>
      <c r="F504" s="187" t="s">
        <v>472</v>
      </c>
      <c r="G504" s="73"/>
      <c r="H504" s="73">
        <v>24134</v>
      </c>
      <c r="I504" s="73" t="e">
        <f>SUM(H504/G504*100)</f>
        <v>#DIV/0!</v>
      </c>
      <c r="J504" s="242">
        <f>SUM('ведомствен.2016-2014'!G396)</f>
        <v>0</v>
      </c>
      <c r="K504" s="242">
        <f>SUM('ведомствен.2016-2014'!H396)</f>
        <v>0</v>
      </c>
      <c r="L504" s="242">
        <f>SUM(G504-J504)</f>
        <v>0</v>
      </c>
      <c r="M504" s="75"/>
      <c r="N504" s="221">
        <f t="shared" si="16"/>
        <v>0</v>
      </c>
    </row>
    <row r="505" spans="1:14" s="22" customFormat="1" ht="85.5" hidden="1">
      <c r="A505" s="231" t="s">
        <v>552</v>
      </c>
      <c r="B505" s="310"/>
      <c r="C505" s="299" t="s">
        <v>5</v>
      </c>
      <c r="D505" s="299" t="s">
        <v>98</v>
      </c>
      <c r="E505" s="299" t="s">
        <v>553</v>
      </c>
      <c r="F505" s="300"/>
      <c r="G505" s="80">
        <f>SUM(G506:G507)</f>
        <v>0</v>
      </c>
      <c r="H505" s="73">
        <f>SUM(H507)</f>
        <v>1236.7</v>
      </c>
      <c r="I505" s="73" t="e">
        <f>SUM(H505/G505*100)</f>
        <v>#DIV/0!</v>
      </c>
      <c r="J505" s="244"/>
      <c r="K505" s="244"/>
      <c r="L505" s="242"/>
      <c r="M505" s="176">
        <f>SUM(M506:M507)</f>
        <v>0</v>
      </c>
      <c r="N505" s="221">
        <f t="shared" si="16"/>
        <v>0</v>
      </c>
    </row>
    <row r="506" spans="1:14" s="22" customFormat="1" ht="15" hidden="1">
      <c r="A506" s="232" t="s">
        <v>463</v>
      </c>
      <c r="B506" s="224"/>
      <c r="C506" s="97" t="s">
        <v>5</v>
      </c>
      <c r="D506" s="97" t="s">
        <v>98</v>
      </c>
      <c r="E506" s="299" t="s">
        <v>553</v>
      </c>
      <c r="F506" s="187" t="s">
        <v>112</v>
      </c>
      <c r="G506" s="80"/>
      <c r="H506" s="73"/>
      <c r="I506" s="73"/>
      <c r="J506" s="244">
        <f>SUM('ведомствен.2016-2014'!G398)</f>
        <v>0</v>
      </c>
      <c r="K506" s="244">
        <f>SUM('ведомствен.2016-2014'!H398)</f>
        <v>0</v>
      </c>
      <c r="L506" s="242">
        <f>SUM(G506-J506)</f>
        <v>0</v>
      </c>
      <c r="M506" s="176"/>
      <c r="N506" s="221">
        <f t="shared" si="16"/>
        <v>0</v>
      </c>
    </row>
    <row r="507" spans="1:14" s="22" customFormat="1" ht="14.25" hidden="1">
      <c r="A507" s="231" t="s">
        <v>471</v>
      </c>
      <c r="B507" s="310"/>
      <c r="C507" s="299" t="s">
        <v>5</v>
      </c>
      <c r="D507" s="299" t="s">
        <v>98</v>
      </c>
      <c r="E507" s="299" t="s">
        <v>553</v>
      </c>
      <c r="F507" s="300" t="s">
        <v>472</v>
      </c>
      <c r="G507" s="80"/>
      <c r="H507" s="73">
        <v>1236.7</v>
      </c>
      <c r="I507" s="73" t="e">
        <f aca="true" t="shared" si="17" ref="I507:I512">SUM(H507/G507*100)</f>
        <v>#DIV/0!</v>
      </c>
      <c r="J507" s="242">
        <f>SUM('ведомствен.2016-2014'!G399)</f>
        <v>0</v>
      </c>
      <c r="K507" s="242">
        <f>SUM('ведомствен.2016-2014'!H399)</f>
        <v>0</v>
      </c>
      <c r="L507" s="242">
        <f>SUM(G507-J507)</f>
        <v>0</v>
      </c>
      <c r="M507" s="176"/>
      <c r="N507" s="221">
        <f t="shared" si="16"/>
        <v>0</v>
      </c>
    </row>
    <row r="508" spans="1:14" s="22" customFormat="1" ht="15">
      <c r="A508" s="231" t="s">
        <v>205</v>
      </c>
      <c r="B508" s="310"/>
      <c r="C508" s="299" t="s">
        <v>5</v>
      </c>
      <c r="D508" s="299" t="s">
        <v>98</v>
      </c>
      <c r="E508" s="299" t="s">
        <v>554</v>
      </c>
      <c r="F508" s="300"/>
      <c r="G508" s="80">
        <f>G509+G510</f>
        <v>1931.3</v>
      </c>
      <c r="H508" s="73">
        <f>SUM(H509)</f>
        <v>0</v>
      </c>
      <c r="I508" s="73">
        <f t="shared" si="17"/>
        <v>0</v>
      </c>
      <c r="J508" s="244"/>
      <c r="K508" s="244"/>
      <c r="L508" s="242"/>
      <c r="M508" s="176">
        <f>M509+M510</f>
        <v>1931.3</v>
      </c>
      <c r="N508" s="221">
        <f t="shared" si="16"/>
        <v>1931.3</v>
      </c>
    </row>
    <row r="509" spans="1:14" s="22" customFormat="1" ht="14.25" customHeight="1">
      <c r="A509" s="231" t="s">
        <v>471</v>
      </c>
      <c r="B509" s="310"/>
      <c r="C509" s="299" t="s">
        <v>5</v>
      </c>
      <c r="D509" s="299" t="s">
        <v>98</v>
      </c>
      <c r="E509" s="299" t="s">
        <v>554</v>
      </c>
      <c r="F509" s="300" t="s">
        <v>472</v>
      </c>
      <c r="G509" s="80">
        <v>1631.3</v>
      </c>
      <c r="H509" s="73"/>
      <c r="I509" s="73">
        <f t="shared" si="17"/>
        <v>0</v>
      </c>
      <c r="J509" s="242">
        <f>SUM('ведомствен.2016-2014'!G401)</f>
        <v>1631.3</v>
      </c>
      <c r="K509" s="242">
        <f>SUM('ведомствен.2016-2014'!H401)</f>
        <v>1631.3</v>
      </c>
      <c r="L509" s="242">
        <f>SUM(G509-J509)</f>
        <v>0</v>
      </c>
      <c r="M509" s="176">
        <v>1631.3</v>
      </c>
      <c r="N509" s="221">
        <f t="shared" si="16"/>
        <v>0</v>
      </c>
    </row>
    <row r="510" spans="1:14" s="22" customFormat="1" ht="20.25" customHeight="1">
      <c r="A510" s="231" t="s">
        <v>561</v>
      </c>
      <c r="B510" s="310"/>
      <c r="C510" s="299" t="s">
        <v>5</v>
      </c>
      <c r="D510" s="299" t="s">
        <v>98</v>
      </c>
      <c r="E510" s="299" t="s">
        <v>554</v>
      </c>
      <c r="F510" s="300" t="s">
        <v>477</v>
      </c>
      <c r="G510" s="80">
        <v>300</v>
      </c>
      <c r="H510" s="73" t="e">
        <f>SUM(H511)</f>
        <v>#REF!</v>
      </c>
      <c r="I510" s="73" t="e">
        <f t="shared" si="17"/>
        <v>#REF!</v>
      </c>
      <c r="J510" s="242">
        <f>SUM('ведомствен.2016-2014'!G402)</f>
        <v>300</v>
      </c>
      <c r="K510" s="242">
        <f>SUM('ведомствен.2016-2014'!H402)</f>
        <v>300</v>
      </c>
      <c r="L510" s="242">
        <f>SUM(G510-J510)</f>
        <v>0</v>
      </c>
      <c r="M510" s="176">
        <v>300</v>
      </c>
      <c r="N510" s="221">
        <f t="shared" si="16"/>
        <v>0</v>
      </c>
    </row>
    <row r="511" spans="1:14" s="22" customFormat="1" ht="28.5">
      <c r="A511" s="231" t="s">
        <v>282</v>
      </c>
      <c r="B511" s="310"/>
      <c r="C511" s="299" t="s">
        <v>5</v>
      </c>
      <c r="D511" s="299" t="s">
        <v>98</v>
      </c>
      <c r="E511" s="299" t="s">
        <v>555</v>
      </c>
      <c r="F511" s="300"/>
      <c r="G511" s="80">
        <f>+G512+G515+G518+G522</f>
        <v>8886.5</v>
      </c>
      <c r="H511" s="73" t="e">
        <f>SUM(#REF!)</f>
        <v>#REF!</v>
      </c>
      <c r="I511" s="73" t="e">
        <f t="shared" si="17"/>
        <v>#REF!</v>
      </c>
      <c r="J511" s="244"/>
      <c r="K511" s="244"/>
      <c r="L511" s="242"/>
      <c r="M511" s="176">
        <f>+M512+M515+M518+M522</f>
        <v>9311.2</v>
      </c>
      <c r="N511" s="221">
        <f t="shared" si="16"/>
        <v>9311.2</v>
      </c>
    </row>
    <row r="512" spans="1:14" s="22" customFormat="1" ht="57">
      <c r="A512" s="231" t="s">
        <v>445</v>
      </c>
      <c r="B512" s="310"/>
      <c r="C512" s="299" t="s">
        <v>5</v>
      </c>
      <c r="D512" s="299" t="s">
        <v>98</v>
      </c>
      <c r="E512" s="299" t="s">
        <v>558</v>
      </c>
      <c r="F512" s="300"/>
      <c r="G512" s="80">
        <f>SUM(G513:G514)</f>
        <v>7087.9</v>
      </c>
      <c r="H512" s="73" t="e">
        <f>SUM(#REF!)</f>
        <v>#REF!</v>
      </c>
      <c r="I512" s="73" t="e">
        <f t="shared" si="17"/>
        <v>#REF!</v>
      </c>
      <c r="J512" s="244"/>
      <c r="K512" s="244"/>
      <c r="L512" s="242"/>
      <c r="M512" s="176">
        <f>SUM(M513:M514)</f>
        <v>7435.200000000001</v>
      </c>
      <c r="N512" s="221">
        <f t="shared" si="16"/>
        <v>7435.200000000001</v>
      </c>
    </row>
    <row r="513" spans="1:14" s="22" customFormat="1" ht="15">
      <c r="A513" s="232" t="s">
        <v>463</v>
      </c>
      <c r="B513" s="310"/>
      <c r="C513" s="299" t="s">
        <v>5</v>
      </c>
      <c r="D513" s="299" t="s">
        <v>98</v>
      </c>
      <c r="E513" s="299" t="s">
        <v>558</v>
      </c>
      <c r="F513" s="300" t="s">
        <v>112</v>
      </c>
      <c r="G513" s="80">
        <v>257.5</v>
      </c>
      <c r="H513" s="73"/>
      <c r="I513" s="73"/>
      <c r="J513" s="244">
        <f>SUM('ведомствен.2016-2014'!G405)</f>
        <v>257.5</v>
      </c>
      <c r="K513" s="244">
        <f>SUM('ведомствен.2016-2014'!H405)</f>
        <v>270.1</v>
      </c>
      <c r="L513" s="242">
        <f>SUM(G513-J513)</f>
        <v>0</v>
      </c>
      <c r="M513" s="176">
        <v>270.1</v>
      </c>
      <c r="N513" s="221">
        <f t="shared" si="16"/>
        <v>0</v>
      </c>
    </row>
    <row r="514" spans="1:14" s="22" customFormat="1" ht="13.5" customHeight="1">
      <c r="A514" s="231" t="s">
        <v>471</v>
      </c>
      <c r="B514" s="310"/>
      <c r="C514" s="299" t="s">
        <v>5</v>
      </c>
      <c r="D514" s="299" t="s">
        <v>98</v>
      </c>
      <c r="E514" s="299" t="s">
        <v>558</v>
      </c>
      <c r="F514" s="300" t="s">
        <v>472</v>
      </c>
      <c r="G514" s="80">
        <v>6830.4</v>
      </c>
      <c r="H514" s="73"/>
      <c r="I514" s="73"/>
      <c r="J514" s="242">
        <f>SUM('ведомствен.2016-2014'!G406)</f>
        <v>6830.4</v>
      </c>
      <c r="K514" s="242">
        <f>SUM('ведомствен.2016-2014'!H406)</f>
        <v>7165.1</v>
      </c>
      <c r="L514" s="242">
        <f>SUM(G514-J514)</f>
        <v>0</v>
      </c>
      <c r="M514" s="176">
        <v>7165.1</v>
      </c>
      <c r="N514" s="221">
        <f t="shared" si="16"/>
        <v>0</v>
      </c>
    </row>
    <row r="515" spans="1:14" ht="42.75" hidden="1">
      <c r="A515" s="231" t="s">
        <v>446</v>
      </c>
      <c r="B515" s="310"/>
      <c r="C515" s="299" t="s">
        <v>5</v>
      </c>
      <c r="D515" s="299" t="s">
        <v>98</v>
      </c>
      <c r="E515" s="299" t="s">
        <v>559</v>
      </c>
      <c r="F515" s="300"/>
      <c r="G515" s="80">
        <f>SUM(G516:G517)</f>
        <v>0</v>
      </c>
      <c r="H515" s="73"/>
      <c r="I515" s="73"/>
      <c r="J515" s="242"/>
      <c r="K515" s="242"/>
      <c r="L515" s="242"/>
      <c r="M515" s="176">
        <f>SUM(M516:M517)</f>
        <v>0</v>
      </c>
      <c r="N515" s="221">
        <f t="shared" si="16"/>
        <v>0</v>
      </c>
    </row>
    <row r="516" spans="1:14" ht="14.25" hidden="1">
      <c r="A516" s="232" t="s">
        <v>463</v>
      </c>
      <c r="B516" s="310"/>
      <c r="C516" s="299" t="s">
        <v>5</v>
      </c>
      <c r="D516" s="299" t="s">
        <v>98</v>
      </c>
      <c r="E516" s="299" t="s">
        <v>559</v>
      </c>
      <c r="F516" s="300" t="s">
        <v>112</v>
      </c>
      <c r="G516" s="80"/>
      <c r="H516" s="73"/>
      <c r="I516" s="73"/>
      <c r="J516" s="242">
        <f>SUM('ведомствен.2016-2014'!G408)</f>
        <v>0</v>
      </c>
      <c r="K516" s="242">
        <f>SUM('ведомствен.2016-2014'!H408)</f>
        <v>0</v>
      </c>
      <c r="L516" s="242">
        <f>SUM(G516-J516)</f>
        <v>0</v>
      </c>
      <c r="M516" s="176"/>
      <c r="N516" s="221">
        <f t="shared" si="16"/>
        <v>0</v>
      </c>
    </row>
    <row r="517" spans="1:14" ht="14.25" hidden="1">
      <c r="A517" s="231" t="s">
        <v>471</v>
      </c>
      <c r="B517" s="310"/>
      <c r="C517" s="299" t="s">
        <v>5</v>
      </c>
      <c r="D517" s="299" t="s">
        <v>98</v>
      </c>
      <c r="E517" s="299" t="s">
        <v>559</v>
      </c>
      <c r="F517" s="300" t="s">
        <v>472</v>
      </c>
      <c r="G517" s="80"/>
      <c r="H517" s="73"/>
      <c r="I517" s="73"/>
      <c r="J517" s="242">
        <f>SUM('ведомствен.2016-2014'!G409)</f>
        <v>0</v>
      </c>
      <c r="K517" s="242">
        <f>SUM('ведомствен.2016-2014'!H409)</f>
        <v>0</v>
      </c>
      <c r="L517" s="242">
        <f>SUM(G517-J517)</f>
        <v>0</v>
      </c>
      <c r="M517" s="176"/>
      <c r="N517" s="221">
        <f t="shared" si="16"/>
        <v>0</v>
      </c>
    </row>
    <row r="518" spans="1:14" s="22" customFormat="1" ht="42.75">
      <c r="A518" s="235" t="s">
        <v>447</v>
      </c>
      <c r="B518" s="310"/>
      <c r="C518" s="299" t="s">
        <v>5</v>
      </c>
      <c r="D518" s="299" t="s">
        <v>98</v>
      </c>
      <c r="E518" s="299" t="s">
        <v>560</v>
      </c>
      <c r="F518" s="300"/>
      <c r="G518" s="80">
        <f>SUM(G519:G521)</f>
        <v>1798.6</v>
      </c>
      <c r="H518" s="73"/>
      <c r="I518" s="73"/>
      <c r="J518" s="244"/>
      <c r="K518" s="244"/>
      <c r="L518" s="242"/>
      <c r="M518" s="176">
        <f>SUM(M519:M521)</f>
        <v>1876</v>
      </c>
      <c r="N518" s="221">
        <f t="shared" si="16"/>
        <v>1876</v>
      </c>
    </row>
    <row r="519" spans="1:14" s="22" customFormat="1" ht="15">
      <c r="A519" s="232" t="s">
        <v>463</v>
      </c>
      <c r="B519" s="310"/>
      <c r="C519" s="299" t="s">
        <v>5</v>
      </c>
      <c r="D519" s="299" t="s">
        <v>98</v>
      </c>
      <c r="E519" s="299" t="s">
        <v>560</v>
      </c>
      <c r="F519" s="300" t="s">
        <v>112</v>
      </c>
      <c r="G519" s="80">
        <v>25.3</v>
      </c>
      <c r="H519" s="73"/>
      <c r="I519" s="73"/>
      <c r="J519" s="244">
        <f>SUM('ведомствен.2016-2014'!G411)</f>
        <v>25.3</v>
      </c>
      <c r="K519" s="244">
        <f>SUM('ведомствен.2016-2014'!H411)</f>
        <v>26.7</v>
      </c>
      <c r="L519" s="242">
        <f>SUM(G519-J519)</f>
        <v>0</v>
      </c>
      <c r="M519" s="176">
        <v>26.7</v>
      </c>
      <c r="N519" s="221">
        <f t="shared" si="16"/>
        <v>0</v>
      </c>
    </row>
    <row r="520" spans="1:14" s="22" customFormat="1" ht="14.25">
      <c r="A520" s="231" t="s">
        <v>471</v>
      </c>
      <c r="B520" s="310"/>
      <c r="C520" s="299" t="s">
        <v>5</v>
      </c>
      <c r="D520" s="299" t="s">
        <v>98</v>
      </c>
      <c r="E520" s="299" t="s">
        <v>560</v>
      </c>
      <c r="F520" s="300" t="s">
        <v>472</v>
      </c>
      <c r="G520" s="80">
        <v>1485.7</v>
      </c>
      <c r="H520" s="73"/>
      <c r="I520" s="73"/>
      <c r="J520" s="242">
        <f>SUM('ведомствен.2016-2014'!G412)</f>
        <v>1485.7</v>
      </c>
      <c r="K520" s="242">
        <f>SUM('ведомствен.2016-2014'!H412)</f>
        <v>1561.7</v>
      </c>
      <c r="L520" s="242">
        <f>SUM(G520-J520)</f>
        <v>0</v>
      </c>
      <c r="M520" s="176">
        <v>1561.7</v>
      </c>
      <c r="N520" s="221">
        <f t="shared" si="16"/>
        <v>0</v>
      </c>
    </row>
    <row r="521" spans="1:14" s="22" customFormat="1" ht="42" customHeight="1">
      <c r="A521" s="231" t="s">
        <v>561</v>
      </c>
      <c r="B521" s="310"/>
      <c r="C521" s="299" t="s">
        <v>5</v>
      </c>
      <c r="D521" s="299" t="s">
        <v>98</v>
      </c>
      <c r="E521" s="299" t="s">
        <v>560</v>
      </c>
      <c r="F521" s="300" t="s">
        <v>477</v>
      </c>
      <c r="G521" s="80">
        <v>287.6</v>
      </c>
      <c r="H521" s="73"/>
      <c r="I521" s="73"/>
      <c r="J521" s="242">
        <f>SUM('ведомствен.2016-2014'!G413)</f>
        <v>287.6</v>
      </c>
      <c r="K521" s="242">
        <f>SUM('ведомствен.2016-2014'!H413)</f>
        <v>287.6</v>
      </c>
      <c r="L521" s="242">
        <f>SUM(G521-J521)</f>
        <v>0</v>
      </c>
      <c r="M521" s="176">
        <v>287.6</v>
      </c>
      <c r="N521" s="221">
        <f t="shared" si="16"/>
        <v>0</v>
      </c>
    </row>
    <row r="522" spans="1:14" s="15" customFormat="1" ht="42.75" hidden="1">
      <c r="A522" s="231" t="s">
        <v>448</v>
      </c>
      <c r="B522" s="310"/>
      <c r="C522" s="299" t="s">
        <v>5</v>
      </c>
      <c r="D522" s="299" t="s">
        <v>98</v>
      </c>
      <c r="E522" s="299" t="s">
        <v>562</v>
      </c>
      <c r="F522" s="300"/>
      <c r="G522" s="80">
        <f>SUM(G523:G524)</f>
        <v>0</v>
      </c>
      <c r="H522" s="73"/>
      <c r="I522" s="73"/>
      <c r="J522" s="245"/>
      <c r="K522" s="245"/>
      <c r="L522" s="242"/>
      <c r="M522" s="176">
        <f>SUM(M523:M524)</f>
        <v>0</v>
      </c>
      <c r="N522" s="221">
        <f t="shared" si="16"/>
        <v>0</v>
      </c>
    </row>
    <row r="523" spans="1:14" s="15" customFormat="1" ht="14.25" hidden="1">
      <c r="A523" s="232" t="s">
        <v>463</v>
      </c>
      <c r="B523" s="310"/>
      <c r="C523" s="299" t="s">
        <v>5</v>
      </c>
      <c r="D523" s="299" t="s">
        <v>98</v>
      </c>
      <c r="E523" s="299" t="s">
        <v>562</v>
      </c>
      <c r="F523" s="300" t="s">
        <v>112</v>
      </c>
      <c r="G523" s="80"/>
      <c r="H523" s="73"/>
      <c r="I523" s="73"/>
      <c r="J523" s="245">
        <f>SUM('ведомствен.2016-2014'!G415)</f>
        <v>0</v>
      </c>
      <c r="K523" s="245">
        <f>SUM('ведомствен.2016-2014'!H415)</f>
        <v>0</v>
      </c>
      <c r="L523" s="242">
        <f>SUM(G523-J523)</f>
        <v>0</v>
      </c>
      <c r="M523" s="176"/>
      <c r="N523" s="221">
        <f t="shared" si="16"/>
        <v>0</v>
      </c>
    </row>
    <row r="524" spans="1:14" s="15" customFormat="1" ht="14.25" hidden="1">
      <c r="A524" s="231" t="s">
        <v>471</v>
      </c>
      <c r="B524" s="310"/>
      <c r="C524" s="299" t="s">
        <v>5</v>
      </c>
      <c r="D524" s="299" t="s">
        <v>98</v>
      </c>
      <c r="E524" s="299" t="s">
        <v>562</v>
      </c>
      <c r="F524" s="300" t="s">
        <v>472</v>
      </c>
      <c r="G524" s="80"/>
      <c r="H524" s="73"/>
      <c r="I524" s="73"/>
      <c r="J524" s="242">
        <f>SUM('ведомствен.2016-2014'!G416)</f>
        <v>0</v>
      </c>
      <c r="K524" s="242">
        <f>SUM('ведомствен.2016-2014'!H416)</f>
        <v>0</v>
      </c>
      <c r="L524" s="242">
        <f>SUM(G524-J524)</f>
        <v>0</v>
      </c>
      <c r="M524" s="176"/>
      <c r="N524" s="221">
        <f t="shared" si="16"/>
        <v>0</v>
      </c>
    </row>
    <row r="525" spans="1:14" ht="28.5">
      <c r="A525" s="231" t="s">
        <v>167</v>
      </c>
      <c r="B525" s="297"/>
      <c r="C525" s="298" t="s">
        <v>5</v>
      </c>
      <c r="D525" s="299" t="s">
        <v>98</v>
      </c>
      <c r="E525" s="299" t="s">
        <v>168</v>
      </c>
      <c r="F525" s="300"/>
      <c r="G525" s="80">
        <f>SUM(G526)</f>
        <v>638</v>
      </c>
      <c r="H525" s="73"/>
      <c r="I525" s="73"/>
      <c r="J525" s="242"/>
      <c r="K525" s="242"/>
      <c r="L525" s="242"/>
      <c r="M525" s="80">
        <f>SUM(M526)</f>
        <v>638</v>
      </c>
      <c r="N525" s="221">
        <f t="shared" si="16"/>
        <v>638</v>
      </c>
    </row>
    <row r="526" spans="1:14" ht="14.25">
      <c r="A526" s="231" t="s">
        <v>169</v>
      </c>
      <c r="B526" s="297"/>
      <c r="C526" s="298" t="s">
        <v>5</v>
      </c>
      <c r="D526" s="299" t="s">
        <v>98</v>
      </c>
      <c r="E526" s="299" t="s">
        <v>170</v>
      </c>
      <c r="F526" s="300"/>
      <c r="G526" s="80">
        <f>SUM(G527:G528)</f>
        <v>638</v>
      </c>
      <c r="H526" s="73"/>
      <c r="I526" s="73"/>
      <c r="J526" s="242"/>
      <c r="K526" s="242"/>
      <c r="L526" s="242"/>
      <c r="M526" s="80">
        <f>SUM(M527:M528)</f>
        <v>638</v>
      </c>
      <c r="N526" s="221">
        <f t="shared" si="16"/>
        <v>638</v>
      </c>
    </row>
    <row r="527" spans="1:14" ht="14.25">
      <c r="A527" s="232" t="s">
        <v>463</v>
      </c>
      <c r="B527" s="310"/>
      <c r="C527" s="299" t="s">
        <v>5</v>
      </c>
      <c r="D527" s="299" t="s">
        <v>98</v>
      </c>
      <c r="E527" s="299" t="s">
        <v>170</v>
      </c>
      <c r="F527" s="300" t="s">
        <v>112</v>
      </c>
      <c r="G527" s="80">
        <v>556</v>
      </c>
      <c r="H527" s="73"/>
      <c r="I527" s="73"/>
      <c r="J527" s="242">
        <f>SUM('ведомствен.2016-2014'!G419)</f>
        <v>556</v>
      </c>
      <c r="K527" s="242">
        <f>SUM('ведомствен.2016-2014'!H419)</f>
        <v>556</v>
      </c>
      <c r="L527" s="242"/>
      <c r="M527" s="176">
        <v>556</v>
      </c>
      <c r="N527" s="221">
        <f t="shared" si="16"/>
        <v>0</v>
      </c>
    </row>
    <row r="528" spans="1:14" s="22" customFormat="1" ht="14.25">
      <c r="A528" s="231" t="s">
        <v>471</v>
      </c>
      <c r="B528" s="297"/>
      <c r="C528" s="298" t="s">
        <v>5</v>
      </c>
      <c r="D528" s="299" t="s">
        <v>98</v>
      </c>
      <c r="E528" s="299" t="s">
        <v>170</v>
      </c>
      <c r="F528" s="300" t="s">
        <v>472</v>
      </c>
      <c r="G528" s="80">
        <v>82</v>
      </c>
      <c r="H528" s="73"/>
      <c r="I528" s="73"/>
      <c r="J528" s="242">
        <f>SUM('ведомствен.2016-2014'!G420)</f>
        <v>82</v>
      </c>
      <c r="K528" s="242">
        <f>SUM('ведомствен.2016-2014'!H420)</f>
        <v>82</v>
      </c>
      <c r="L528" s="242">
        <f>SUM(G528-J528)</f>
        <v>0</v>
      </c>
      <c r="M528" s="80">
        <v>82</v>
      </c>
      <c r="N528" s="221">
        <f t="shared" si="16"/>
        <v>0</v>
      </c>
    </row>
    <row r="529" spans="1:14" s="22" customFormat="1" ht="42.75">
      <c r="A529" s="233" t="s">
        <v>610</v>
      </c>
      <c r="B529" s="307"/>
      <c r="C529" s="308" t="s">
        <v>5</v>
      </c>
      <c r="D529" s="308" t="s">
        <v>98</v>
      </c>
      <c r="E529" s="308" t="s">
        <v>611</v>
      </c>
      <c r="F529" s="309"/>
      <c r="G529" s="322">
        <f>G530</f>
        <v>325182.70000000007</v>
      </c>
      <c r="H529" s="73"/>
      <c r="I529" s="73"/>
      <c r="J529" s="242"/>
      <c r="K529" s="242"/>
      <c r="L529" s="242"/>
      <c r="M529" s="319">
        <f>M530</f>
        <v>332781.9</v>
      </c>
      <c r="N529" s="221">
        <f t="shared" si="16"/>
        <v>332781.9</v>
      </c>
    </row>
    <row r="530" spans="1:14" s="22" customFormat="1" ht="114">
      <c r="A530" s="233" t="s">
        <v>612</v>
      </c>
      <c r="B530" s="307"/>
      <c r="C530" s="308" t="s">
        <v>5</v>
      </c>
      <c r="D530" s="308" t="s">
        <v>98</v>
      </c>
      <c r="E530" s="308" t="s">
        <v>613</v>
      </c>
      <c r="F530" s="309"/>
      <c r="G530" s="322">
        <f>G531+G534+G537+G540+G543+G546+G549</f>
        <v>325182.70000000007</v>
      </c>
      <c r="H530" s="73"/>
      <c r="I530" s="73"/>
      <c r="J530" s="242"/>
      <c r="K530" s="242"/>
      <c r="L530" s="242"/>
      <c r="M530" s="319">
        <f>M531+M534+M537+M540+M543+M546+M549</f>
        <v>332781.9</v>
      </c>
      <c r="N530" s="221">
        <f t="shared" si="16"/>
        <v>332781.9</v>
      </c>
    </row>
    <row r="531" spans="1:14" s="22" customFormat="1" ht="71.25">
      <c r="A531" s="281" t="s">
        <v>440</v>
      </c>
      <c r="B531" s="307"/>
      <c r="C531" s="308" t="s">
        <v>5</v>
      </c>
      <c r="D531" s="308" t="s">
        <v>98</v>
      </c>
      <c r="E531" s="308" t="s">
        <v>614</v>
      </c>
      <c r="F531" s="309"/>
      <c r="G531" s="322">
        <f>G532+G533</f>
        <v>51210.700000000004</v>
      </c>
      <c r="H531" s="73"/>
      <c r="I531" s="73"/>
      <c r="J531" s="242"/>
      <c r="K531" s="242"/>
      <c r="L531" s="242"/>
      <c r="M531" s="319">
        <f>M532+M533</f>
        <v>51210.700000000004</v>
      </c>
      <c r="N531" s="221">
        <f t="shared" si="16"/>
        <v>51210.700000000004</v>
      </c>
    </row>
    <row r="532" spans="1:14" s="22" customFormat="1" ht="14.25">
      <c r="A532" s="233" t="s">
        <v>463</v>
      </c>
      <c r="B532" s="307"/>
      <c r="C532" s="308" t="s">
        <v>5</v>
      </c>
      <c r="D532" s="308" t="s">
        <v>98</v>
      </c>
      <c r="E532" s="308" t="s">
        <v>614</v>
      </c>
      <c r="F532" s="309" t="s">
        <v>112</v>
      </c>
      <c r="G532" s="322">
        <v>756.8</v>
      </c>
      <c r="H532" s="73"/>
      <c r="I532" s="73"/>
      <c r="J532" s="242">
        <f>SUM('ведомствен.2016-2014'!G424)</f>
        <v>756.8</v>
      </c>
      <c r="K532" s="242">
        <f>SUM('ведомствен.2016-2014'!H424)</f>
        <v>756.8</v>
      </c>
      <c r="L532" s="242"/>
      <c r="M532" s="319">
        <v>756.8</v>
      </c>
      <c r="N532" s="221">
        <f t="shared" si="16"/>
        <v>0</v>
      </c>
    </row>
    <row r="533" spans="1:14" s="22" customFormat="1" ht="14.25">
      <c r="A533" s="233" t="s">
        <v>471</v>
      </c>
      <c r="B533" s="307"/>
      <c r="C533" s="308" t="s">
        <v>5</v>
      </c>
      <c r="D533" s="308" t="s">
        <v>98</v>
      </c>
      <c r="E533" s="308" t="s">
        <v>614</v>
      </c>
      <c r="F533" s="309" t="s">
        <v>472</v>
      </c>
      <c r="G533" s="322">
        <v>50453.9</v>
      </c>
      <c r="H533" s="73"/>
      <c r="I533" s="73"/>
      <c r="J533" s="242">
        <f>SUM('ведомствен.2016-2014'!G425)</f>
        <v>50453.9</v>
      </c>
      <c r="K533" s="242">
        <f>SUM('ведомствен.2016-2014'!H425)</f>
        <v>50453.9</v>
      </c>
      <c r="L533" s="242"/>
      <c r="M533" s="319">
        <v>50453.9</v>
      </c>
      <c r="N533" s="221">
        <f t="shared" si="16"/>
        <v>0</v>
      </c>
    </row>
    <row r="534" spans="1:14" s="22" customFormat="1" ht="85.5">
      <c r="A534" s="281" t="s">
        <v>556</v>
      </c>
      <c r="B534" s="307"/>
      <c r="C534" s="308" t="s">
        <v>5</v>
      </c>
      <c r="D534" s="308" t="s">
        <v>98</v>
      </c>
      <c r="E534" s="308" t="s">
        <v>615</v>
      </c>
      <c r="F534" s="309"/>
      <c r="G534" s="322">
        <f>G535+G536</f>
        <v>146930.6</v>
      </c>
      <c r="H534" s="73"/>
      <c r="I534" s="73"/>
      <c r="J534" s="242"/>
      <c r="K534" s="242"/>
      <c r="L534" s="242"/>
      <c r="M534" s="319">
        <f>M535+M536</f>
        <v>154130.2</v>
      </c>
      <c r="N534" s="221">
        <f aca="true" t="shared" si="18" ref="N534:N597">SUM(M534-K534)</f>
        <v>154130.2</v>
      </c>
    </row>
    <row r="535" spans="1:14" s="22" customFormat="1" ht="14.25">
      <c r="A535" s="233" t="s">
        <v>463</v>
      </c>
      <c r="B535" s="307"/>
      <c r="C535" s="308" t="s">
        <v>5</v>
      </c>
      <c r="D535" s="308" t="s">
        <v>98</v>
      </c>
      <c r="E535" s="308" t="s">
        <v>615</v>
      </c>
      <c r="F535" s="309" t="s">
        <v>112</v>
      </c>
      <c r="G535" s="322">
        <v>5338</v>
      </c>
      <c r="H535" s="73"/>
      <c r="I535" s="73"/>
      <c r="J535" s="242">
        <f>SUM('ведомствен.2016-2014'!G427)</f>
        <v>5338</v>
      </c>
      <c r="K535" s="242">
        <f>SUM('ведомствен.2016-2014'!H427)</f>
        <v>5599.6</v>
      </c>
      <c r="L535" s="242"/>
      <c r="M535" s="319">
        <v>5599.6</v>
      </c>
      <c r="N535" s="221">
        <f t="shared" si="18"/>
        <v>0</v>
      </c>
    </row>
    <row r="536" spans="1:14" s="22" customFormat="1" ht="14.25">
      <c r="A536" s="233" t="s">
        <v>471</v>
      </c>
      <c r="B536" s="307"/>
      <c r="C536" s="308" t="s">
        <v>5</v>
      </c>
      <c r="D536" s="308" t="s">
        <v>98</v>
      </c>
      <c r="E536" s="308" t="s">
        <v>615</v>
      </c>
      <c r="F536" s="309" t="s">
        <v>472</v>
      </c>
      <c r="G536" s="322">
        <v>141592.6</v>
      </c>
      <c r="H536" s="73"/>
      <c r="I536" s="73"/>
      <c r="J536" s="242">
        <f>SUM('ведомствен.2016-2014'!G428)</f>
        <v>141592.6</v>
      </c>
      <c r="K536" s="242">
        <f>SUM('ведомствен.2016-2014'!H428)</f>
        <v>148530.6</v>
      </c>
      <c r="L536" s="242"/>
      <c r="M536" s="319">
        <v>148530.6</v>
      </c>
      <c r="N536" s="221">
        <f t="shared" si="18"/>
        <v>0</v>
      </c>
    </row>
    <row r="537" spans="1:14" s="22" customFormat="1" ht="85.5">
      <c r="A537" s="235" t="s">
        <v>441</v>
      </c>
      <c r="B537" s="307"/>
      <c r="C537" s="308" t="s">
        <v>5</v>
      </c>
      <c r="D537" s="308" t="s">
        <v>98</v>
      </c>
      <c r="E537" s="308" t="s">
        <v>616</v>
      </c>
      <c r="F537" s="309"/>
      <c r="G537" s="322">
        <f>SUM(G538)+G539</f>
        <v>1521.7</v>
      </c>
      <c r="H537" s="73"/>
      <c r="I537" s="73"/>
      <c r="J537" s="242"/>
      <c r="K537" s="242"/>
      <c r="L537" s="242"/>
      <c r="M537" s="319">
        <f>SUM(M538)+M539</f>
        <v>1521.7</v>
      </c>
      <c r="N537" s="221">
        <f t="shared" si="18"/>
        <v>1521.7</v>
      </c>
    </row>
    <row r="538" spans="1:14" s="22" customFormat="1" ht="14.25">
      <c r="A538" s="233" t="s">
        <v>463</v>
      </c>
      <c r="B538" s="307"/>
      <c r="C538" s="308" t="s">
        <v>5</v>
      </c>
      <c r="D538" s="308" t="s">
        <v>98</v>
      </c>
      <c r="E538" s="308" t="s">
        <v>616</v>
      </c>
      <c r="F538" s="309" t="s">
        <v>112</v>
      </c>
      <c r="G538" s="322">
        <v>22.5</v>
      </c>
      <c r="H538" s="73"/>
      <c r="I538" s="73"/>
      <c r="J538" s="242">
        <f>SUM('ведомствен.2016-2014'!G430)</f>
        <v>22.5</v>
      </c>
      <c r="K538" s="242">
        <f>SUM('ведомствен.2016-2014'!H430)</f>
        <v>22.5</v>
      </c>
      <c r="L538" s="242"/>
      <c r="M538" s="319">
        <v>22.5</v>
      </c>
      <c r="N538" s="221">
        <f t="shared" si="18"/>
        <v>0</v>
      </c>
    </row>
    <row r="539" spans="1:14" s="22" customFormat="1" ht="14.25">
      <c r="A539" s="233" t="s">
        <v>471</v>
      </c>
      <c r="B539" s="307"/>
      <c r="C539" s="308" t="s">
        <v>5</v>
      </c>
      <c r="D539" s="308" t="s">
        <v>98</v>
      </c>
      <c r="E539" s="308" t="s">
        <v>616</v>
      </c>
      <c r="F539" s="309" t="s">
        <v>472</v>
      </c>
      <c r="G539" s="322">
        <v>1499.2</v>
      </c>
      <c r="H539" s="73"/>
      <c r="I539" s="73"/>
      <c r="J539" s="242">
        <f>SUM('ведомствен.2016-2014'!G431)</f>
        <v>1499.2</v>
      </c>
      <c r="K539" s="242">
        <f>SUM('ведомствен.2016-2014'!H431)</f>
        <v>1499.2</v>
      </c>
      <c r="L539" s="242"/>
      <c r="M539" s="319">
        <v>1499.2</v>
      </c>
      <c r="N539" s="221">
        <f t="shared" si="18"/>
        <v>0</v>
      </c>
    </row>
    <row r="540" spans="1:14" s="22" customFormat="1" ht="99.75">
      <c r="A540" s="235" t="s">
        <v>442</v>
      </c>
      <c r="B540" s="307"/>
      <c r="C540" s="308" t="s">
        <v>5</v>
      </c>
      <c r="D540" s="308" t="s">
        <v>98</v>
      </c>
      <c r="E540" s="308" t="s">
        <v>617</v>
      </c>
      <c r="F540" s="309"/>
      <c r="G540" s="322">
        <f>G541+G542</f>
        <v>7338.6</v>
      </c>
      <c r="H540" s="73"/>
      <c r="I540" s="73"/>
      <c r="J540" s="242"/>
      <c r="K540" s="242"/>
      <c r="L540" s="242"/>
      <c r="M540" s="319">
        <f>M541+M542</f>
        <v>7698.2</v>
      </c>
      <c r="N540" s="221">
        <f t="shared" si="18"/>
        <v>7698.2</v>
      </c>
    </row>
    <row r="541" spans="1:14" s="22" customFormat="1" ht="14.25">
      <c r="A541" s="233" t="s">
        <v>463</v>
      </c>
      <c r="B541" s="307"/>
      <c r="C541" s="308" t="s">
        <v>5</v>
      </c>
      <c r="D541" s="308" t="s">
        <v>98</v>
      </c>
      <c r="E541" s="308" t="s">
        <v>617</v>
      </c>
      <c r="F541" s="309" t="s">
        <v>112</v>
      </c>
      <c r="G541" s="322">
        <v>266.6</v>
      </c>
      <c r="H541" s="73"/>
      <c r="I541" s="73"/>
      <c r="J541" s="242">
        <f>SUM('ведомствен.2016-2014'!G433)</f>
        <v>266.6</v>
      </c>
      <c r="K541" s="242">
        <f>SUM('ведомствен.2016-2014'!H433)</f>
        <v>279.7</v>
      </c>
      <c r="L541" s="242"/>
      <c r="M541" s="319">
        <v>279.7</v>
      </c>
      <c r="N541" s="221">
        <f t="shared" si="18"/>
        <v>0</v>
      </c>
    </row>
    <row r="542" spans="1:14" s="22" customFormat="1" ht="14.25">
      <c r="A542" s="233" t="s">
        <v>471</v>
      </c>
      <c r="B542" s="307"/>
      <c r="C542" s="308" t="s">
        <v>5</v>
      </c>
      <c r="D542" s="308" t="s">
        <v>98</v>
      </c>
      <c r="E542" s="308" t="s">
        <v>617</v>
      </c>
      <c r="F542" s="309" t="s">
        <v>472</v>
      </c>
      <c r="G542" s="322">
        <v>7072</v>
      </c>
      <c r="H542" s="73"/>
      <c r="I542" s="73"/>
      <c r="J542" s="242">
        <f>SUM('ведомствен.2016-2014'!G434)</f>
        <v>7072</v>
      </c>
      <c r="K542" s="242">
        <f>SUM('ведомствен.2016-2014'!H434)</f>
        <v>7418.5</v>
      </c>
      <c r="L542" s="242"/>
      <c r="M542" s="319">
        <v>7418.5</v>
      </c>
      <c r="N542" s="221">
        <f t="shared" si="18"/>
        <v>0</v>
      </c>
    </row>
    <row r="543" spans="1:14" s="22" customFormat="1" ht="57">
      <c r="A543" s="233" t="s">
        <v>443</v>
      </c>
      <c r="B543" s="307"/>
      <c r="C543" s="308" t="s">
        <v>5</v>
      </c>
      <c r="D543" s="308" t="s">
        <v>98</v>
      </c>
      <c r="E543" s="308" t="s">
        <v>618</v>
      </c>
      <c r="F543" s="309"/>
      <c r="G543" s="322">
        <f>SUM(G545)+G544</f>
        <v>117203.1</v>
      </c>
      <c r="H543" s="73"/>
      <c r="I543" s="73"/>
      <c r="J543" s="242"/>
      <c r="K543" s="242"/>
      <c r="L543" s="242"/>
      <c r="M543" s="319">
        <f>SUM(M545)+M544</f>
        <v>117203.1</v>
      </c>
      <c r="N543" s="221">
        <f t="shared" si="18"/>
        <v>117203.1</v>
      </c>
    </row>
    <row r="544" spans="1:14" s="22" customFormat="1" ht="14.25">
      <c r="A544" s="233" t="s">
        <v>463</v>
      </c>
      <c r="B544" s="307"/>
      <c r="C544" s="308" t="s">
        <v>5</v>
      </c>
      <c r="D544" s="308" t="s">
        <v>98</v>
      </c>
      <c r="E544" s="308" t="s">
        <v>618</v>
      </c>
      <c r="F544" s="309" t="s">
        <v>112</v>
      </c>
      <c r="G544" s="322">
        <v>1732.1</v>
      </c>
      <c r="H544" s="73"/>
      <c r="I544" s="73"/>
      <c r="J544" s="242">
        <f>SUM('ведомствен.2016-2014'!G436)</f>
        <v>1732.1</v>
      </c>
      <c r="K544" s="242">
        <f>SUM('ведомствен.2016-2014'!H436)</f>
        <v>1732.1</v>
      </c>
      <c r="L544" s="242"/>
      <c r="M544" s="319">
        <v>1732.1</v>
      </c>
      <c r="N544" s="221">
        <f t="shared" si="18"/>
        <v>0</v>
      </c>
    </row>
    <row r="545" spans="1:14" s="22" customFormat="1" ht="14.25">
      <c r="A545" s="233" t="s">
        <v>471</v>
      </c>
      <c r="B545" s="307"/>
      <c r="C545" s="308" t="s">
        <v>5</v>
      </c>
      <c r="D545" s="308" t="s">
        <v>98</v>
      </c>
      <c r="E545" s="308" t="s">
        <v>618</v>
      </c>
      <c r="F545" s="309" t="s">
        <v>472</v>
      </c>
      <c r="G545" s="322">
        <v>115471</v>
      </c>
      <c r="H545" s="73"/>
      <c r="I545" s="73"/>
      <c r="J545" s="242">
        <f>SUM('ведомствен.2016-2014'!G437)</f>
        <v>115471</v>
      </c>
      <c r="K545" s="242">
        <f>SUM('ведомствен.2016-2014'!H437)</f>
        <v>115471</v>
      </c>
      <c r="L545" s="242"/>
      <c r="M545" s="319">
        <v>115471</v>
      </c>
      <c r="N545" s="221">
        <f t="shared" si="18"/>
        <v>0</v>
      </c>
    </row>
    <row r="546" spans="1:14" s="22" customFormat="1" ht="85.5">
      <c r="A546" s="233" t="s">
        <v>444</v>
      </c>
      <c r="B546" s="307"/>
      <c r="C546" s="308" t="s">
        <v>5</v>
      </c>
      <c r="D546" s="308" t="s">
        <v>98</v>
      </c>
      <c r="E546" s="308" t="s">
        <v>619</v>
      </c>
      <c r="F546" s="309"/>
      <c r="G546" s="322">
        <f>G548+G547</f>
        <v>816.8000000000001</v>
      </c>
      <c r="H546" s="73"/>
      <c r="I546" s="73"/>
      <c r="J546" s="242"/>
      <c r="K546" s="242"/>
      <c r="L546" s="242"/>
      <c r="M546" s="319">
        <f>M548+M547</f>
        <v>856.8000000000001</v>
      </c>
      <c r="N546" s="221">
        <f t="shared" si="18"/>
        <v>856.8000000000001</v>
      </c>
    </row>
    <row r="547" spans="1:14" s="22" customFormat="1" ht="14.25">
      <c r="A547" s="233" t="s">
        <v>463</v>
      </c>
      <c r="B547" s="307"/>
      <c r="C547" s="308" t="s">
        <v>5</v>
      </c>
      <c r="D547" s="308" t="s">
        <v>98</v>
      </c>
      <c r="E547" s="308" t="s">
        <v>619</v>
      </c>
      <c r="F547" s="309" t="s">
        <v>112</v>
      </c>
      <c r="G547" s="322">
        <v>29.7</v>
      </c>
      <c r="H547" s="73"/>
      <c r="I547" s="73"/>
      <c r="J547" s="242">
        <f>SUM('ведомствен.2016-2014'!G439)</f>
        <v>29.7</v>
      </c>
      <c r="K547" s="242">
        <f>SUM('ведомствен.2016-2014'!H439)</f>
        <v>31.1</v>
      </c>
      <c r="L547" s="242"/>
      <c r="M547" s="319">
        <v>31.1</v>
      </c>
      <c r="N547" s="221">
        <f t="shared" si="18"/>
        <v>0</v>
      </c>
    </row>
    <row r="548" spans="1:14" s="22" customFormat="1" ht="14.25">
      <c r="A548" s="233" t="s">
        <v>471</v>
      </c>
      <c r="B548" s="307"/>
      <c r="C548" s="308" t="s">
        <v>5</v>
      </c>
      <c r="D548" s="308" t="s">
        <v>98</v>
      </c>
      <c r="E548" s="308" t="s">
        <v>619</v>
      </c>
      <c r="F548" s="309" t="s">
        <v>472</v>
      </c>
      <c r="G548" s="322">
        <v>787.1</v>
      </c>
      <c r="H548" s="73"/>
      <c r="I548" s="73"/>
      <c r="J548" s="242">
        <f>SUM('ведомствен.2016-2014'!G440)</f>
        <v>787.1</v>
      </c>
      <c r="K548" s="242">
        <f>SUM('ведомствен.2016-2014'!H440)</f>
        <v>825.7</v>
      </c>
      <c r="L548" s="242"/>
      <c r="M548" s="319">
        <v>825.7</v>
      </c>
      <c r="N548" s="221">
        <f t="shared" si="18"/>
        <v>0</v>
      </c>
    </row>
    <row r="549" spans="1:14" s="22" customFormat="1" ht="71.25">
      <c r="A549" s="233" t="s">
        <v>557</v>
      </c>
      <c r="B549" s="307"/>
      <c r="C549" s="308" t="s">
        <v>5</v>
      </c>
      <c r="D549" s="308" t="s">
        <v>98</v>
      </c>
      <c r="E549" s="308" t="s">
        <v>620</v>
      </c>
      <c r="F549" s="309"/>
      <c r="G549" s="322">
        <f>SUM(G551)+G550</f>
        <v>161.20000000000002</v>
      </c>
      <c r="H549" s="73"/>
      <c r="I549" s="73"/>
      <c r="J549" s="242"/>
      <c r="K549" s="242"/>
      <c r="L549" s="242"/>
      <c r="M549" s="319">
        <f>SUM(M551)+M550</f>
        <v>161.20000000000002</v>
      </c>
      <c r="N549" s="221">
        <f t="shared" si="18"/>
        <v>161.20000000000002</v>
      </c>
    </row>
    <row r="550" spans="1:14" s="22" customFormat="1" ht="14.25">
      <c r="A550" s="233" t="s">
        <v>463</v>
      </c>
      <c r="B550" s="307"/>
      <c r="C550" s="308" t="s">
        <v>5</v>
      </c>
      <c r="D550" s="308" t="s">
        <v>98</v>
      </c>
      <c r="E550" s="308" t="s">
        <v>620</v>
      </c>
      <c r="F550" s="309" t="s">
        <v>112</v>
      </c>
      <c r="G550" s="322">
        <v>2.4</v>
      </c>
      <c r="H550" s="73"/>
      <c r="I550" s="73"/>
      <c r="J550" s="242">
        <f>SUM('ведомствен.2016-2014'!G442)</f>
        <v>2.4</v>
      </c>
      <c r="K550" s="242">
        <f>SUM('ведомствен.2016-2014'!H442)</f>
        <v>2.4</v>
      </c>
      <c r="L550" s="242"/>
      <c r="M550" s="319">
        <v>2.4</v>
      </c>
      <c r="N550" s="221">
        <f t="shared" si="18"/>
        <v>0</v>
      </c>
    </row>
    <row r="551" spans="1:14" s="22" customFormat="1" ht="14.25">
      <c r="A551" s="233" t="s">
        <v>471</v>
      </c>
      <c r="B551" s="307"/>
      <c r="C551" s="308" t="s">
        <v>5</v>
      </c>
      <c r="D551" s="308" t="s">
        <v>98</v>
      </c>
      <c r="E551" s="308" t="s">
        <v>620</v>
      </c>
      <c r="F551" s="309" t="s">
        <v>472</v>
      </c>
      <c r="G551" s="322">
        <v>158.8</v>
      </c>
      <c r="H551" s="73"/>
      <c r="I551" s="73"/>
      <c r="J551" s="242">
        <f>SUM('ведомствен.2016-2014'!G443)</f>
        <v>158.8</v>
      </c>
      <c r="K551" s="242">
        <f>SUM('ведомствен.2016-2014'!H443)</f>
        <v>158.8</v>
      </c>
      <c r="L551" s="242"/>
      <c r="M551" s="319">
        <v>158.8</v>
      </c>
      <c r="N551" s="221">
        <f t="shared" si="18"/>
        <v>0</v>
      </c>
    </row>
    <row r="552" spans="1:14" s="22" customFormat="1" ht="28.5">
      <c r="A552" s="233" t="s">
        <v>621</v>
      </c>
      <c r="B552" s="307"/>
      <c r="C552" s="308" t="s">
        <v>5</v>
      </c>
      <c r="D552" s="308" t="s">
        <v>98</v>
      </c>
      <c r="E552" s="308" t="s">
        <v>602</v>
      </c>
      <c r="F552" s="309"/>
      <c r="G552" s="322">
        <f>G553+G566</f>
        <v>141602</v>
      </c>
      <c r="H552" s="73"/>
      <c r="I552" s="73"/>
      <c r="J552" s="242"/>
      <c r="K552" s="242"/>
      <c r="L552" s="242"/>
      <c r="M552" s="319">
        <f>M553+M566</f>
        <v>146365</v>
      </c>
      <c r="N552" s="221">
        <f t="shared" si="18"/>
        <v>146365</v>
      </c>
    </row>
    <row r="553" spans="1:14" s="22" customFormat="1" ht="99.75">
      <c r="A553" s="233" t="s">
        <v>622</v>
      </c>
      <c r="B553" s="307"/>
      <c r="C553" s="308" t="s">
        <v>5</v>
      </c>
      <c r="D553" s="308" t="s">
        <v>98</v>
      </c>
      <c r="E553" s="308" t="s">
        <v>623</v>
      </c>
      <c r="F553" s="309"/>
      <c r="G553" s="322">
        <f>G554+G557+G560+G563</f>
        <v>54988.3</v>
      </c>
      <c r="H553" s="73"/>
      <c r="I553" s="73"/>
      <c r="J553" s="242"/>
      <c r="K553" s="242"/>
      <c r="L553" s="242"/>
      <c r="M553" s="319">
        <f>M554+M557+M560+M563</f>
        <v>56610.99999999999</v>
      </c>
      <c r="N553" s="221">
        <f t="shared" si="18"/>
        <v>56610.99999999999</v>
      </c>
    </row>
    <row r="554" spans="1:14" s="22" customFormat="1" ht="57">
      <c r="A554" s="233" t="s">
        <v>438</v>
      </c>
      <c r="B554" s="307"/>
      <c r="C554" s="308" t="s">
        <v>5</v>
      </c>
      <c r="D554" s="308" t="s">
        <v>98</v>
      </c>
      <c r="E554" s="308" t="s">
        <v>624</v>
      </c>
      <c r="F554" s="309"/>
      <c r="G554" s="322">
        <f>G555+G556</f>
        <v>1000.1999999999999</v>
      </c>
      <c r="H554" s="73"/>
      <c r="I554" s="73"/>
      <c r="J554" s="242"/>
      <c r="K554" s="242"/>
      <c r="L554" s="242"/>
      <c r="M554" s="319">
        <f>M555+M556</f>
        <v>1000.1999999999999</v>
      </c>
      <c r="N554" s="221">
        <f t="shared" si="18"/>
        <v>1000.1999999999999</v>
      </c>
    </row>
    <row r="555" spans="1:14" s="22" customFormat="1" ht="14.25">
      <c r="A555" s="233" t="s">
        <v>463</v>
      </c>
      <c r="B555" s="307"/>
      <c r="C555" s="308" t="s">
        <v>5</v>
      </c>
      <c r="D555" s="308" t="s">
        <v>98</v>
      </c>
      <c r="E555" s="308" t="s">
        <v>624</v>
      </c>
      <c r="F555" s="309" t="s">
        <v>112</v>
      </c>
      <c r="G555" s="322">
        <v>14.8</v>
      </c>
      <c r="H555" s="73"/>
      <c r="I555" s="73"/>
      <c r="J555" s="242">
        <f>SUM('ведомствен.2016-2014'!G447)</f>
        <v>14.8</v>
      </c>
      <c r="K555" s="242">
        <f>SUM('ведомствен.2016-2014'!H447)</f>
        <v>14.8</v>
      </c>
      <c r="L555" s="242"/>
      <c r="M555" s="319">
        <v>14.8</v>
      </c>
      <c r="N555" s="221">
        <f t="shared" si="18"/>
        <v>0</v>
      </c>
    </row>
    <row r="556" spans="1:14" s="22" customFormat="1" ht="14.25">
      <c r="A556" s="233" t="s">
        <v>471</v>
      </c>
      <c r="B556" s="307"/>
      <c r="C556" s="308" t="s">
        <v>5</v>
      </c>
      <c r="D556" s="308" t="s">
        <v>98</v>
      </c>
      <c r="E556" s="308" t="s">
        <v>624</v>
      </c>
      <c r="F556" s="309" t="s">
        <v>472</v>
      </c>
      <c r="G556" s="322">
        <v>985.4</v>
      </c>
      <c r="H556" s="73"/>
      <c r="I556" s="73"/>
      <c r="J556" s="242">
        <f>SUM('ведомствен.2016-2014'!G448)</f>
        <v>985.4</v>
      </c>
      <c r="K556" s="242">
        <f>SUM('ведомствен.2016-2014'!H448)</f>
        <v>985.4</v>
      </c>
      <c r="L556" s="242"/>
      <c r="M556" s="319">
        <v>985.4</v>
      </c>
      <c r="N556" s="221">
        <f t="shared" si="18"/>
        <v>0</v>
      </c>
    </row>
    <row r="557" spans="1:14" s="22" customFormat="1" ht="28.5">
      <c r="A557" s="235" t="s">
        <v>439</v>
      </c>
      <c r="B557" s="307"/>
      <c r="C557" s="308" t="s">
        <v>5</v>
      </c>
      <c r="D557" s="308" t="s">
        <v>98</v>
      </c>
      <c r="E557" s="308" t="s">
        <v>625</v>
      </c>
      <c r="F557" s="309"/>
      <c r="G557" s="322">
        <f>SUM(G558)+G559</f>
        <v>43697.600000000006</v>
      </c>
      <c r="H557" s="73"/>
      <c r="I557" s="73"/>
      <c r="J557" s="242"/>
      <c r="K557" s="242"/>
      <c r="L557" s="242"/>
      <c r="M557" s="319">
        <f>SUM(M558)+M559</f>
        <v>45454.6</v>
      </c>
      <c r="N557" s="221">
        <f t="shared" si="18"/>
        <v>45454.6</v>
      </c>
    </row>
    <row r="558" spans="1:14" s="22" customFormat="1" ht="14.25">
      <c r="A558" s="233" t="s">
        <v>463</v>
      </c>
      <c r="B558" s="307"/>
      <c r="C558" s="308" t="s">
        <v>5</v>
      </c>
      <c r="D558" s="308" t="s">
        <v>98</v>
      </c>
      <c r="E558" s="308" t="s">
        <v>625</v>
      </c>
      <c r="F558" s="309" t="s">
        <v>112</v>
      </c>
      <c r="G558" s="322">
        <v>645.8</v>
      </c>
      <c r="H558" s="73"/>
      <c r="I558" s="73"/>
      <c r="J558" s="242">
        <f>SUM('ведомствен.2016-2014'!G450)</f>
        <v>645.8</v>
      </c>
      <c r="K558" s="242">
        <f>SUM('ведомствен.2016-2014'!H450)</f>
        <v>671.7</v>
      </c>
      <c r="L558" s="242"/>
      <c r="M558" s="319">
        <v>671.7</v>
      </c>
      <c r="N558" s="221">
        <f t="shared" si="18"/>
        <v>0</v>
      </c>
    </row>
    <row r="559" spans="1:14" s="22" customFormat="1" ht="14.25">
      <c r="A559" s="233" t="s">
        <v>471</v>
      </c>
      <c r="B559" s="307"/>
      <c r="C559" s="308" t="s">
        <v>5</v>
      </c>
      <c r="D559" s="308" t="s">
        <v>98</v>
      </c>
      <c r="E559" s="308" t="s">
        <v>625</v>
      </c>
      <c r="F559" s="309" t="s">
        <v>472</v>
      </c>
      <c r="G559" s="322">
        <v>43051.8</v>
      </c>
      <c r="H559" s="73"/>
      <c r="I559" s="73"/>
      <c r="J559" s="242">
        <f>SUM('ведомствен.2016-2014'!G451)</f>
        <v>43051.8</v>
      </c>
      <c r="K559" s="242">
        <f>SUM('ведомствен.2016-2014'!H451)</f>
        <v>44782.9</v>
      </c>
      <c r="L559" s="242"/>
      <c r="M559" s="319">
        <v>44782.9</v>
      </c>
      <c r="N559" s="221">
        <f t="shared" si="18"/>
        <v>0</v>
      </c>
    </row>
    <row r="560" spans="1:14" s="22" customFormat="1" ht="42.75">
      <c r="A560" s="233" t="s">
        <v>446</v>
      </c>
      <c r="B560" s="307"/>
      <c r="C560" s="308" t="s">
        <v>5</v>
      </c>
      <c r="D560" s="308" t="s">
        <v>98</v>
      </c>
      <c r="E560" s="308" t="s">
        <v>626</v>
      </c>
      <c r="F560" s="309"/>
      <c r="G560" s="322">
        <f>SUM(G562)+G561</f>
        <v>5357.2</v>
      </c>
      <c r="H560" s="73"/>
      <c r="I560" s="73"/>
      <c r="J560" s="242"/>
      <c r="K560" s="242"/>
      <c r="L560" s="242"/>
      <c r="M560" s="319">
        <f>SUM(M562)+M561</f>
        <v>5357.2</v>
      </c>
      <c r="N560" s="221">
        <f t="shared" si="18"/>
        <v>5357.2</v>
      </c>
    </row>
    <row r="561" spans="1:14" s="22" customFormat="1" ht="14.25">
      <c r="A561" s="233" t="s">
        <v>463</v>
      </c>
      <c r="B561" s="307"/>
      <c r="C561" s="308" t="s">
        <v>5</v>
      </c>
      <c r="D561" s="308" t="s">
        <v>98</v>
      </c>
      <c r="E561" s="308" t="s">
        <v>626</v>
      </c>
      <c r="F561" s="309" t="s">
        <v>112</v>
      </c>
      <c r="G561" s="322">
        <v>79.2</v>
      </c>
      <c r="H561" s="73"/>
      <c r="I561" s="73"/>
      <c r="J561" s="242">
        <f>SUM('ведомствен.2016-2014'!G453)</f>
        <v>79.2</v>
      </c>
      <c r="K561" s="242">
        <f>SUM('ведомствен.2016-2014'!H453)</f>
        <v>79.2</v>
      </c>
      <c r="L561" s="242"/>
      <c r="M561" s="319">
        <v>79.2</v>
      </c>
      <c r="N561" s="221">
        <f t="shared" si="18"/>
        <v>0</v>
      </c>
    </row>
    <row r="562" spans="1:14" s="22" customFormat="1" ht="14.25">
      <c r="A562" s="233" t="s">
        <v>471</v>
      </c>
      <c r="B562" s="307"/>
      <c r="C562" s="308" t="s">
        <v>5</v>
      </c>
      <c r="D562" s="308" t="s">
        <v>98</v>
      </c>
      <c r="E562" s="308" t="s">
        <v>626</v>
      </c>
      <c r="F562" s="309" t="s">
        <v>472</v>
      </c>
      <c r="G562" s="322">
        <v>5278</v>
      </c>
      <c r="H562" s="73"/>
      <c r="I562" s="73"/>
      <c r="J562" s="242">
        <f>SUM('ведомствен.2016-2014'!G454)</f>
        <v>5278</v>
      </c>
      <c r="K562" s="242">
        <f>SUM('ведомствен.2016-2014'!H454)</f>
        <v>5278</v>
      </c>
      <c r="L562" s="242"/>
      <c r="M562" s="319">
        <v>5278</v>
      </c>
      <c r="N562" s="221">
        <f t="shared" si="18"/>
        <v>0</v>
      </c>
    </row>
    <row r="563" spans="1:14" s="22" customFormat="1" ht="42.75">
      <c r="A563" s="233" t="s">
        <v>448</v>
      </c>
      <c r="B563" s="307"/>
      <c r="C563" s="308" t="s">
        <v>5</v>
      </c>
      <c r="D563" s="308" t="s">
        <v>98</v>
      </c>
      <c r="E563" s="308" t="s">
        <v>627</v>
      </c>
      <c r="F563" s="309"/>
      <c r="G563" s="322">
        <f>SUM(G565)+G564</f>
        <v>4933.299999999999</v>
      </c>
      <c r="H563" s="73"/>
      <c r="I563" s="73"/>
      <c r="J563" s="242"/>
      <c r="K563" s="242"/>
      <c r="L563" s="242"/>
      <c r="M563" s="319">
        <f>SUM(M565)+M564</f>
        <v>4799</v>
      </c>
      <c r="N563" s="221">
        <f t="shared" si="18"/>
        <v>4799</v>
      </c>
    </row>
    <row r="564" spans="1:14" s="22" customFormat="1" ht="14.25">
      <c r="A564" s="233" t="s">
        <v>463</v>
      </c>
      <c r="B564" s="307"/>
      <c r="C564" s="308" t="s">
        <v>5</v>
      </c>
      <c r="D564" s="308" t="s">
        <v>98</v>
      </c>
      <c r="E564" s="308" t="s">
        <v>627</v>
      </c>
      <c r="F564" s="309" t="s">
        <v>112</v>
      </c>
      <c r="G564" s="322">
        <v>72.9</v>
      </c>
      <c r="H564" s="73"/>
      <c r="I564" s="73"/>
      <c r="J564" s="242">
        <f>SUM('ведомствен.2016-2014'!G456)</f>
        <v>72.9</v>
      </c>
      <c r="K564" s="242">
        <f>SUM('ведомствен.2016-2014'!H456)</f>
        <v>70.9</v>
      </c>
      <c r="L564" s="242"/>
      <c r="M564" s="319">
        <v>70.9</v>
      </c>
      <c r="N564" s="221">
        <f t="shared" si="18"/>
        <v>0</v>
      </c>
    </row>
    <row r="565" spans="1:14" s="22" customFormat="1" ht="14.25">
      <c r="A565" s="233" t="s">
        <v>471</v>
      </c>
      <c r="B565" s="307"/>
      <c r="C565" s="308" t="s">
        <v>5</v>
      </c>
      <c r="D565" s="308" t="s">
        <v>98</v>
      </c>
      <c r="E565" s="308" t="s">
        <v>627</v>
      </c>
      <c r="F565" s="309" t="s">
        <v>472</v>
      </c>
      <c r="G565" s="322">
        <v>4860.4</v>
      </c>
      <c r="H565" s="73"/>
      <c r="I565" s="73"/>
      <c r="J565" s="242">
        <f>SUM('ведомствен.2016-2014'!G457)</f>
        <v>4860.4</v>
      </c>
      <c r="K565" s="242">
        <f>SUM('ведомствен.2016-2014'!H457)</f>
        <v>4728.1</v>
      </c>
      <c r="L565" s="242"/>
      <c r="M565" s="319">
        <v>4728.1</v>
      </c>
      <c r="N565" s="221">
        <f t="shared" si="18"/>
        <v>0</v>
      </c>
    </row>
    <row r="566" spans="1:14" s="22" customFormat="1" ht="128.25">
      <c r="A566" s="231" t="s">
        <v>628</v>
      </c>
      <c r="B566" s="307"/>
      <c r="C566" s="308" t="s">
        <v>5</v>
      </c>
      <c r="D566" s="308" t="s">
        <v>98</v>
      </c>
      <c r="E566" s="308" t="s">
        <v>629</v>
      </c>
      <c r="F566" s="309"/>
      <c r="G566" s="322">
        <f>G567</f>
        <v>86613.7</v>
      </c>
      <c r="H566" s="73"/>
      <c r="I566" s="73"/>
      <c r="J566" s="242"/>
      <c r="K566" s="242"/>
      <c r="L566" s="242"/>
      <c r="M566" s="319">
        <f>M567</f>
        <v>89754</v>
      </c>
      <c r="N566" s="221">
        <f t="shared" si="18"/>
        <v>89754</v>
      </c>
    </row>
    <row r="567" spans="1:14" s="22" customFormat="1" ht="15">
      <c r="A567" s="233" t="s">
        <v>471</v>
      </c>
      <c r="B567" s="307"/>
      <c r="C567" s="308" t="s">
        <v>5</v>
      </c>
      <c r="D567" s="308" t="s">
        <v>98</v>
      </c>
      <c r="E567" s="308" t="s">
        <v>629</v>
      </c>
      <c r="F567" s="309" t="s">
        <v>472</v>
      </c>
      <c r="G567" s="322">
        <v>86613.7</v>
      </c>
      <c r="H567" s="73"/>
      <c r="I567" s="73"/>
      <c r="J567" s="244">
        <f>SUM('ведомствен.2016-2014'!G459)</f>
        <v>86613.7</v>
      </c>
      <c r="K567" s="244">
        <f>SUM('ведомствен.2016-2014'!H459)</f>
        <v>89754</v>
      </c>
      <c r="L567" s="242"/>
      <c r="M567" s="319">
        <v>89754</v>
      </c>
      <c r="N567" s="221">
        <f t="shared" si="18"/>
        <v>0</v>
      </c>
    </row>
    <row r="568" spans="1:14" s="22" customFormat="1" ht="15" hidden="1">
      <c r="A568" s="231" t="s">
        <v>563</v>
      </c>
      <c r="B568" s="297"/>
      <c r="C568" s="298" t="s">
        <v>5</v>
      </c>
      <c r="D568" s="299" t="s">
        <v>98</v>
      </c>
      <c r="E568" s="299" t="s">
        <v>122</v>
      </c>
      <c r="F568" s="300"/>
      <c r="G568" s="80">
        <f>G569</f>
        <v>0</v>
      </c>
      <c r="H568" s="73"/>
      <c r="I568" s="73"/>
      <c r="J568" s="244"/>
      <c r="K568" s="244"/>
      <c r="L568" s="242"/>
      <c r="M568" s="80">
        <f>M569</f>
        <v>0</v>
      </c>
      <c r="N568" s="221">
        <f t="shared" si="18"/>
        <v>0</v>
      </c>
    </row>
    <row r="569" spans="1:14" s="22" customFormat="1" ht="42.75" hidden="1">
      <c r="A569" s="231" t="s">
        <v>564</v>
      </c>
      <c r="B569" s="297"/>
      <c r="C569" s="298" t="s">
        <v>5</v>
      </c>
      <c r="D569" s="299" t="s">
        <v>98</v>
      </c>
      <c r="E569" s="299" t="s">
        <v>565</v>
      </c>
      <c r="F569" s="300"/>
      <c r="G569" s="80">
        <f>G570</f>
        <v>0</v>
      </c>
      <c r="H569" s="73"/>
      <c r="I569" s="73"/>
      <c r="J569" s="244"/>
      <c r="K569" s="244"/>
      <c r="L569" s="242"/>
      <c r="M569" s="80">
        <f>M570</f>
        <v>0</v>
      </c>
      <c r="N569" s="221">
        <f t="shared" si="18"/>
        <v>0</v>
      </c>
    </row>
    <row r="570" spans="1:14" s="22" customFormat="1" ht="15" hidden="1">
      <c r="A570" s="231" t="s">
        <v>471</v>
      </c>
      <c r="B570" s="297"/>
      <c r="C570" s="298" t="s">
        <v>5</v>
      </c>
      <c r="D570" s="299" t="s">
        <v>98</v>
      </c>
      <c r="E570" s="299" t="s">
        <v>565</v>
      </c>
      <c r="F570" s="300" t="s">
        <v>472</v>
      </c>
      <c r="G570" s="80"/>
      <c r="H570" s="73"/>
      <c r="I570" s="73"/>
      <c r="J570" s="244">
        <f>SUM('ведомствен.2016-2014'!G462)</f>
        <v>0</v>
      </c>
      <c r="K570" s="244">
        <f>SUM('ведомствен.2016-2014'!H462)</f>
        <v>0</v>
      </c>
      <c r="L570" s="242">
        <f>SUM(G570-J570)</f>
        <v>0</v>
      </c>
      <c r="M570" s="80"/>
      <c r="N570" s="221">
        <f t="shared" si="18"/>
        <v>0</v>
      </c>
    </row>
    <row r="571" spans="1:14" s="22" customFormat="1" ht="15">
      <c r="A571" s="235" t="s">
        <v>152</v>
      </c>
      <c r="B571" s="297"/>
      <c r="C571" s="298" t="s">
        <v>5</v>
      </c>
      <c r="D571" s="299" t="s">
        <v>114</v>
      </c>
      <c r="E571" s="299"/>
      <c r="F571" s="300"/>
      <c r="G571" s="80">
        <f>SUM(G578)+G572+G575</f>
        <v>132151</v>
      </c>
      <c r="H571" s="73"/>
      <c r="I571" s="73"/>
      <c r="J571" s="244"/>
      <c r="K571" s="244"/>
      <c r="L571" s="242"/>
      <c r="M571" s="80">
        <f>SUM(M578)+M572+M575</f>
        <v>135137.2</v>
      </c>
      <c r="N571" s="221">
        <f t="shared" si="18"/>
        <v>135137.2</v>
      </c>
    </row>
    <row r="572" spans="1:14" s="22" customFormat="1" ht="28.5">
      <c r="A572" s="272" t="s">
        <v>643</v>
      </c>
      <c r="B572" s="228"/>
      <c r="C572" s="97" t="s">
        <v>5</v>
      </c>
      <c r="D572" s="97" t="s">
        <v>114</v>
      </c>
      <c r="E572" s="276" t="s">
        <v>644</v>
      </c>
      <c r="F572" s="187"/>
      <c r="G572" s="246">
        <f>SUM(G573)</f>
        <v>9782.2</v>
      </c>
      <c r="H572" s="73"/>
      <c r="I572" s="73"/>
      <c r="J572" s="244"/>
      <c r="K572" s="244"/>
      <c r="L572" s="242"/>
      <c r="M572" s="217">
        <f>SUM(M573)</f>
        <v>9782.2</v>
      </c>
      <c r="N572" s="221">
        <f t="shared" si="18"/>
        <v>9782.2</v>
      </c>
    </row>
    <row r="573" spans="1:14" s="22" customFormat="1" ht="114">
      <c r="A573" s="272" t="s">
        <v>645</v>
      </c>
      <c r="B573" s="228"/>
      <c r="C573" s="97" t="s">
        <v>5</v>
      </c>
      <c r="D573" s="97" t="s">
        <v>114</v>
      </c>
      <c r="E573" s="276" t="s">
        <v>646</v>
      </c>
      <c r="F573" s="282"/>
      <c r="G573" s="246">
        <f>G574</f>
        <v>9782.2</v>
      </c>
      <c r="H573" s="73"/>
      <c r="I573" s="73"/>
      <c r="J573" s="244"/>
      <c r="K573" s="244"/>
      <c r="L573" s="242"/>
      <c r="M573" s="217">
        <f>M574</f>
        <v>9782.2</v>
      </c>
      <c r="N573" s="221">
        <f t="shared" si="18"/>
        <v>9782.2</v>
      </c>
    </row>
    <row r="574" spans="1:14" s="22" customFormat="1" ht="42.75">
      <c r="A574" s="272" t="s">
        <v>657</v>
      </c>
      <c r="B574" s="228"/>
      <c r="C574" s="97" t="s">
        <v>5</v>
      </c>
      <c r="D574" s="97" t="s">
        <v>114</v>
      </c>
      <c r="E574" s="276" t="s">
        <v>658</v>
      </c>
      <c r="F574" s="187" t="s">
        <v>472</v>
      </c>
      <c r="G574" s="246">
        <v>9782.2</v>
      </c>
      <c r="H574" s="73"/>
      <c r="I574" s="73"/>
      <c r="J574" s="244">
        <f>SUM('ведомствен.2016-2014'!G636)</f>
        <v>9782.2</v>
      </c>
      <c r="K574" s="244">
        <f>SUM('ведомствен.2016-2014'!H636)</f>
        <v>9782.2</v>
      </c>
      <c r="L574" s="242"/>
      <c r="M574" s="217">
        <v>9782.2</v>
      </c>
      <c r="N574" s="221">
        <f t="shared" si="18"/>
        <v>0</v>
      </c>
    </row>
    <row r="575" spans="1:14" s="22" customFormat="1" ht="42.75">
      <c r="A575" s="272" t="s">
        <v>636</v>
      </c>
      <c r="B575" s="228"/>
      <c r="C575" s="97" t="s">
        <v>5</v>
      </c>
      <c r="D575" s="97" t="s">
        <v>114</v>
      </c>
      <c r="E575" s="274" t="s">
        <v>637</v>
      </c>
      <c r="F575" s="187"/>
      <c r="G575" s="246">
        <f>SUM(G576)</f>
        <v>27063.5</v>
      </c>
      <c r="H575" s="73"/>
      <c r="I575" s="73"/>
      <c r="J575" s="244"/>
      <c r="K575" s="244"/>
      <c r="L575" s="242"/>
      <c r="M575" s="217">
        <f>SUM(M576)</f>
        <v>27063.5</v>
      </c>
      <c r="N575" s="221">
        <f t="shared" si="18"/>
        <v>27063.5</v>
      </c>
    </row>
    <row r="576" spans="1:14" s="22" customFormat="1" ht="128.25">
      <c r="A576" s="272" t="s">
        <v>659</v>
      </c>
      <c r="B576" s="228"/>
      <c r="C576" s="97" t="s">
        <v>5</v>
      </c>
      <c r="D576" s="97" t="s">
        <v>114</v>
      </c>
      <c r="E576" s="274" t="s">
        <v>660</v>
      </c>
      <c r="F576" s="187"/>
      <c r="G576" s="246">
        <f>SUM(G577)</f>
        <v>27063.5</v>
      </c>
      <c r="H576" s="73"/>
      <c r="I576" s="73"/>
      <c r="J576" s="244"/>
      <c r="K576" s="244"/>
      <c r="L576" s="242"/>
      <c r="M576" s="217">
        <f>SUM(M577)</f>
        <v>27063.5</v>
      </c>
      <c r="N576" s="221">
        <f t="shared" si="18"/>
        <v>27063.5</v>
      </c>
    </row>
    <row r="577" spans="1:14" s="22" customFormat="1" ht="71.25">
      <c r="A577" s="272" t="s">
        <v>661</v>
      </c>
      <c r="B577" s="228"/>
      <c r="C577" s="97" t="s">
        <v>5</v>
      </c>
      <c r="D577" s="97" t="s">
        <v>114</v>
      </c>
      <c r="E577" s="276" t="s">
        <v>662</v>
      </c>
      <c r="F577" s="187" t="s">
        <v>472</v>
      </c>
      <c r="G577" s="246">
        <v>27063.5</v>
      </c>
      <c r="H577" s="73"/>
      <c r="I577" s="73"/>
      <c r="J577" s="244">
        <f>SUM('ведомствен.2016-2014'!G639)</f>
        <v>27063.5</v>
      </c>
      <c r="K577" s="244">
        <f>SUM('ведомствен.2016-2014'!H639)</f>
        <v>27063.5</v>
      </c>
      <c r="L577" s="242"/>
      <c r="M577" s="217">
        <v>27063.5</v>
      </c>
      <c r="N577" s="221">
        <f t="shared" si="18"/>
        <v>0</v>
      </c>
    </row>
    <row r="578" spans="1:14" ht="28.5">
      <c r="A578" s="232" t="s">
        <v>601</v>
      </c>
      <c r="B578" s="224"/>
      <c r="C578" s="292" t="s">
        <v>5</v>
      </c>
      <c r="D578" s="292" t="s">
        <v>114</v>
      </c>
      <c r="E578" s="46" t="s">
        <v>602</v>
      </c>
      <c r="F578" s="237"/>
      <c r="G578" s="315">
        <f>SUM(G589)+G579</f>
        <v>95305.3</v>
      </c>
      <c r="H578" s="73"/>
      <c r="I578" s="73"/>
      <c r="J578" s="242"/>
      <c r="K578" s="242"/>
      <c r="L578" s="242"/>
      <c r="M578" s="316">
        <f>SUM(M589)+M579</f>
        <v>98291.5</v>
      </c>
      <c r="N578" s="221">
        <f t="shared" si="18"/>
        <v>98291.5</v>
      </c>
    </row>
    <row r="579" spans="1:14" ht="99.75">
      <c r="A579" s="233" t="s">
        <v>622</v>
      </c>
      <c r="B579" s="307"/>
      <c r="C579" s="311" t="s">
        <v>5</v>
      </c>
      <c r="D579" s="311" t="s">
        <v>114</v>
      </c>
      <c r="E579" s="311" t="s">
        <v>623</v>
      </c>
      <c r="F579" s="312"/>
      <c r="G579" s="323">
        <f>G580+G583+G586</f>
        <v>31075.7</v>
      </c>
      <c r="H579" s="73"/>
      <c r="I579" s="73"/>
      <c r="J579" s="242"/>
      <c r="K579" s="242"/>
      <c r="L579" s="242"/>
      <c r="M579" s="320">
        <f>M580+M583+M586</f>
        <v>31186</v>
      </c>
      <c r="N579" s="221">
        <f t="shared" si="18"/>
        <v>31186</v>
      </c>
    </row>
    <row r="580" spans="1:14" ht="21.75" customHeight="1">
      <c r="A580" s="233" t="s">
        <v>153</v>
      </c>
      <c r="B580" s="307"/>
      <c r="C580" s="311" t="s">
        <v>5</v>
      </c>
      <c r="D580" s="311" t="s">
        <v>114</v>
      </c>
      <c r="E580" s="311" t="s">
        <v>630</v>
      </c>
      <c r="F580" s="312"/>
      <c r="G580" s="324">
        <f>G581+G582</f>
        <v>5808.2</v>
      </c>
      <c r="H580" s="73"/>
      <c r="I580" s="73"/>
      <c r="J580" s="244"/>
      <c r="K580" s="244"/>
      <c r="L580" s="242"/>
      <c r="M580" s="321">
        <f>M581+M582</f>
        <v>5828.9</v>
      </c>
      <c r="N580" s="221">
        <f t="shared" si="18"/>
        <v>5828.9</v>
      </c>
    </row>
    <row r="581" spans="1:14" ht="22.5" customHeight="1">
      <c r="A581" s="233" t="s">
        <v>463</v>
      </c>
      <c r="B581" s="307"/>
      <c r="C581" s="311" t="s">
        <v>5</v>
      </c>
      <c r="D581" s="311" t="s">
        <v>114</v>
      </c>
      <c r="E581" s="311" t="s">
        <v>630</v>
      </c>
      <c r="F581" s="312" t="s">
        <v>112</v>
      </c>
      <c r="G581" s="324">
        <v>86.2</v>
      </c>
      <c r="H581" s="73"/>
      <c r="I581" s="73"/>
      <c r="J581" s="244">
        <f>SUM('ведомствен.2016-2014'!G467)</f>
        <v>86.2</v>
      </c>
      <c r="K581" s="244">
        <f>SUM('ведомствен.2016-2014'!H467)</f>
        <v>86.5</v>
      </c>
      <c r="L581" s="242"/>
      <c r="M581" s="321">
        <v>86.5</v>
      </c>
      <c r="N581" s="221">
        <f t="shared" si="18"/>
        <v>0</v>
      </c>
    </row>
    <row r="582" spans="1:14" ht="17.25" customHeight="1">
      <c r="A582" s="233" t="s">
        <v>471</v>
      </c>
      <c r="B582" s="307"/>
      <c r="C582" s="311" t="s">
        <v>5</v>
      </c>
      <c r="D582" s="311" t="s">
        <v>114</v>
      </c>
      <c r="E582" s="311" t="s">
        <v>630</v>
      </c>
      <c r="F582" s="312" t="s">
        <v>472</v>
      </c>
      <c r="G582" s="324">
        <v>5722</v>
      </c>
      <c r="H582" s="73"/>
      <c r="I582" s="73"/>
      <c r="J582" s="244">
        <f>SUM('ведомствен.2016-2014'!G468)</f>
        <v>5722</v>
      </c>
      <c r="K582" s="244">
        <f>SUM('ведомствен.2016-2014'!H468)</f>
        <v>5742.4</v>
      </c>
      <c r="L582" s="242"/>
      <c r="M582" s="321">
        <v>5742.4</v>
      </c>
      <c r="N582" s="221">
        <f t="shared" si="18"/>
        <v>0</v>
      </c>
    </row>
    <row r="583" spans="1:14" ht="18" customHeight="1">
      <c r="A583" s="233" t="s">
        <v>449</v>
      </c>
      <c r="B583" s="307"/>
      <c r="C583" s="311" t="s">
        <v>5</v>
      </c>
      <c r="D583" s="311" t="s">
        <v>114</v>
      </c>
      <c r="E583" s="311" t="s">
        <v>631</v>
      </c>
      <c r="F583" s="312"/>
      <c r="G583" s="324">
        <f>G584+G585</f>
        <v>4808.3</v>
      </c>
      <c r="H583" s="73"/>
      <c r="I583" s="73"/>
      <c r="J583" s="242"/>
      <c r="K583" s="242"/>
      <c r="L583" s="242"/>
      <c r="M583" s="321">
        <f>M584+M585</f>
        <v>4825.299999999999</v>
      </c>
      <c r="N583" s="221">
        <f t="shared" si="18"/>
        <v>4825.299999999999</v>
      </c>
    </row>
    <row r="584" spans="1:14" ht="19.5" customHeight="1">
      <c r="A584" s="233" t="s">
        <v>463</v>
      </c>
      <c r="B584" s="307"/>
      <c r="C584" s="311" t="s">
        <v>5</v>
      </c>
      <c r="D584" s="311" t="s">
        <v>114</v>
      </c>
      <c r="E584" s="311" t="s">
        <v>631</v>
      </c>
      <c r="F584" s="312" t="s">
        <v>112</v>
      </c>
      <c r="G584" s="324">
        <v>50.2</v>
      </c>
      <c r="H584" s="73"/>
      <c r="I584" s="73"/>
      <c r="J584" s="244">
        <f>SUM('ведомствен.2016-2014'!G470)</f>
        <v>50.2</v>
      </c>
      <c r="K584" s="244">
        <f>SUM('ведомствен.2016-2014'!H470)</f>
        <v>50.4</v>
      </c>
      <c r="L584" s="242"/>
      <c r="M584" s="321">
        <v>50.4</v>
      </c>
      <c r="N584" s="221">
        <f t="shared" si="18"/>
        <v>0</v>
      </c>
    </row>
    <row r="585" spans="1:14" ht="17.25" customHeight="1">
      <c r="A585" s="233" t="s">
        <v>471</v>
      </c>
      <c r="B585" s="307"/>
      <c r="C585" s="311" t="s">
        <v>5</v>
      </c>
      <c r="D585" s="311" t="s">
        <v>114</v>
      </c>
      <c r="E585" s="311" t="s">
        <v>631</v>
      </c>
      <c r="F585" s="312" t="s">
        <v>472</v>
      </c>
      <c r="G585" s="323">
        <v>4758.1</v>
      </c>
      <c r="H585" s="73"/>
      <c r="I585" s="73"/>
      <c r="J585" s="244">
        <f>SUM('ведомствен.2016-2014'!G471)</f>
        <v>4758.1</v>
      </c>
      <c r="K585" s="244">
        <f>SUM('ведомствен.2016-2014'!H471)</f>
        <v>4774.9</v>
      </c>
      <c r="L585" s="242"/>
      <c r="M585" s="320">
        <v>4774.9</v>
      </c>
      <c r="N585" s="221">
        <f t="shared" si="18"/>
        <v>0</v>
      </c>
    </row>
    <row r="586" spans="1:14" ht="19.5" customHeight="1">
      <c r="A586" s="233" t="s">
        <v>450</v>
      </c>
      <c r="B586" s="307"/>
      <c r="C586" s="311" t="s">
        <v>5</v>
      </c>
      <c r="D586" s="311" t="s">
        <v>114</v>
      </c>
      <c r="E586" s="311" t="s">
        <v>632</v>
      </c>
      <c r="F586" s="312"/>
      <c r="G586" s="324">
        <f>SUM(G588)+G587</f>
        <v>20459.2</v>
      </c>
      <c r="H586" s="73"/>
      <c r="I586" s="73"/>
      <c r="J586" s="242"/>
      <c r="K586" s="242"/>
      <c r="L586" s="242"/>
      <c r="M586" s="321">
        <f>SUM(M588)+M587</f>
        <v>20531.8</v>
      </c>
      <c r="N586" s="221">
        <f t="shared" si="18"/>
        <v>20531.8</v>
      </c>
    </row>
    <row r="587" spans="1:14" ht="16.5" customHeight="1">
      <c r="A587" s="233" t="s">
        <v>463</v>
      </c>
      <c r="B587" s="307"/>
      <c r="C587" s="311" t="s">
        <v>5</v>
      </c>
      <c r="D587" s="311" t="s">
        <v>114</v>
      </c>
      <c r="E587" s="311" t="s">
        <v>632</v>
      </c>
      <c r="F587" s="312" t="s">
        <v>112</v>
      </c>
      <c r="G587" s="324">
        <v>317.5</v>
      </c>
      <c r="H587" s="73"/>
      <c r="I587" s="73"/>
      <c r="J587" s="244">
        <f>SUM('ведомствен.2016-2014'!G473)</f>
        <v>317.5</v>
      </c>
      <c r="K587" s="244">
        <f>SUM('ведомствен.2016-2014'!H473)</f>
        <v>318.6</v>
      </c>
      <c r="L587" s="242"/>
      <c r="M587" s="321">
        <v>318.6</v>
      </c>
      <c r="N587" s="221">
        <f t="shared" si="18"/>
        <v>0</v>
      </c>
    </row>
    <row r="588" spans="1:14" ht="18.75" customHeight="1">
      <c r="A588" s="233" t="s">
        <v>471</v>
      </c>
      <c r="B588" s="307"/>
      <c r="C588" s="311" t="s">
        <v>5</v>
      </c>
      <c r="D588" s="311" t="s">
        <v>114</v>
      </c>
      <c r="E588" s="311" t="s">
        <v>632</v>
      </c>
      <c r="F588" s="312" t="s">
        <v>472</v>
      </c>
      <c r="G588" s="324">
        <v>20141.7</v>
      </c>
      <c r="H588" s="73"/>
      <c r="I588" s="73"/>
      <c r="J588" s="244">
        <f>SUM('ведомствен.2016-2014'!G474)</f>
        <v>20141.7</v>
      </c>
      <c r="K588" s="244">
        <f>SUM('ведомствен.2016-2014'!H474)</f>
        <v>20213.2</v>
      </c>
      <c r="L588" s="242"/>
      <c r="M588" s="321">
        <v>20213.2</v>
      </c>
      <c r="N588" s="221">
        <f t="shared" si="18"/>
        <v>0</v>
      </c>
    </row>
    <row r="589" spans="1:14" ht="57">
      <c r="A589" s="229" t="s">
        <v>663</v>
      </c>
      <c r="B589" s="295"/>
      <c r="C589" s="292" t="s">
        <v>5</v>
      </c>
      <c r="D589" s="292" t="s">
        <v>114</v>
      </c>
      <c r="E589" s="46" t="s">
        <v>605</v>
      </c>
      <c r="F589" s="293"/>
      <c r="G589" s="315">
        <f>SUM(G590)</f>
        <v>64229.6</v>
      </c>
      <c r="H589" s="73"/>
      <c r="I589" s="73"/>
      <c r="J589" s="242"/>
      <c r="K589" s="242"/>
      <c r="L589" s="242"/>
      <c r="M589" s="316">
        <f>SUM(M590)</f>
        <v>67105.5</v>
      </c>
      <c r="N589" s="221">
        <f t="shared" si="18"/>
        <v>67105.5</v>
      </c>
    </row>
    <row r="590" spans="1:14" ht="28.5">
      <c r="A590" s="229" t="s">
        <v>539</v>
      </c>
      <c r="B590" s="295"/>
      <c r="C590" s="292" t="s">
        <v>5</v>
      </c>
      <c r="D590" s="292" t="s">
        <v>114</v>
      </c>
      <c r="E590" s="46" t="s">
        <v>605</v>
      </c>
      <c r="F590" s="293" t="s">
        <v>534</v>
      </c>
      <c r="G590" s="315">
        <v>64229.6</v>
      </c>
      <c r="H590" s="73"/>
      <c r="I590" s="73"/>
      <c r="J590" s="242">
        <f>SUM('ведомствен.2016-2014'!G278)</f>
        <v>64229.6</v>
      </c>
      <c r="K590" s="242">
        <f>SUM('ведомствен.2016-2014'!H278)</f>
        <v>67105.5</v>
      </c>
      <c r="L590" s="242"/>
      <c r="M590" s="316">
        <v>67105.5</v>
      </c>
      <c r="N590" s="221">
        <f t="shared" si="18"/>
        <v>0</v>
      </c>
    </row>
    <row r="591" spans="1:14" s="22" customFormat="1" ht="15">
      <c r="A591" s="231" t="s">
        <v>154</v>
      </c>
      <c r="B591" s="297"/>
      <c r="C591" s="298" t="s">
        <v>5</v>
      </c>
      <c r="D591" s="299" t="s">
        <v>360</v>
      </c>
      <c r="E591" s="299"/>
      <c r="F591" s="300"/>
      <c r="G591" s="80">
        <f>G592+G601+G616+G614+G609</f>
        <v>29435.799999999996</v>
      </c>
      <c r="H591" s="73">
        <v>454</v>
      </c>
      <c r="I591" s="73">
        <f aca="true" t="shared" si="19" ref="I591:I659">SUM(H591/G591*100)</f>
        <v>1.5423396000788159</v>
      </c>
      <c r="J591" s="244"/>
      <c r="K591" s="244"/>
      <c r="L591" s="242"/>
      <c r="M591" s="80">
        <f>M592+M601+M616+M614+M609</f>
        <v>29360.799999999996</v>
      </c>
      <c r="N591" s="221">
        <f t="shared" si="18"/>
        <v>29360.799999999996</v>
      </c>
    </row>
    <row r="592" spans="1:14" ht="42.75">
      <c r="A592" s="231" t="s">
        <v>91</v>
      </c>
      <c r="B592" s="297"/>
      <c r="C592" s="298" t="s">
        <v>5</v>
      </c>
      <c r="D592" s="299" t="s">
        <v>360</v>
      </c>
      <c r="E592" s="299" t="s">
        <v>92</v>
      </c>
      <c r="F592" s="300"/>
      <c r="G592" s="80">
        <f>G593+G596+G599</f>
        <v>20981.1</v>
      </c>
      <c r="H592" s="73"/>
      <c r="I592" s="73">
        <f t="shared" si="19"/>
        <v>0</v>
      </c>
      <c r="J592" s="242"/>
      <c r="K592" s="242"/>
      <c r="L592" s="242"/>
      <c r="M592" s="80">
        <f>M593+M596+M599</f>
        <v>20981.1</v>
      </c>
      <c r="N592" s="221">
        <f t="shared" si="18"/>
        <v>20981.1</v>
      </c>
    </row>
    <row r="593" spans="1:14" ht="14.25">
      <c r="A593" s="231" t="s">
        <v>99</v>
      </c>
      <c r="B593" s="297"/>
      <c r="C593" s="298" t="s">
        <v>5</v>
      </c>
      <c r="D593" s="299" t="s">
        <v>360</v>
      </c>
      <c r="E593" s="299" t="s">
        <v>101</v>
      </c>
      <c r="F593" s="300"/>
      <c r="G593" s="80">
        <f>G594+G595</f>
        <v>2175</v>
      </c>
      <c r="H593" s="73">
        <f>SUM(H594)</f>
        <v>0</v>
      </c>
      <c r="I593" s="73">
        <f t="shared" si="19"/>
        <v>0</v>
      </c>
      <c r="J593" s="242"/>
      <c r="K593" s="242"/>
      <c r="L593" s="242"/>
      <c r="M593" s="80">
        <f>M594+M595</f>
        <v>2175</v>
      </c>
      <c r="N593" s="221">
        <f t="shared" si="18"/>
        <v>2175</v>
      </c>
    </row>
    <row r="594" spans="1:14" ht="42.75">
      <c r="A594" s="231" t="s">
        <v>566</v>
      </c>
      <c r="B594" s="297"/>
      <c r="C594" s="298" t="s">
        <v>5</v>
      </c>
      <c r="D594" s="299" t="s">
        <v>360</v>
      </c>
      <c r="E594" s="299" t="s">
        <v>101</v>
      </c>
      <c r="F594" s="300" t="s">
        <v>462</v>
      </c>
      <c r="G594" s="80">
        <v>2163</v>
      </c>
      <c r="H594" s="73"/>
      <c r="I594" s="73">
        <f t="shared" si="19"/>
        <v>0</v>
      </c>
      <c r="J594" s="242">
        <f>SUM('ведомствен.2016-2014'!G478)</f>
        <v>2163</v>
      </c>
      <c r="K594" s="242">
        <f>SUM('ведомствен.2016-2014'!H478)</f>
        <v>2163</v>
      </c>
      <c r="L594" s="242">
        <f aca="true" t="shared" si="20" ref="L594:L654">SUM(G594-J594)</f>
        <v>0</v>
      </c>
      <c r="M594" s="80">
        <v>2163</v>
      </c>
      <c r="N594" s="221">
        <f t="shared" si="18"/>
        <v>0</v>
      </c>
    </row>
    <row r="595" spans="1:14" ht="14.25">
      <c r="A595" s="231" t="s">
        <v>463</v>
      </c>
      <c r="B595" s="297"/>
      <c r="C595" s="298" t="s">
        <v>5</v>
      </c>
      <c r="D595" s="299" t="s">
        <v>360</v>
      </c>
      <c r="E595" s="299" t="s">
        <v>101</v>
      </c>
      <c r="F595" s="300" t="s">
        <v>112</v>
      </c>
      <c r="G595" s="80">
        <v>12</v>
      </c>
      <c r="H595" s="73">
        <f>SUM(H596)</f>
        <v>201795.7</v>
      </c>
      <c r="I595" s="73">
        <f t="shared" si="19"/>
        <v>1681630.8333333335</v>
      </c>
      <c r="J595" s="242">
        <f>SUM('ведомствен.2016-2014'!G479)</f>
        <v>12</v>
      </c>
      <c r="K595" s="242">
        <f>SUM('ведомствен.2016-2014'!H479)</f>
        <v>12</v>
      </c>
      <c r="L595" s="242">
        <f t="shared" si="20"/>
        <v>0</v>
      </c>
      <c r="M595" s="80">
        <v>12</v>
      </c>
      <c r="N595" s="221">
        <f t="shared" si="18"/>
        <v>0</v>
      </c>
    </row>
    <row r="596" spans="1:14" ht="42.75">
      <c r="A596" s="231" t="s">
        <v>567</v>
      </c>
      <c r="B596" s="297"/>
      <c r="C596" s="298" t="s">
        <v>5</v>
      </c>
      <c r="D596" s="299" t="s">
        <v>360</v>
      </c>
      <c r="E596" s="299" t="s">
        <v>157</v>
      </c>
      <c r="F596" s="300"/>
      <c r="G596" s="80">
        <f>G597+G598</f>
        <v>4233.2</v>
      </c>
      <c r="H596" s="73">
        <v>201795.7</v>
      </c>
      <c r="I596" s="73">
        <f t="shared" si="19"/>
        <v>4766.977700085043</v>
      </c>
      <c r="J596" s="244"/>
      <c r="K596" s="244"/>
      <c r="L596" s="242"/>
      <c r="M596" s="80">
        <f>M597+M598</f>
        <v>4233.2</v>
      </c>
      <c r="N596" s="221">
        <f t="shared" si="18"/>
        <v>4233.2</v>
      </c>
    </row>
    <row r="597" spans="1:14" ht="42.75">
      <c r="A597" s="231" t="s">
        <v>566</v>
      </c>
      <c r="B597" s="297"/>
      <c r="C597" s="298" t="s">
        <v>5</v>
      </c>
      <c r="D597" s="299" t="s">
        <v>360</v>
      </c>
      <c r="E597" s="299" t="s">
        <v>157</v>
      </c>
      <c r="F597" s="300" t="s">
        <v>462</v>
      </c>
      <c r="G597" s="80">
        <v>3602.4</v>
      </c>
      <c r="H597" s="73">
        <f>SUM(H616)</f>
        <v>113444</v>
      </c>
      <c r="I597" s="73">
        <f t="shared" si="19"/>
        <v>3149.122807017544</v>
      </c>
      <c r="J597" s="242">
        <f>SUM('ведомствен.2016-2014'!G481)</f>
        <v>3602.4</v>
      </c>
      <c r="K597" s="242">
        <f>SUM('ведомствен.2016-2014'!H481)</f>
        <v>3602.4</v>
      </c>
      <c r="L597" s="242">
        <f t="shared" si="20"/>
        <v>0</v>
      </c>
      <c r="M597" s="80">
        <v>3602.4</v>
      </c>
      <c r="N597" s="221">
        <f t="shared" si="18"/>
        <v>0</v>
      </c>
    </row>
    <row r="598" spans="1:14" ht="14.25">
      <c r="A598" s="231" t="s">
        <v>463</v>
      </c>
      <c r="B598" s="313"/>
      <c r="C598" s="298" t="s">
        <v>5</v>
      </c>
      <c r="D598" s="299" t="s">
        <v>360</v>
      </c>
      <c r="E598" s="299" t="s">
        <v>157</v>
      </c>
      <c r="F598" s="300" t="s">
        <v>112</v>
      </c>
      <c r="G598" s="80">
        <v>630.8</v>
      </c>
      <c r="H598" s="73" t="e">
        <f>SUM(#REF!+H645+H643)</f>
        <v>#REF!</v>
      </c>
      <c r="I598" s="73" t="e">
        <f t="shared" si="19"/>
        <v>#REF!</v>
      </c>
      <c r="J598" s="242">
        <f>SUM('ведомствен.2016-2014'!G482)</f>
        <v>630.8</v>
      </c>
      <c r="K598" s="242">
        <f>SUM('ведомствен.2016-2014'!H482)</f>
        <v>630.8</v>
      </c>
      <c r="L598" s="242">
        <f t="shared" si="20"/>
        <v>0</v>
      </c>
      <c r="M598" s="80">
        <v>630.8</v>
      </c>
      <c r="N598" s="221">
        <f aca="true" t="shared" si="21" ref="N598:N618">SUM(M598-K598)</f>
        <v>0</v>
      </c>
    </row>
    <row r="599" spans="1:14" ht="28.5">
      <c r="A599" s="231" t="s">
        <v>155</v>
      </c>
      <c r="B599" s="297"/>
      <c r="C599" s="298" t="s">
        <v>5</v>
      </c>
      <c r="D599" s="299" t="s">
        <v>360</v>
      </c>
      <c r="E599" s="299" t="s">
        <v>156</v>
      </c>
      <c r="F599" s="300"/>
      <c r="G599" s="80">
        <f>SUM(G600)</f>
        <v>14572.9</v>
      </c>
      <c r="H599" s="73"/>
      <c r="I599" s="73"/>
      <c r="J599" s="242"/>
      <c r="K599" s="242"/>
      <c r="L599" s="242"/>
      <c r="M599" s="80">
        <f>SUM(M600)</f>
        <v>14572.9</v>
      </c>
      <c r="N599" s="221">
        <f t="shared" si="21"/>
        <v>14572.9</v>
      </c>
    </row>
    <row r="600" spans="1:14" ht="42.75">
      <c r="A600" s="231" t="s">
        <v>566</v>
      </c>
      <c r="B600" s="297"/>
      <c r="C600" s="298" t="s">
        <v>5</v>
      </c>
      <c r="D600" s="299" t="s">
        <v>360</v>
      </c>
      <c r="E600" s="299" t="s">
        <v>156</v>
      </c>
      <c r="F600" s="300" t="s">
        <v>462</v>
      </c>
      <c r="G600" s="80">
        <v>14572.9</v>
      </c>
      <c r="H600" s="73"/>
      <c r="I600" s="73"/>
      <c r="J600" s="242">
        <f>SUM('ведомствен.2016-2014'!G484)</f>
        <v>14572.9</v>
      </c>
      <c r="K600" s="242">
        <f>SUM('ведомствен.2016-2014'!H484)</f>
        <v>14572.9</v>
      </c>
      <c r="L600" s="242">
        <f t="shared" si="20"/>
        <v>0</v>
      </c>
      <c r="M600" s="80">
        <v>14572.9</v>
      </c>
      <c r="N600" s="221">
        <f t="shared" si="21"/>
        <v>0</v>
      </c>
    </row>
    <row r="601" spans="1:14" ht="28.5">
      <c r="A601" s="231" t="s">
        <v>464</v>
      </c>
      <c r="B601" s="297"/>
      <c r="C601" s="298" t="s">
        <v>5</v>
      </c>
      <c r="D601" s="299" t="s">
        <v>360</v>
      </c>
      <c r="E601" s="299" t="s">
        <v>465</v>
      </c>
      <c r="F601" s="300"/>
      <c r="G601" s="80">
        <f>G602+G604+G606</f>
        <v>2625.1</v>
      </c>
      <c r="H601" s="73"/>
      <c r="I601" s="73"/>
      <c r="J601" s="242"/>
      <c r="K601" s="242"/>
      <c r="L601" s="242"/>
      <c r="M601" s="80">
        <f>M602+M604+M606</f>
        <v>2625.1</v>
      </c>
      <c r="N601" s="221">
        <f t="shared" si="21"/>
        <v>2625.1</v>
      </c>
    </row>
    <row r="602" spans="1:14" ht="14.25">
      <c r="A602" s="231" t="s">
        <v>455</v>
      </c>
      <c r="B602" s="313"/>
      <c r="C602" s="298" t="s">
        <v>5</v>
      </c>
      <c r="D602" s="299" t="s">
        <v>360</v>
      </c>
      <c r="E602" s="299" t="s">
        <v>466</v>
      </c>
      <c r="F602" s="300"/>
      <c r="G602" s="80">
        <f>SUM(G603)</f>
        <v>230</v>
      </c>
      <c r="H602" s="73"/>
      <c r="I602" s="73"/>
      <c r="J602" s="242"/>
      <c r="K602" s="242"/>
      <c r="L602" s="242"/>
      <c r="M602" s="80">
        <f>SUM(M603)</f>
        <v>230</v>
      </c>
      <c r="N602" s="221">
        <f t="shared" si="21"/>
        <v>230</v>
      </c>
    </row>
    <row r="603" spans="1:14" ht="14.25">
      <c r="A603" s="231" t="s">
        <v>463</v>
      </c>
      <c r="B603" s="297"/>
      <c r="C603" s="298" t="s">
        <v>5</v>
      </c>
      <c r="D603" s="299" t="s">
        <v>360</v>
      </c>
      <c r="E603" s="299" t="s">
        <v>466</v>
      </c>
      <c r="F603" s="300" t="s">
        <v>112</v>
      </c>
      <c r="G603" s="80">
        <v>230</v>
      </c>
      <c r="H603" s="73"/>
      <c r="I603" s="73"/>
      <c r="J603" s="242">
        <f>SUM('ведомствен.2016-2014'!G487)</f>
        <v>230</v>
      </c>
      <c r="K603" s="242">
        <f>SUM('ведомствен.2016-2014'!H487)</f>
        <v>230</v>
      </c>
      <c r="L603" s="242">
        <f t="shared" si="20"/>
        <v>0</v>
      </c>
      <c r="M603" s="80">
        <v>230</v>
      </c>
      <c r="N603" s="221">
        <f t="shared" si="21"/>
        <v>0</v>
      </c>
    </row>
    <row r="604" spans="1:14" ht="28.5">
      <c r="A604" s="231" t="s">
        <v>456</v>
      </c>
      <c r="B604" s="313"/>
      <c r="C604" s="298" t="s">
        <v>5</v>
      </c>
      <c r="D604" s="299" t="s">
        <v>360</v>
      </c>
      <c r="E604" s="299" t="s">
        <v>468</v>
      </c>
      <c r="F604" s="300"/>
      <c r="G604" s="80">
        <f>SUM(G605)</f>
        <v>1225</v>
      </c>
      <c r="H604" s="73"/>
      <c r="I604" s="73"/>
      <c r="J604" s="242"/>
      <c r="K604" s="242"/>
      <c r="L604" s="242"/>
      <c r="M604" s="80">
        <f>SUM(M605)</f>
        <v>1225</v>
      </c>
      <c r="N604" s="221">
        <f t="shared" si="21"/>
        <v>1225</v>
      </c>
    </row>
    <row r="605" spans="1:14" ht="14.25">
      <c r="A605" s="231" t="s">
        <v>463</v>
      </c>
      <c r="B605" s="297"/>
      <c r="C605" s="298" t="s">
        <v>5</v>
      </c>
      <c r="D605" s="299" t="s">
        <v>360</v>
      </c>
      <c r="E605" s="299" t="s">
        <v>468</v>
      </c>
      <c r="F605" s="300" t="s">
        <v>112</v>
      </c>
      <c r="G605" s="80">
        <v>1225</v>
      </c>
      <c r="H605" s="73"/>
      <c r="I605" s="73"/>
      <c r="J605" s="242">
        <f>SUM('ведомствен.2016-2014'!G489)</f>
        <v>1225</v>
      </c>
      <c r="K605" s="242">
        <f>SUM('ведомствен.2016-2014'!H489)</f>
        <v>1225</v>
      </c>
      <c r="L605" s="242">
        <f t="shared" si="20"/>
        <v>0</v>
      </c>
      <c r="M605" s="80">
        <v>1225</v>
      </c>
      <c r="N605" s="221">
        <f t="shared" si="21"/>
        <v>0</v>
      </c>
    </row>
    <row r="606" spans="1:14" ht="27.75" customHeight="1">
      <c r="A606" s="231" t="s">
        <v>469</v>
      </c>
      <c r="B606" s="313"/>
      <c r="C606" s="298" t="s">
        <v>5</v>
      </c>
      <c r="D606" s="299" t="s">
        <v>360</v>
      </c>
      <c r="E606" s="299" t="s">
        <v>470</v>
      </c>
      <c r="F606" s="300"/>
      <c r="G606" s="80">
        <f>G607+G608</f>
        <v>1170.1</v>
      </c>
      <c r="H606" s="73"/>
      <c r="I606" s="73"/>
      <c r="J606" s="242"/>
      <c r="K606" s="242"/>
      <c r="L606" s="242"/>
      <c r="M606" s="80">
        <f>M607+M608</f>
        <v>1170.1</v>
      </c>
      <c r="N606" s="221">
        <f t="shared" si="21"/>
        <v>1170.1</v>
      </c>
    </row>
    <row r="607" spans="1:14" ht="42.75" hidden="1">
      <c r="A607" s="231" t="s">
        <v>566</v>
      </c>
      <c r="B607" s="297"/>
      <c r="C607" s="298" t="s">
        <v>5</v>
      </c>
      <c r="D607" s="299" t="s">
        <v>360</v>
      </c>
      <c r="E607" s="299" t="s">
        <v>470</v>
      </c>
      <c r="F607" s="300" t="s">
        <v>462</v>
      </c>
      <c r="G607" s="80"/>
      <c r="H607" s="73">
        <f>SUM(H608)</f>
        <v>1305.1</v>
      </c>
      <c r="I607" s="73" t="e">
        <f>SUM(H607/G607*100)</f>
        <v>#DIV/0!</v>
      </c>
      <c r="J607" s="242">
        <f>SUM('ведомствен.2016-2014'!G491)</f>
        <v>0</v>
      </c>
      <c r="K607" s="242">
        <f>SUM('ведомствен.2016-2014'!H491)</f>
        <v>0</v>
      </c>
      <c r="L607" s="242">
        <f t="shared" si="20"/>
        <v>0</v>
      </c>
      <c r="M607" s="80"/>
      <c r="N607" s="221">
        <f t="shared" si="21"/>
        <v>0</v>
      </c>
    </row>
    <row r="608" spans="1:14" ht="14.25">
      <c r="A608" s="231" t="s">
        <v>463</v>
      </c>
      <c r="B608" s="297"/>
      <c r="C608" s="298" t="s">
        <v>5</v>
      </c>
      <c r="D608" s="299" t="s">
        <v>360</v>
      </c>
      <c r="E608" s="299" t="s">
        <v>470</v>
      </c>
      <c r="F608" s="300" t="s">
        <v>112</v>
      </c>
      <c r="G608" s="80">
        <v>1170.1</v>
      </c>
      <c r="H608" s="73">
        <v>1305.1</v>
      </c>
      <c r="I608" s="73">
        <f>SUM(H608/G608*100)</f>
        <v>111.53747542945047</v>
      </c>
      <c r="J608" s="242">
        <f>SUM('ведомствен.2016-2014'!G492)</f>
        <v>1170.1</v>
      </c>
      <c r="K608" s="242">
        <f>SUM('ведомствен.2016-2014'!H492)</f>
        <v>1170.1</v>
      </c>
      <c r="L608" s="242">
        <f t="shared" si="20"/>
        <v>0</v>
      </c>
      <c r="M608" s="80">
        <v>1170.1</v>
      </c>
      <c r="N608" s="221">
        <f t="shared" si="21"/>
        <v>0</v>
      </c>
    </row>
    <row r="609" spans="1:14" ht="28.5">
      <c r="A609" s="233" t="s">
        <v>601</v>
      </c>
      <c r="B609" s="307"/>
      <c r="C609" s="308" t="s">
        <v>5</v>
      </c>
      <c r="D609" s="308" t="s">
        <v>360</v>
      </c>
      <c r="E609" s="308" t="s">
        <v>602</v>
      </c>
      <c r="F609" s="300"/>
      <c r="G609" s="324">
        <f>G610</f>
        <v>5521.8</v>
      </c>
      <c r="H609" s="73"/>
      <c r="I609" s="73"/>
      <c r="J609" s="242"/>
      <c r="K609" s="242"/>
      <c r="L609" s="242"/>
      <c r="M609" s="321">
        <f>M610</f>
        <v>5521.8</v>
      </c>
      <c r="N609" s="221">
        <f t="shared" si="21"/>
        <v>5521.8</v>
      </c>
    </row>
    <row r="610" spans="1:14" ht="99.75">
      <c r="A610" s="233" t="s">
        <v>622</v>
      </c>
      <c r="B610" s="307"/>
      <c r="C610" s="308" t="s">
        <v>5</v>
      </c>
      <c r="D610" s="308" t="s">
        <v>360</v>
      </c>
      <c r="E610" s="308" t="s">
        <v>623</v>
      </c>
      <c r="F610" s="300"/>
      <c r="G610" s="324">
        <f>G611</f>
        <v>5521.8</v>
      </c>
      <c r="H610" s="73"/>
      <c r="I610" s="73"/>
      <c r="J610" s="242"/>
      <c r="K610" s="242"/>
      <c r="L610" s="242"/>
      <c r="M610" s="321">
        <f>M611</f>
        <v>5521.8</v>
      </c>
      <c r="N610" s="221">
        <f t="shared" si="21"/>
        <v>5521.8</v>
      </c>
    </row>
    <row r="611" spans="1:14" ht="42.75">
      <c r="A611" s="283" t="s">
        <v>158</v>
      </c>
      <c r="B611" s="307"/>
      <c r="C611" s="308" t="s">
        <v>5</v>
      </c>
      <c r="D611" s="308" t="s">
        <v>360</v>
      </c>
      <c r="E611" s="308" t="s">
        <v>633</v>
      </c>
      <c r="F611" s="300"/>
      <c r="G611" s="324">
        <f>G612+G613</f>
        <v>5521.8</v>
      </c>
      <c r="H611" s="73"/>
      <c r="I611" s="73"/>
      <c r="J611" s="242"/>
      <c r="K611" s="242"/>
      <c r="L611" s="242"/>
      <c r="M611" s="321">
        <f>M612+M613</f>
        <v>5521.8</v>
      </c>
      <c r="N611" s="221">
        <f t="shared" si="21"/>
        <v>5521.8</v>
      </c>
    </row>
    <row r="612" spans="1:14" ht="42.75">
      <c r="A612" s="233" t="s">
        <v>566</v>
      </c>
      <c r="B612" s="307"/>
      <c r="C612" s="308" t="s">
        <v>5</v>
      </c>
      <c r="D612" s="308" t="s">
        <v>360</v>
      </c>
      <c r="E612" s="308" t="s">
        <v>633</v>
      </c>
      <c r="F612" s="300" t="s">
        <v>462</v>
      </c>
      <c r="G612" s="324">
        <v>4948.6</v>
      </c>
      <c r="H612" s="73"/>
      <c r="I612" s="73"/>
      <c r="J612" s="242">
        <f>SUM('ведомствен.2016-2014'!G496)</f>
        <v>4948.6</v>
      </c>
      <c r="K612" s="242">
        <f>SUM('ведомствен.2016-2014'!H496)</f>
        <v>4948.6</v>
      </c>
      <c r="L612" s="242"/>
      <c r="M612" s="321">
        <v>4948.6</v>
      </c>
      <c r="N612" s="221">
        <f t="shared" si="21"/>
        <v>0</v>
      </c>
    </row>
    <row r="613" spans="1:14" ht="15">
      <c r="A613" s="233" t="s">
        <v>463</v>
      </c>
      <c r="B613" s="307"/>
      <c r="C613" s="308" t="s">
        <v>5</v>
      </c>
      <c r="D613" s="308" t="s">
        <v>360</v>
      </c>
      <c r="E613" s="308" t="s">
        <v>633</v>
      </c>
      <c r="F613" s="300" t="s">
        <v>112</v>
      </c>
      <c r="G613" s="324">
        <v>573.2</v>
      </c>
      <c r="H613" s="73"/>
      <c r="I613" s="73"/>
      <c r="J613" s="242">
        <f>SUM('ведомствен.2016-2014'!G497)</f>
        <v>573.2</v>
      </c>
      <c r="K613" s="242">
        <f>SUM('ведомствен.2016-2014'!H497)</f>
        <v>573.2</v>
      </c>
      <c r="L613" s="242"/>
      <c r="M613" s="321">
        <v>573.2</v>
      </c>
      <c r="N613" s="221">
        <f t="shared" si="21"/>
        <v>0</v>
      </c>
    </row>
    <row r="614" spans="1:14" ht="28.5">
      <c r="A614" s="234" t="s">
        <v>576</v>
      </c>
      <c r="B614" s="256"/>
      <c r="C614" s="36" t="s">
        <v>5</v>
      </c>
      <c r="D614" s="46" t="s">
        <v>360</v>
      </c>
      <c r="E614" s="46" t="s">
        <v>575</v>
      </c>
      <c r="F614" s="237"/>
      <c r="G614" s="73">
        <f>SUM(G615)</f>
        <v>232.8</v>
      </c>
      <c r="H614" s="73"/>
      <c r="I614" s="73"/>
      <c r="J614" s="242"/>
      <c r="K614" s="242"/>
      <c r="L614" s="242"/>
      <c r="M614" s="73">
        <f>SUM(M615)</f>
        <v>232.8</v>
      </c>
      <c r="N614" s="221">
        <f t="shared" si="21"/>
        <v>232.8</v>
      </c>
    </row>
    <row r="615" spans="1:14" ht="14.25">
      <c r="A615" s="232" t="s">
        <v>467</v>
      </c>
      <c r="B615" s="256"/>
      <c r="C615" s="36" t="s">
        <v>5</v>
      </c>
      <c r="D615" s="46" t="s">
        <v>360</v>
      </c>
      <c r="E615" s="46" t="s">
        <v>575</v>
      </c>
      <c r="F615" s="237" t="s">
        <v>161</v>
      </c>
      <c r="G615" s="73">
        <v>232.8</v>
      </c>
      <c r="H615" s="73"/>
      <c r="I615" s="73"/>
      <c r="J615" s="242">
        <f>SUM('ведомствен.2016-2014'!G313)</f>
        <v>232.79999999999995</v>
      </c>
      <c r="K615" s="242">
        <f>SUM('ведомствен.2016-2014'!H313)</f>
        <v>232.79999999999995</v>
      </c>
      <c r="L615" s="242">
        <f t="shared" si="20"/>
        <v>5.684341886080802E-14</v>
      </c>
      <c r="M615" s="73">
        <v>232.8</v>
      </c>
      <c r="N615" s="221">
        <f t="shared" si="21"/>
        <v>5.684341886080802E-14</v>
      </c>
    </row>
    <row r="616" spans="1:14" ht="15">
      <c r="A616" s="233" t="s">
        <v>563</v>
      </c>
      <c r="B616" s="307"/>
      <c r="C616" s="308" t="s">
        <v>5</v>
      </c>
      <c r="D616" s="308" t="s">
        <v>360</v>
      </c>
      <c r="E616" s="308" t="s">
        <v>122</v>
      </c>
      <c r="F616" s="300"/>
      <c r="G616" s="324">
        <f>G617</f>
        <v>75</v>
      </c>
      <c r="H616" s="73">
        <f>SUM(H617+H622+H620)</f>
        <v>113444</v>
      </c>
      <c r="I616" s="73">
        <f t="shared" si="19"/>
        <v>151258.66666666666</v>
      </c>
      <c r="J616" s="242"/>
      <c r="K616" s="242"/>
      <c r="L616" s="242"/>
      <c r="M616" s="321">
        <f>M617</f>
        <v>0</v>
      </c>
      <c r="N616" s="221">
        <f t="shared" si="21"/>
        <v>0</v>
      </c>
    </row>
    <row r="617" spans="1:14" ht="99.75">
      <c r="A617" s="283" t="s">
        <v>634</v>
      </c>
      <c r="B617" s="307"/>
      <c r="C617" s="308" t="s">
        <v>5</v>
      </c>
      <c r="D617" s="308" t="s">
        <v>360</v>
      </c>
      <c r="E617" s="308" t="s">
        <v>330</v>
      </c>
      <c r="F617" s="300"/>
      <c r="G617" s="324">
        <f>G618</f>
        <v>75</v>
      </c>
      <c r="H617" s="73">
        <v>56722</v>
      </c>
      <c r="I617" s="73">
        <f t="shared" si="19"/>
        <v>75629.33333333333</v>
      </c>
      <c r="J617" s="242"/>
      <c r="K617" s="242"/>
      <c r="L617" s="242"/>
      <c r="M617" s="321">
        <f>M618</f>
        <v>0</v>
      </c>
      <c r="N617" s="221">
        <f t="shared" si="21"/>
        <v>0</v>
      </c>
    </row>
    <row r="618" spans="1:14" ht="28.5">
      <c r="A618" s="233" t="s">
        <v>635</v>
      </c>
      <c r="B618" s="314"/>
      <c r="C618" s="308" t="s">
        <v>5</v>
      </c>
      <c r="D618" s="308" t="s">
        <v>360</v>
      </c>
      <c r="E618" s="308" t="s">
        <v>330</v>
      </c>
      <c r="F618" s="300" t="s">
        <v>477</v>
      </c>
      <c r="G618" s="324">
        <v>75</v>
      </c>
      <c r="H618" s="73"/>
      <c r="I618" s="73">
        <f t="shared" si="19"/>
        <v>0</v>
      </c>
      <c r="J618" s="242">
        <f>SUM('ведомствен.2016-2014'!G500)</f>
        <v>75</v>
      </c>
      <c r="K618" s="242">
        <f>SUM('ведомствен.2016-2014'!H500)</f>
        <v>0</v>
      </c>
      <c r="L618" s="242">
        <f t="shared" si="20"/>
        <v>0</v>
      </c>
      <c r="M618" s="321"/>
      <c r="N618" s="221">
        <f t="shared" si="21"/>
        <v>0</v>
      </c>
    </row>
    <row r="619" spans="1:14" s="22" customFormat="1" ht="15">
      <c r="A619" s="258" t="s">
        <v>237</v>
      </c>
      <c r="B619" s="259"/>
      <c r="C619" s="155" t="s">
        <v>389</v>
      </c>
      <c r="D619" s="96"/>
      <c r="E619" s="96"/>
      <c r="F619" s="260"/>
      <c r="G619" s="76">
        <f>SUM(G620)</f>
        <v>6606</v>
      </c>
      <c r="H619" s="73"/>
      <c r="I619" s="73">
        <f t="shared" si="19"/>
        <v>0</v>
      </c>
      <c r="J619" s="244"/>
      <c r="K619" s="244"/>
      <c r="L619" s="242"/>
      <c r="M619" s="76">
        <f>SUM(M620)</f>
        <v>6606</v>
      </c>
      <c r="N619" s="222">
        <f>SUM(K624:K636)</f>
        <v>6606</v>
      </c>
    </row>
    <row r="620" spans="1:13" s="22" customFormat="1" ht="15">
      <c r="A620" s="232" t="s">
        <v>223</v>
      </c>
      <c r="B620" s="256"/>
      <c r="C620" s="36" t="s">
        <v>389</v>
      </c>
      <c r="D620" s="46" t="s">
        <v>429</v>
      </c>
      <c r="E620" s="46"/>
      <c r="F620" s="237"/>
      <c r="G620" s="73">
        <f>SUM(G621+G632)</f>
        <v>6606</v>
      </c>
      <c r="H620" s="73">
        <f>SUM(H621)</f>
        <v>56722</v>
      </c>
      <c r="I620" s="73">
        <f t="shared" si="19"/>
        <v>858.6436572812595</v>
      </c>
      <c r="J620" s="244"/>
      <c r="K620" s="244"/>
      <c r="L620" s="242"/>
      <c r="M620" s="73">
        <f>SUM(M621+M632)+M627</f>
        <v>6606</v>
      </c>
    </row>
    <row r="621" spans="1:13" ht="28.5">
      <c r="A621" s="232" t="s">
        <v>458</v>
      </c>
      <c r="B621" s="256"/>
      <c r="C621" s="36" t="s">
        <v>389</v>
      </c>
      <c r="D621" s="46" t="s">
        <v>429</v>
      </c>
      <c r="E621" s="46" t="s">
        <v>459</v>
      </c>
      <c r="F621" s="187"/>
      <c r="G621" s="73">
        <f>SUM(G622)</f>
        <v>3854.3</v>
      </c>
      <c r="H621" s="73">
        <v>56722</v>
      </c>
      <c r="I621" s="73">
        <f>SUM(H621/G621*100)</f>
        <v>1471.6550346366396</v>
      </c>
      <c r="J621" s="242"/>
      <c r="K621" s="242"/>
      <c r="L621" s="242"/>
      <c r="M621" s="73">
        <f>SUM(M622)</f>
        <v>3854.3</v>
      </c>
    </row>
    <row r="622" spans="1:13" s="22" customFormat="1" ht="28.5">
      <c r="A622" s="232" t="s">
        <v>47</v>
      </c>
      <c r="B622" s="256"/>
      <c r="C622" s="36" t="s">
        <v>389</v>
      </c>
      <c r="D622" s="46" t="s">
        <v>429</v>
      </c>
      <c r="E622" s="46" t="s">
        <v>460</v>
      </c>
      <c r="F622" s="187"/>
      <c r="G622" s="73">
        <f>SUM(G623)</f>
        <v>3854.3</v>
      </c>
      <c r="H622" s="73">
        <f>SUM(H623)</f>
        <v>0</v>
      </c>
      <c r="I622" s="73">
        <f t="shared" si="19"/>
        <v>0</v>
      </c>
      <c r="J622" s="244"/>
      <c r="K622" s="244"/>
      <c r="L622" s="242"/>
      <c r="M622" s="73">
        <f>SUM(M623)</f>
        <v>3854.3</v>
      </c>
    </row>
    <row r="623" spans="1:13" ht="42.75">
      <c r="A623" s="232" t="s">
        <v>582</v>
      </c>
      <c r="B623" s="256"/>
      <c r="C623" s="36" t="s">
        <v>389</v>
      </c>
      <c r="D623" s="46" t="s">
        <v>429</v>
      </c>
      <c r="E623" s="46" t="s">
        <v>568</v>
      </c>
      <c r="F623" s="187"/>
      <c r="G623" s="73">
        <f>SUM(G624:G626)</f>
        <v>3854.3</v>
      </c>
      <c r="H623" s="73"/>
      <c r="I623" s="73">
        <f t="shared" si="19"/>
        <v>0</v>
      </c>
      <c r="J623" s="242"/>
      <c r="K623" s="242"/>
      <c r="L623" s="242"/>
      <c r="M623" s="73">
        <f>SUM(M624:M626)</f>
        <v>3854.3</v>
      </c>
    </row>
    <row r="624" spans="1:13" ht="42.75">
      <c r="A624" s="232" t="s">
        <v>461</v>
      </c>
      <c r="B624" s="256"/>
      <c r="C624" s="36" t="s">
        <v>389</v>
      </c>
      <c r="D624" s="46" t="s">
        <v>429</v>
      </c>
      <c r="E624" s="46" t="s">
        <v>568</v>
      </c>
      <c r="F624" s="237" t="s">
        <v>462</v>
      </c>
      <c r="G624" s="73">
        <v>3228.9</v>
      </c>
      <c r="H624" s="73"/>
      <c r="I624" s="73">
        <f t="shared" si="19"/>
        <v>0</v>
      </c>
      <c r="J624" s="242">
        <f>SUM('ведомствен.2016-2014'!G515)</f>
        <v>3228.9</v>
      </c>
      <c r="K624" s="242">
        <f>SUM('ведомствен.2016-2014'!H515)</f>
        <v>3228.9</v>
      </c>
      <c r="L624" s="242">
        <f t="shared" si="20"/>
        <v>0</v>
      </c>
      <c r="M624" s="73">
        <v>3228.9</v>
      </c>
    </row>
    <row r="625" spans="1:13" s="2" customFormat="1" ht="14.25">
      <c r="A625" s="232" t="s">
        <v>463</v>
      </c>
      <c r="B625" s="256"/>
      <c r="C625" s="36" t="s">
        <v>389</v>
      </c>
      <c r="D625" s="46" t="s">
        <v>429</v>
      </c>
      <c r="E625" s="46" t="s">
        <v>568</v>
      </c>
      <c r="F625" s="237" t="s">
        <v>112</v>
      </c>
      <c r="G625" s="74">
        <v>619.4</v>
      </c>
      <c r="H625" s="73">
        <f>SUM(H626)</f>
        <v>25662.5</v>
      </c>
      <c r="I625" s="73">
        <f t="shared" si="19"/>
        <v>4143.122376493381</v>
      </c>
      <c r="J625" s="242">
        <f>SUM('ведомствен.2016-2014'!G516)</f>
        <v>619.4</v>
      </c>
      <c r="K625" s="242">
        <f>SUM('ведомствен.2016-2014'!H516)</f>
        <v>619.4</v>
      </c>
      <c r="L625" s="242">
        <f t="shared" si="20"/>
        <v>0</v>
      </c>
      <c r="M625" s="74">
        <v>619.4</v>
      </c>
    </row>
    <row r="626" spans="1:13" s="2" customFormat="1" ht="14.25">
      <c r="A626" s="232" t="s">
        <v>467</v>
      </c>
      <c r="B626" s="256"/>
      <c r="C626" s="36" t="s">
        <v>389</v>
      </c>
      <c r="D626" s="46" t="s">
        <v>429</v>
      </c>
      <c r="E626" s="46" t="s">
        <v>568</v>
      </c>
      <c r="F626" s="187" t="s">
        <v>161</v>
      </c>
      <c r="G626" s="73">
        <v>6</v>
      </c>
      <c r="H626" s="73">
        <f>SUM(H636+H633+H632)</f>
        <v>25662.5</v>
      </c>
      <c r="I626" s="73">
        <f t="shared" si="19"/>
        <v>427708.3333333333</v>
      </c>
      <c r="J626" s="242">
        <f>SUM('ведомствен.2016-2014'!G517)</f>
        <v>6</v>
      </c>
      <c r="K626" s="242">
        <f>SUM('ведомствен.2016-2014'!H517)</f>
        <v>6</v>
      </c>
      <c r="L626" s="242">
        <f t="shared" si="20"/>
        <v>0</v>
      </c>
      <c r="M626" s="73">
        <v>6</v>
      </c>
    </row>
    <row r="627" spans="1:13" s="2" customFormat="1" ht="28.5">
      <c r="A627" s="236" t="s">
        <v>590</v>
      </c>
      <c r="B627" s="284"/>
      <c r="C627" s="183" t="s">
        <v>389</v>
      </c>
      <c r="D627" s="183" t="s">
        <v>429</v>
      </c>
      <c r="E627" s="184">
        <v>5120000</v>
      </c>
      <c r="F627" s="185"/>
      <c r="G627" s="73">
        <f>SUM(G628)</f>
        <v>0</v>
      </c>
      <c r="H627" s="73"/>
      <c r="I627" s="73"/>
      <c r="J627" s="242"/>
      <c r="K627" s="242"/>
      <c r="L627" s="242"/>
      <c r="M627" s="73">
        <f>SUM(M628)</f>
        <v>2751.7</v>
      </c>
    </row>
    <row r="628" spans="1:13" s="2" customFormat="1" ht="28.5">
      <c r="A628" s="236" t="s">
        <v>591</v>
      </c>
      <c r="B628" s="284"/>
      <c r="C628" s="183" t="s">
        <v>389</v>
      </c>
      <c r="D628" s="183" t="s">
        <v>429</v>
      </c>
      <c r="E628" s="184">
        <v>5129700</v>
      </c>
      <c r="F628" s="185"/>
      <c r="G628" s="73">
        <f>SUM(G629:G631)</f>
        <v>0</v>
      </c>
      <c r="H628" s="73"/>
      <c r="I628" s="73"/>
      <c r="J628" s="242"/>
      <c r="K628" s="242"/>
      <c r="L628" s="242"/>
      <c r="M628" s="73">
        <f>SUM(M629:M631)</f>
        <v>2751.7</v>
      </c>
    </row>
    <row r="629" spans="1:13" s="2" customFormat="1" ht="42.75">
      <c r="A629" s="229" t="s">
        <v>592</v>
      </c>
      <c r="B629" s="224"/>
      <c r="C629" s="183" t="s">
        <v>389</v>
      </c>
      <c r="D629" s="183" t="s">
        <v>429</v>
      </c>
      <c r="E629" s="184">
        <v>5129700</v>
      </c>
      <c r="F629" s="187" t="s">
        <v>462</v>
      </c>
      <c r="G629" s="73"/>
      <c r="H629" s="73"/>
      <c r="I629" s="73"/>
      <c r="J629" s="242"/>
      <c r="K629" s="242">
        <f>SUM('ведомствен.2016-2014'!H520)</f>
        <v>700</v>
      </c>
      <c r="L629" s="242"/>
      <c r="M629" s="73">
        <v>700</v>
      </c>
    </row>
    <row r="630" spans="1:13" s="2" customFormat="1" ht="14.25">
      <c r="A630" s="236" t="s">
        <v>463</v>
      </c>
      <c r="B630" s="284"/>
      <c r="C630" s="183" t="s">
        <v>389</v>
      </c>
      <c r="D630" s="183" t="s">
        <v>429</v>
      </c>
      <c r="E630" s="184">
        <v>5129700</v>
      </c>
      <c r="F630" s="185" t="s">
        <v>112</v>
      </c>
      <c r="G630" s="74"/>
      <c r="H630" s="73"/>
      <c r="I630" s="73"/>
      <c r="J630" s="242"/>
      <c r="K630" s="242">
        <f>SUM('ведомствен.2016-2014'!H521)</f>
        <v>1555.7</v>
      </c>
      <c r="L630" s="242"/>
      <c r="M630" s="74">
        <v>1555.7</v>
      </c>
    </row>
    <row r="631" spans="1:13" s="2" customFormat="1" ht="42.75">
      <c r="A631" s="236" t="s">
        <v>561</v>
      </c>
      <c r="B631" s="284"/>
      <c r="C631" s="183" t="s">
        <v>389</v>
      </c>
      <c r="D631" s="183" t="s">
        <v>429</v>
      </c>
      <c r="E631" s="184">
        <v>5129700</v>
      </c>
      <c r="F631" s="185" t="s">
        <v>477</v>
      </c>
      <c r="G631" s="73"/>
      <c r="H631" s="73"/>
      <c r="I631" s="73"/>
      <c r="J631" s="242"/>
      <c r="K631" s="242">
        <f>SUM('ведомствен.2016-2014'!H522)</f>
        <v>496</v>
      </c>
      <c r="L631" s="242"/>
      <c r="M631" s="73">
        <v>496</v>
      </c>
    </row>
    <row r="632" spans="1:13" s="2" customFormat="1" ht="14.25">
      <c r="A632" s="231" t="s">
        <v>121</v>
      </c>
      <c r="B632" s="256"/>
      <c r="C632" s="36" t="s">
        <v>389</v>
      </c>
      <c r="D632" s="46" t="s">
        <v>429</v>
      </c>
      <c r="E632" s="98" t="s">
        <v>122</v>
      </c>
      <c r="F632" s="237"/>
      <c r="G632" s="73">
        <f>SUM(G633)</f>
        <v>2751.7</v>
      </c>
      <c r="H632" s="73"/>
      <c r="I632" s="73">
        <f t="shared" si="19"/>
        <v>0</v>
      </c>
      <c r="J632" s="245"/>
      <c r="K632" s="245"/>
      <c r="L632" s="242"/>
      <c r="M632" s="73">
        <f>SUM(M633)</f>
        <v>0</v>
      </c>
    </row>
    <row r="633" spans="1:13" s="2" customFormat="1" ht="42.75">
      <c r="A633" s="232" t="s">
        <v>569</v>
      </c>
      <c r="B633" s="256"/>
      <c r="C633" s="36" t="s">
        <v>389</v>
      </c>
      <c r="D633" s="46" t="s">
        <v>429</v>
      </c>
      <c r="E633" s="98" t="s">
        <v>90</v>
      </c>
      <c r="F633" s="237"/>
      <c r="G633" s="73">
        <f>SUM(G634:G636)</f>
        <v>2751.7</v>
      </c>
      <c r="H633" s="73">
        <f>SUM(H635)</f>
        <v>27.5</v>
      </c>
      <c r="I633" s="73">
        <f t="shared" si="19"/>
        <v>0.9993822000944871</v>
      </c>
      <c r="J633" s="245"/>
      <c r="K633" s="245"/>
      <c r="L633" s="242"/>
      <c r="M633" s="73">
        <f>SUM(M634:M636)</f>
        <v>0</v>
      </c>
    </row>
    <row r="634" spans="1:13" s="2" customFormat="1" ht="42.75">
      <c r="A634" s="232" t="s">
        <v>461</v>
      </c>
      <c r="B634" s="224"/>
      <c r="C634" s="46" t="s">
        <v>389</v>
      </c>
      <c r="D634" s="46" t="s">
        <v>429</v>
      </c>
      <c r="E634" s="98" t="s">
        <v>90</v>
      </c>
      <c r="F634" s="237" t="s">
        <v>462</v>
      </c>
      <c r="G634" s="249">
        <v>700</v>
      </c>
      <c r="H634" s="73"/>
      <c r="I634" s="73"/>
      <c r="J634" s="242">
        <f>SUM('ведомствен.2016-2014'!G525)</f>
        <v>700</v>
      </c>
      <c r="K634" s="242">
        <f>SUM('ведомствен.2016-2014'!H525)</f>
        <v>0</v>
      </c>
      <c r="L634" s="242"/>
      <c r="M634" s="191"/>
    </row>
    <row r="635" spans="1:13" s="2" customFormat="1" ht="14.25">
      <c r="A635" s="232" t="s">
        <v>463</v>
      </c>
      <c r="B635" s="256"/>
      <c r="C635" s="36" t="s">
        <v>389</v>
      </c>
      <c r="D635" s="46" t="s">
        <v>429</v>
      </c>
      <c r="E635" s="98" t="s">
        <v>90</v>
      </c>
      <c r="F635" s="237" t="s">
        <v>112</v>
      </c>
      <c r="G635" s="73">
        <v>1555.7</v>
      </c>
      <c r="H635" s="73">
        <v>27.5</v>
      </c>
      <c r="I635" s="73">
        <f t="shared" si="19"/>
        <v>1.7676929999357203</v>
      </c>
      <c r="J635" s="242">
        <f>SUM('ведомствен.2016-2014'!G526)</f>
        <v>1555.7</v>
      </c>
      <c r="K635" s="242">
        <f>SUM('ведомствен.2016-2014'!H526)</f>
        <v>0</v>
      </c>
      <c r="L635" s="242">
        <f t="shared" si="20"/>
        <v>0</v>
      </c>
      <c r="M635" s="73"/>
    </row>
    <row r="636" spans="1:13" s="2" customFormat="1" ht="28.5">
      <c r="A636" s="231" t="s">
        <v>480</v>
      </c>
      <c r="B636" s="256"/>
      <c r="C636" s="36" t="s">
        <v>389</v>
      </c>
      <c r="D636" s="46" t="s">
        <v>429</v>
      </c>
      <c r="E636" s="98" t="s">
        <v>90</v>
      </c>
      <c r="F636" s="237" t="s">
        <v>477</v>
      </c>
      <c r="G636" s="73">
        <v>496</v>
      </c>
      <c r="H636" s="73">
        <f>SUM(H637)</f>
        <v>25635</v>
      </c>
      <c r="I636" s="73">
        <f t="shared" si="19"/>
        <v>5168.346774193548</v>
      </c>
      <c r="J636" s="242">
        <f>SUM('ведомствен.2016-2014'!G527)</f>
        <v>496</v>
      </c>
      <c r="K636" s="242">
        <f>SUM('ведомствен.2016-2014'!H527)</f>
        <v>0</v>
      </c>
      <c r="L636" s="242">
        <f t="shared" si="20"/>
        <v>0</v>
      </c>
      <c r="M636" s="73"/>
    </row>
    <row r="637" spans="1:13" s="2" customFormat="1" ht="42.75" hidden="1">
      <c r="A637" s="232" t="s">
        <v>144</v>
      </c>
      <c r="B637" s="256"/>
      <c r="C637" s="36" t="s">
        <v>389</v>
      </c>
      <c r="D637" s="46" t="s">
        <v>429</v>
      </c>
      <c r="E637" s="98" t="s">
        <v>382</v>
      </c>
      <c r="F637" s="237"/>
      <c r="G637" s="73">
        <f>SUM(G638)</f>
        <v>0</v>
      </c>
      <c r="H637" s="73">
        <v>25635</v>
      </c>
      <c r="I637" s="73" t="e">
        <f t="shared" si="19"/>
        <v>#DIV/0!</v>
      </c>
      <c r="J637" s="245"/>
      <c r="K637" s="245"/>
      <c r="L637" s="242">
        <f t="shared" si="20"/>
        <v>0</v>
      </c>
      <c r="M637" s="73">
        <f>SUM(M638)</f>
        <v>0</v>
      </c>
    </row>
    <row r="638" spans="1:13" ht="28.5" hidden="1">
      <c r="A638" s="231" t="s">
        <v>135</v>
      </c>
      <c r="B638" s="256"/>
      <c r="C638" s="36" t="s">
        <v>389</v>
      </c>
      <c r="D638" s="46" t="s">
        <v>429</v>
      </c>
      <c r="E638" s="98" t="s">
        <v>382</v>
      </c>
      <c r="F638" s="237" t="s">
        <v>76</v>
      </c>
      <c r="G638" s="73"/>
      <c r="H638" s="73">
        <f>SUM(H639)</f>
        <v>13916.300000000001</v>
      </c>
      <c r="I638" s="73" t="e">
        <f t="shared" si="19"/>
        <v>#DIV/0!</v>
      </c>
      <c r="J638" s="242"/>
      <c r="K638" s="242"/>
      <c r="L638" s="242">
        <f t="shared" si="20"/>
        <v>0</v>
      </c>
      <c r="M638" s="73"/>
    </row>
    <row r="639" spans="1:13" ht="14.25" hidden="1">
      <c r="A639" s="232" t="s">
        <v>148</v>
      </c>
      <c r="B639" s="256"/>
      <c r="C639" s="36" t="s">
        <v>389</v>
      </c>
      <c r="D639" s="46" t="s">
        <v>431</v>
      </c>
      <c r="E639" s="97"/>
      <c r="F639" s="187"/>
      <c r="G639" s="73">
        <f>SUM(G640)</f>
        <v>0</v>
      </c>
      <c r="H639" s="73">
        <f>SUM(H641+H643+H645)</f>
        <v>13916.300000000001</v>
      </c>
      <c r="I639" s="73" t="e">
        <f t="shared" si="19"/>
        <v>#DIV/0!</v>
      </c>
      <c r="J639" s="242"/>
      <c r="K639" s="242"/>
      <c r="L639" s="242">
        <f t="shared" si="20"/>
        <v>0</v>
      </c>
      <c r="M639" s="73">
        <f>SUM(M640)</f>
        <v>0</v>
      </c>
    </row>
    <row r="640" spans="1:13" ht="14.25" hidden="1">
      <c r="A640" s="232" t="s">
        <v>3</v>
      </c>
      <c r="B640" s="256"/>
      <c r="C640" s="36" t="s">
        <v>389</v>
      </c>
      <c r="D640" s="46" t="s">
        <v>431</v>
      </c>
      <c r="E640" s="46" t="s">
        <v>4</v>
      </c>
      <c r="F640" s="187"/>
      <c r="G640" s="73">
        <f>SUM(G641)</f>
        <v>0</v>
      </c>
      <c r="H640" s="73"/>
      <c r="I640" s="73" t="e">
        <f t="shared" si="19"/>
        <v>#DIV/0!</v>
      </c>
      <c r="J640" s="242"/>
      <c r="K640" s="242"/>
      <c r="L640" s="242">
        <f t="shared" si="20"/>
        <v>0</v>
      </c>
      <c r="M640" s="73">
        <f>SUM(M641)</f>
        <v>0</v>
      </c>
    </row>
    <row r="641" spans="1:13" s="22" customFormat="1" ht="28.5" hidden="1">
      <c r="A641" s="232" t="s">
        <v>149</v>
      </c>
      <c r="B641" s="256"/>
      <c r="C641" s="36" t="s">
        <v>389</v>
      </c>
      <c r="D641" s="46" t="s">
        <v>431</v>
      </c>
      <c r="E641" s="46" t="s">
        <v>286</v>
      </c>
      <c r="F641" s="187"/>
      <c r="G641" s="73">
        <f>SUM(G642)</f>
        <v>0</v>
      </c>
      <c r="H641" s="73">
        <f>SUM(H642)</f>
        <v>40.9</v>
      </c>
      <c r="I641" s="73" t="e">
        <f t="shared" si="19"/>
        <v>#DIV/0!</v>
      </c>
      <c r="J641" s="244"/>
      <c r="K641" s="244"/>
      <c r="L641" s="242">
        <f t="shared" si="20"/>
        <v>0</v>
      </c>
      <c r="M641" s="73">
        <f>SUM(M642)</f>
        <v>0</v>
      </c>
    </row>
    <row r="642" spans="1:13" s="22" customFormat="1" ht="28.5" hidden="1">
      <c r="A642" s="231" t="s">
        <v>135</v>
      </c>
      <c r="B642" s="256"/>
      <c r="C642" s="36" t="s">
        <v>389</v>
      </c>
      <c r="D642" s="46" t="s">
        <v>431</v>
      </c>
      <c r="E642" s="46" t="s">
        <v>286</v>
      </c>
      <c r="F642" s="237" t="s">
        <v>76</v>
      </c>
      <c r="G642" s="73"/>
      <c r="H642" s="73">
        <v>40.9</v>
      </c>
      <c r="I642" s="73" t="e">
        <f t="shared" si="19"/>
        <v>#DIV/0!</v>
      </c>
      <c r="J642" s="244"/>
      <c r="K642" s="244"/>
      <c r="L642" s="242">
        <f t="shared" si="20"/>
        <v>0</v>
      </c>
      <c r="M642" s="73"/>
    </row>
    <row r="643" spans="1:13" ht="14.25" hidden="1">
      <c r="A643" s="232" t="s">
        <v>224</v>
      </c>
      <c r="B643" s="256"/>
      <c r="C643" s="36" t="s">
        <v>389</v>
      </c>
      <c r="D643" s="46" t="s">
        <v>124</v>
      </c>
      <c r="E643" s="97"/>
      <c r="F643" s="187"/>
      <c r="G643" s="73">
        <f>SUM(G644+G650+G652)+G647</f>
        <v>0</v>
      </c>
      <c r="H643" s="73">
        <f>SUM(H644)</f>
        <v>12.8</v>
      </c>
      <c r="I643" s="73" t="e">
        <f t="shared" si="19"/>
        <v>#DIV/0!</v>
      </c>
      <c r="J643" s="242"/>
      <c r="K643" s="242"/>
      <c r="L643" s="242">
        <f t="shared" si="20"/>
        <v>0</v>
      </c>
      <c r="M643" s="73">
        <f>SUM(M644+M650+M652)+M647</f>
        <v>0</v>
      </c>
    </row>
    <row r="644" spans="1:13" ht="42.75" hidden="1">
      <c r="A644" s="232" t="s">
        <v>91</v>
      </c>
      <c r="B644" s="256"/>
      <c r="C644" s="36" t="s">
        <v>389</v>
      </c>
      <c r="D644" s="46" t="s">
        <v>124</v>
      </c>
      <c r="E644" s="46" t="s">
        <v>92</v>
      </c>
      <c r="F644" s="187"/>
      <c r="G644" s="73">
        <f>SUM(G645)</f>
        <v>0</v>
      </c>
      <c r="H644" s="73">
        <v>12.8</v>
      </c>
      <c r="I644" s="73" t="e">
        <f t="shared" si="19"/>
        <v>#DIV/0!</v>
      </c>
      <c r="J644" s="244"/>
      <c r="K644" s="244"/>
      <c r="L644" s="242">
        <f t="shared" si="20"/>
        <v>0</v>
      </c>
      <c r="M644" s="73">
        <f>SUM(M645)</f>
        <v>0</v>
      </c>
    </row>
    <row r="645" spans="1:13" ht="14.25" hidden="1">
      <c r="A645" s="232" t="s">
        <v>99</v>
      </c>
      <c r="B645" s="256"/>
      <c r="C645" s="36" t="s">
        <v>389</v>
      </c>
      <c r="D645" s="46" t="s">
        <v>124</v>
      </c>
      <c r="E645" s="46" t="s">
        <v>101</v>
      </c>
      <c r="F645" s="187"/>
      <c r="G645" s="73">
        <f>SUM(G646)</f>
        <v>0</v>
      </c>
      <c r="H645" s="73">
        <f>SUM(H646)</f>
        <v>13862.6</v>
      </c>
      <c r="I645" s="73" t="e">
        <f t="shared" si="19"/>
        <v>#DIV/0!</v>
      </c>
      <c r="J645" s="242"/>
      <c r="K645" s="242"/>
      <c r="L645" s="242">
        <f t="shared" si="20"/>
        <v>0</v>
      </c>
      <c r="M645" s="73">
        <f>SUM(M646)</f>
        <v>0</v>
      </c>
    </row>
    <row r="646" spans="1:13" ht="15" hidden="1">
      <c r="A646" s="232" t="s">
        <v>95</v>
      </c>
      <c r="B646" s="256"/>
      <c r="C646" s="36" t="s">
        <v>389</v>
      </c>
      <c r="D646" s="46" t="s">
        <v>124</v>
      </c>
      <c r="E646" s="46" t="s">
        <v>101</v>
      </c>
      <c r="F646" s="237" t="s">
        <v>96</v>
      </c>
      <c r="G646" s="73"/>
      <c r="H646" s="73">
        <v>13862.6</v>
      </c>
      <c r="I646" s="73" t="e">
        <f t="shared" si="19"/>
        <v>#DIV/0!</v>
      </c>
      <c r="J646" s="244"/>
      <c r="K646" s="244"/>
      <c r="L646" s="242">
        <f t="shared" si="20"/>
        <v>0</v>
      </c>
      <c r="M646" s="73"/>
    </row>
    <row r="647" spans="1:13" ht="14.25" hidden="1">
      <c r="A647" s="231" t="s">
        <v>121</v>
      </c>
      <c r="B647" s="256"/>
      <c r="C647" s="36" t="s">
        <v>389</v>
      </c>
      <c r="D647" s="46" t="s">
        <v>124</v>
      </c>
      <c r="E647" s="98" t="s">
        <v>122</v>
      </c>
      <c r="F647" s="237"/>
      <c r="G647" s="73">
        <f>SUM(G648)</f>
        <v>0</v>
      </c>
      <c r="H647" s="73">
        <f>SUM(H648)</f>
        <v>0</v>
      </c>
      <c r="I647" s="73" t="e">
        <f t="shared" si="19"/>
        <v>#DIV/0!</v>
      </c>
      <c r="J647" s="242"/>
      <c r="K647" s="242"/>
      <c r="L647" s="242">
        <f t="shared" si="20"/>
        <v>0</v>
      </c>
      <c r="M647" s="73">
        <f>SUM(M648)</f>
        <v>0</v>
      </c>
    </row>
    <row r="648" spans="1:13" ht="42.75" hidden="1">
      <c r="A648" s="267" t="s">
        <v>191</v>
      </c>
      <c r="B648" s="256"/>
      <c r="C648" s="36" t="s">
        <v>389</v>
      </c>
      <c r="D648" s="46" t="s">
        <v>124</v>
      </c>
      <c r="E648" s="97" t="s">
        <v>292</v>
      </c>
      <c r="F648" s="237"/>
      <c r="G648" s="73">
        <f>SUM(G649)</f>
        <v>0</v>
      </c>
      <c r="H648" s="73">
        <f>SUM(H649)</f>
        <v>0</v>
      </c>
      <c r="I648" s="73" t="e">
        <f t="shared" si="19"/>
        <v>#DIV/0!</v>
      </c>
      <c r="J648" s="242"/>
      <c r="K648" s="242"/>
      <c r="L648" s="242">
        <f t="shared" si="20"/>
        <v>0</v>
      </c>
      <c r="M648" s="73">
        <f>SUM(M649)</f>
        <v>0</v>
      </c>
    </row>
    <row r="649" spans="1:13" ht="14.25" hidden="1">
      <c r="A649" s="232" t="s">
        <v>95</v>
      </c>
      <c r="B649" s="256"/>
      <c r="C649" s="36" t="s">
        <v>389</v>
      </c>
      <c r="D649" s="46" t="s">
        <v>124</v>
      </c>
      <c r="E649" s="97" t="s">
        <v>292</v>
      </c>
      <c r="F649" s="237" t="s">
        <v>96</v>
      </c>
      <c r="G649" s="73"/>
      <c r="H649" s="73"/>
      <c r="I649" s="73" t="e">
        <f t="shared" si="19"/>
        <v>#DIV/0!</v>
      </c>
      <c r="J649" s="242"/>
      <c r="K649" s="242"/>
      <c r="L649" s="242">
        <f t="shared" si="20"/>
        <v>0</v>
      </c>
      <c r="M649" s="73"/>
    </row>
    <row r="650" spans="1:13" ht="14.25" hidden="1">
      <c r="A650" s="231" t="s">
        <v>357</v>
      </c>
      <c r="B650" s="256"/>
      <c r="C650" s="36" t="s">
        <v>389</v>
      </c>
      <c r="D650" s="46" t="s">
        <v>124</v>
      </c>
      <c r="E650" s="97" t="s">
        <v>358</v>
      </c>
      <c r="F650" s="187"/>
      <c r="G650" s="73">
        <f>SUM(G651)</f>
        <v>0</v>
      </c>
      <c r="H650" s="73">
        <f>SUM(H651)</f>
        <v>0</v>
      </c>
      <c r="I650" s="73" t="e">
        <f t="shared" si="19"/>
        <v>#DIV/0!</v>
      </c>
      <c r="J650" s="242"/>
      <c r="K650" s="242"/>
      <c r="L650" s="242">
        <f t="shared" si="20"/>
        <v>0</v>
      </c>
      <c r="M650" s="73">
        <f>SUM(M651)</f>
        <v>0</v>
      </c>
    </row>
    <row r="651" spans="1:13" ht="14.25" hidden="1">
      <c r="A651" s="232" t="s">
        <v>95</v>
      </c>
      <c r="B651" s="256"/>
      <c r="C651" s="36" t="s">
        <v>389</v>
      </c>
      <c r="D651" s="46" t="s">
        <v>124</v>
      </c>
      <c r="E651" s="97" t="s">
        <v>358</v>
      </c>
      <c r="F651" s="187" t="s">
        <v>96</v>
      </c>
      <c r="G651" s="73"/>
      <c r="H651" s="73">
        <f>SUM(H652)</f>
        <v>0</v>
      </c>
      <c r="I651" s="73" t="e">
        <f t="shared" si="19"/>
        <v>#DIV/0!</v>
      </c>
      <c r="J651" s="242"/>
      <c r="K651" s="242"/>
      <c r="L651" s="242">
        <f t="shared" si="20"/>
        <v>0</v>
      </c>
      <c r="M651" s="73"/>
    </row>
    <row r="652" spans="1:13" ht="28.5" hidden="1">
      <c r="A652" s="234" t="s">
        <v>105</v>
      </c>
      <c r="B652" s="256"/>
      <c r="C652" s="36" t="s">
        <v>389</v>
      </c>
      <c r="D652" s="46" t="s">
        <v>124</v>
      </c>
      <c r="E652" s="46" t="s">
        <v>106</v>
      </c>
      <c r="F652" s="238"/>
      <c r="G652" s="73">
        <f>SUM(G654)</f>
        <v>0</v>
      </c>
      <c r="H652" s="73">
        <f>SUM(H653)</f>
        <v>0</v>
      </c>
      <c r="I652" s="73" t="e">
        <f t="shared" si="19"/>
        <v>#DIV/0!</v>
      </c>
      <c r="J652" s="242"/>
      <c r="K652" s="242"/>
      <c r="L652" s="242">
        <f t="shared" si="20"/>
        <v>0</v>
      </c>
      <c r="M652" s="73">
        <f>SUM(M654)</f>
        <v>0</v>
      </c>
    </row>
    <row r="653" spans="1:13" ht="14.25" hidden="1">
      <c r="A653" s="234" t="s">
        <v>107</v>
      </c>
      <c r="B653" s="256"/>
      <c r="C653" s="36" t="s">
        <v>389</v>
      </c>
      <c r="D653" s="46" t="s">
        <v>124</v>
      </c>
      <c r="E653" s="46" t="s">
        <v>241</v>
      </c>
      <c r="F653" s="238"/>
      <c r="G653" s="73">
        <f>SUM(G654)</f>
        <v>0</v>
      </c>
      <c r="H653" s="73"/>
      <c r="I653" s="73" t="e">
        <f t="shared" si="19"/>
        <v>#DIV/0!</v>
      </c>
      <c r="J653" s="242"/>
      <c r="K653" s="242"/>
      <c r="L653" s="242">
        <f t="shared" si="20"/>
        <v>0</v>
      </c>
      <c r="M653" s="73">
        <f>SUM(M654)</f>
        <v>0</v>
      </c>
    </row>
    <row r="654" spans="1:13" s="43" customFormat="1" ht="14.25" hidden="1">
      <c r="A654" s="232" t="s">
        <v>95</v>
      </c>
      <c r="B654" s="256"/>
      <c r="C654" s="36" t="s">
        <v>389</v>
      </c>
      <c r="D654" s="46" t="s">
        <v>124</v>
      </c>
      <c r="E654" s="46" t="s">
        <v>241</v>
      </c>
      <c r="F654" s="238" t="s">
        <v>96</v>
      </c>
      <c r="G654" s="73"/>
      <c r="H654" s="73"/>
      <c r="I654" s="73"/>
      <c r="J654" s="245"/>
      <c r="K654" s="245"/>
      <c r="L654" s="242">
        <f t="shared" si="20"/>
        <v>0</v>
      </c>
      <c r="M654" s="73"/>
    </row>
    <row r="655" spans="1:13" s="23" customFormat="1" ht="15">
      <c r="A655" s="258" t="s">
        <v>371</v>
      </c>
      <c r="B655" s="259"/>
      <c r="C655" s="128" t="s">
        <v>221</v>
      </c>
      <c r="D655" s="262" t="s">
        <v>174</v>
      </c>
      <c r="E655" s="262"/>
      <c r="F655" s="263"/>
      <c r="G655" s="76">
        <f>SUM(G656)</f>
        <v>38000</v>
      </c>
      <c r="H655" s="73"/>
      <c r="I655" s="73"/>
      <c r="J655" s="242"/>
      <c r="K655" s="242"/>
      <c r="L655" s="242"/>
      <c r="M655" s="76">
        <f>SUM(M656)</f>
        <v>38000</v>
      </c>
    </row>
    <row r="656" spans="1:13" s="23" customFormat="1" ht="28.5">
      <c r="A656" s="232" t="s">
        <v>222</v>
      </c>
      <c r="B656" s="256"/>
      <c r="C656" s="36" t="s">
        <v>221</v>
      </c>
      <c r="D656" s="46" t="s">
        <v>429</v>
      </c>
      <c r="E656" s="46"/>
      <c r="F656" s="237"/>
      <c r="G656" s="73">
        <f>SUM(G657)</f>
        <v>38000</v>
      </c>
      <c r="H656" s="73"/>
      <c r="I656" s="73"/>
      <c r="J656" s="242"/>
      <c r="K656" s="242"/>
      <c r="L656" s="242"/>
      <c r="M656" s="73">
        <f>SUM(M657)</f>
        <v>38000</v>
      </c>
    </row>
    <row r="657" spans="1:13" ht="14.25">
      <c r="A657" s="232" t="s">
        <v>372</v>
      </c>
      <c r="B657" s="256"/>
      <c r="C657" s="36" t="s">
        <v>221</v>
      </c>
      <c r="D657" s="46" t="s">
        <v>429</v>
      </c>
      <c r="E657" s="46" t="s">
        <v>373</v>
      </c>
      <c r="F657" s="238"/>
      <c r="G657" s="73">
        <f>SUM(G659)</f>
        <v>38000</v>
      </c>
      <c r="H657" s="73" t="e">
        <f>SUM(H658+#REF!)</f>
        <v>#REF!</v>
      </c>
      <c r="I657" s="73" t="e">
        <f t="shared" si="19"/>
        <v>#REF!</v>
      </c>
      <c r="J657" s="242"/>
      <c r="K657" s="242"/>
      <c r="L657" s="242"/>
      <c r="M657" s="73">
        <f>SUM(M659)</f>
        <v>38000</v>
      </c>
    </row>
    <row r="658" spans="1:13" ht="14.25">
      <c r="A658" s="232" t="s">
        <v>374</v>
      </c>
      <c r="B658" s="256"/>
      <c r="C658" s="36" t="s">
        <v>221</v>
      </c>
      <c r="D658" s="46" t="s">
        <v>429</v>
      </c>
      <c r="E658" s="46" t="s">
        <v>375</v>
      </c>
      <c r="F658" s="238"/>
      <c r="G658" s="73">
        <f>SUM(G659)</f>
        <v>38000</v>
      </c>
      <c r="H658" s="73">
        <f>SUM(H659)</f>
        <v>7214.3</v>
      </c>
      <c r="I658" s="73">
        <f t="shared" si="19"/>
        <v>18.985</v>
      </c>
      <c r="J658" s="242"/>
      <c r="K658" s="242"/>
      <c r="L658" s="242"/>
      <c r="M658" s="73">
        <f>SUM(M659)</f>
        <v>38000</v>
      </c>
    </row>
    <row r="659" spans="1:13" ht="15" thickBot="1">
      <c r="A659" s="232" t="s">
        <v>476</v>
      </c>
      <c r="B659" s="256"/>
      <c r="C659" s="36" t="s">
        <v>221</v>
      </c>
      <c r="D659" s="46" t="s">
        <v>429</v>
      </c>
      <c r="E659" s="46" t="s">
        <v>375</v>
      </c>
      <c r="F659" s="238" t="s">
        <v>160</v>
      </c>
      <c r="G659" s="73">
        <v>38000</v>
      </c>
      <c r="H659" s="73">
        <v>7214.3</v>
      </c>
      <c r="I659" s="73">
        <f t="shared" si="19"/>
        <v>18.985</v>
      </c>
      <c r="J659" s="242">
        <f>SUM('ведомствен.2016-2014'!G318)</f>
        <v>38000</v>
      </c>
      <c r="K659" s="242">
        <f>SUM('ведомствен.2016-2014'!H318)</f>
        <v>38000</v>
      </c>
      <c r="L659" s="242">
        <f>SUM(G659-J659)</f>
        <v>0</v>
      </c>
      <c r="M659" s="73">
        <v>38000</v>
      </c>
    </row>
    <row r="660" spans="1:13" ht="15.75" customHeight="1" thickBot="1">
      <c r="A660" s="285" t="s">
        <v>159</v>
      </c>
      <c r="B660" s="286"/>
      <c r="C660" s="287"/>
      <c r="D660" s="288"/>
      <c r="E660" s="288"/>
      <c r="F660" s="289"/>
      <c r="G660" s="82">
        <f>SUM(G14+G89+G120+G161+G242+G253+G346+G419+G466+G619+G655)</f>
        <v>3286204.5</v>
      </c>
      <c r="H660" s="250"/>
      <c r="I660" s="250"/>
      <c r="J660" s="251">
        <f>SUM(J14:J659)</f>
        <v>3286204.5</v>
      </c>
      <c r="K660" s="251">
        <f>SUM(K14:K659)</f>
        <v>3317794.3000000007</v>
      </c>
      <c r="L660" s="251">
        <f>SUM(G660-J660)</f>
        <v>0</v>
      </c>
      <c r="M660" s="82">
        <f>SUM(M14+M89+M120+M161+M242+M253+M346+M419+M466+M619+M655)</f>
        <v>3317794.3</v>
      </c>
    </row>
    <row r="661" spans="7:13" ht="19.5" customHeight="1" hidden="1">
      <c r="G661" s="49">
        <f>SUM(G660-J660)</f>
        <v>0</v>
      </c>
      <c r="J661" s="32">
        <f>SUM('ведомствен.2016-2014'!G837)</f>
        <v>3286204.4999999995</v>
      </c>
      <c r="K661" s="32">
        <f>SUM('ведомствен.2016-2014'!H837)</f>
        <v>3317794.3000000003</v>
      </c>
      <c r="M661" s="33">
        <f>SUM(M660-K660)</f>
        <v>-9.313225746154785E-10</v>
      </c>
    </row>
    <row r="663" spans="10:11" ht="12.75">
      <c r="J663" s="32">
        <f>SUM(J660-J661)</f>
        <v>4.656612873077393E-10</v>
      </c>
      <c r="K663" s="32">
        <f>SUM(K660-K661)</f>
        <v>4.656612873077393E-10</v>
      </c>
    </row>
  </sheetData>
  <sheetProtection/>
  <mergeCells count="1">
    <mergeCell ref="G5:M5"/>
  </mergeCells>
  <printOptions/>
  <pageMargins left="1.1023622047244095" right="0.15748031496062992" top="0.15748031496062992" bottom="0.03937007874015748" header="0.5118110236220472" footer="0.2362204724409449"/>
  <pageSetup fitToHeight="2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2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75.375" style="35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5.375" style="5" customWidth="1"/>
    <col min="8" max="8" width="15.875" style="5" customWidth="1"/>
    <col min="9" max="9" width="11.00390625" style="5" hidden="1" customWidth="1"/>
    <col min="10" max="10" width="5.875" style="0" customWidth="1"/>
    <col min="11" max="11" width="12.375" style="0" hidden="1" customWidth="1"/>
    <col min="12" max="12" width="13.375" style="0" hidden="1" customWidth="1"/>
    <col min="13" max="13" width="9.125" style="0" hidden="1" customWidth="1"/>
  </cols>
  <sheetData>
    <row r="1" spans="6:9" ht="12.75">
      <c r="F1" s="15" t="s">
        <v>454</v>
      </c>
      <c r="G1" s="31"/>
      <c r="H1" s="31"/>
      <c r="I1" s="3"/>
    </row>
    <row r="2" spans="1:9" ht="12.75">
      <c r="A2" s="35" t="s">
        <v>243</v>
      </c>
      <c r="F2" s="4" t="s">
        <v>676</v>
      </c>
      <c r="G2" s="31"/>
      <c r="H2" s="31"/>
      <c r="I2" s="3"/>
    </row>
    <row r="3" spans="6:9" ht="12.75">
      <c r="F3" s="4" t="s">
        <v>263</v>
      </c>
      <c r="G3" s="31"/>
      <c r="H3" s="31"/>
      <c r="I3" s="3"/>
    </row>
    <row r="4" spans="6:9" ht="12.75">
      <c r="F4" s="4" t="s">
        <v>264</v>
      </c>
      <c r="G4" s="31"/>
      <c r="H4" s="31"/>
      <c r="I4" s="3"/>
    </row>
    <row r="5" spans="2:7" ht="12.75">
      <c r="B5" s="44" t="s">
        <v>244</v>
      </c>
      <c r="F5" s="332" t="s">
        <v>678</v>
      </c>
      <c r="G5" s="332"/>
    </row>
    <row r="6" ht="12.75">
      <c r="B6" s="44" t="s">
        <v>245</v>
      </c>
    </row>
    <row r="7" ht="12.75">
      <c r="B7" s="44" t="s">
        <v>666</v>
      </c>
    </row>
    <row r="8" ht="16.5" thickBot="1">
      <c r="B8" s="9"/>
    </row>
    <row r="9" spans="1:9" ht="14.25">
      <c r="A9" s="334" t="s">
        <v>246</v>
      </c>
      <c r="B9" s="102" t="s">
        <v>269</v>
      </c>
      <c r="C9" s="103"/>
      <c r="D9" s="104"/>
      <c r="E9" s="104"/>
      <c r="F9" s="326"/>
      <c r="G9" s="10" t="s">
        <v>270</v>
      </c>
      <c r="H9" s="10" t="s">
        <v>270</v>
      </c>
      <c r="I9" s="10" t="s">
        <v>272</v>
      </c>
    </row>
    <row r="10" spans="1:9" ht="39" thickBot="1">
      <c r="A10" s="335"/>
      <c r="B10" s="105" t="s">
        <v>273</v>
      </c>
      <c r="C10" s="106" t="s">
        <v>274</v>
      </c>
      <c r="D10" s="106" t="s">
        <v>275</v>
      </c>
      <c r="E10" s="106" t="s">
        <v>276</v>
      </c>
      <c r="F10" s="325" t="s">
        <v>578</v>
      </c>
      <c r="G10" s="11" t="s">
        <v>584</v>
      </c>
      <c r="H10" s="11" t="s">
        <v>667</v>
      </c>
      <c r="I10" s="11" t="s">
        <v>427</v>
      </c>
    </row>
    <row r="11" spans="1:11" ht="15.75">
      <c r="A11" s="148" t="s">
        <v>181</v>
      </c>
      <c r="B11" s="153" t="s">
        <v>182</v>
      </c>
      <c r="C11" s="95"/>
      <c r="D11" s="95"/>
      <c r="E11" s="95"/>
      <c r="F11" s="154"/>
      <c r="G11" s="160">
        <f>SUM(G12)</f>
        <v>20440.1</v>
      </c>
      <c r="H11" s="160">
        <f>SUM(H12)</f>
        <v>20440.1</v>
      </c>
      <c r="I11" s="28">
        <f>SUM(H11/G11*100)</f>
        <v>100</v>
      </c>
      <c r="K11" s="33"/>
    </row>
    <row r="12" spans="1:9" ht="15.75">
      <c r="A12" s="51" t="s">
        <v>428</v>
      </c>
      <c r="B12" s="36"/>
      <c r="C12" s="46" t="s">
        <v>429</v>
      </c>
      <c r="D12" s="46"/>
      <c r="E12" s="46"/>
      <c r="F12" s="107"/>
      <c r="G12" s="161">
        <f>SUM(G13+G17+G24)</f>
        <v>20440.1</v>
      </c>
      <c r="H12" s="161">
        <f>SUM(H13+H17+H24)</f>
        <v>20440.1</v>
      </c>
      <c r="I12" s="50"/>
    </row>
    <row r="13" spans="1:9" ht="28.5">
      <c r="A13" s="51" t="s">
        <v>430</v>
      </c>
      <c r="B13" s="36"/>
      <c r="C13" s="46" t="s">
        <v>429</v>
      </c>
      <c r="D13" s="46" t="s">
        <v>431</v>
      </c>
      <c r="E13" s="46"/>
      <c r="F13" s="107"/>
      <c r="G13" s="161">
        <f>SUM(G14)</f>
        <v>1725</v>
      </c>
      <c r="H13" s="161">
        <f>SUM(H14)</f>
        <v>1725</v>
      </c>
      <c r="I13" s="50"/>
    </row>
    <row r="14" spans="1:9" ht="42.75">
      <c r="A14" s="51" t="s">
        <v>91</v>
      </c>
      <c r="B14" s="36"/>
      <c r="C14" s="46" t="s">
        <v>429</v>
      </c>
      <c r="D14" s="46" t="s">
        <v>431</v>
      </c>
      <c r="E14" s="46" t="s">
        <v>92</v>
      </c>
      <c r="F14" s="107"/>
      <c r="G14" s="161">
        <f>SUM(G16)</f>
        <v>1725</v>
      </c>
      <c r="H14" s="161">
        <f>SUM(H16)</f>
        <v>1725</v>
      </c>
      <c r="I14" s="50"/>
    </row>
    <row r="15" spans="1:9" ht="15.75">
      <c r="A15" s="51" t="s">
        <v>93</v>
      </c>
      <c r="B15" s="36"/>
      <c r="C15" s="46" t="s">
        <v>429</v>
      </c>
      <c r="D15" s="46" t="s">
        <v>431</v>
      </c>
      <c r="E15" s="46" t="s">
        <v>94</v>
      </c>
      <c r="F15" s="107"/>
      <c r="G15" s="161">
        <f>SUM(G16)</f>
        <v>1725</v>
      </c>
      <c r="H15" s="161">
        <f>SUM(H16)</f>
        <v>1725</v>
      </c>
      <c r="I15" s="50"/>
    </row>
    <row r="16" spans="1:9" ht="28.5">
      <c r="A16" s="51" t="s">
        <v>461</v>
      </c>
      <c r="B16" s="36"/>
      <c r="C16" s="46" t="s">
        <v>429</v>
      </c>
      <c r="D16" s="46" t="s">
        <v>431</v>
      </c>
      <c r="E16" s="46" t="s">
        <v>94</v>
      </c>
      <c r="F16" s="107" t="s">
        <v>462</v>
      </c>
      <c r="G16" s="161">
        <v>1725</v>
      </c>
      <c r="H16" s="161">
        <v>1725</v>
      </c>
      <c r="I16" s="50"/>
    </row>
    <row r="17" spans="1:9" ht="42.75">
      <c r="A17" s="51" t="s">
        <v>97</v>
      </c>
      <c r="B17" s="36"/>
      <c r="C17" s="46" t="s">
        <v>429</v>
      </c>
      <c r="D17" s="46" t="s">
        <v>98</v>
      </c>
      <c r="E17" s="46"/>
      <c r="F17" s="107"/>
      <c r="G17" s="161">
        <f>SUM(G18)</f>
        <v>11501.1</v>
      </c>
      <c r="H17" s="161">
        <f>SUM(H18)</f>
        <v>11501.1</v>
      </c>
      <c r="I17" s="50"/>
    </row>
    <row r="18" spans="1:9" ht="42.75">
      <c r="A18" s="51" t="s">
        <v>91</v>
      </c>
      <c r="B18" s="36"/>
      <c r="C18" s="46" t="s">
        <v>429</v>
      </c>
      <c r="D18" s="46" t="s">
        <v>98</v>
      </c>
      <c r="E18" s="46" t="s">
        <v>92</v>
      </c>
      <c r="F18" s="108"/>
      <c r="G18" s="161">
        <f>SUM(G19+G22)</f>
        <v>11501.1</v>
      </c>
      <c r="H18" s="161">
        <f>SUM(H19+H22)</f>
        <v>11501.1</v>
      </c>
      <c r="I18" s="50"/>
    </row>
    <row r="19" spans="1:9" ht="15.75">
      <c r="A19" s="51" t="s">
        <v>99</v>
      </c>
      <c r="B19" s="36"/>
      <c r="C19" s="46" t="s">
        <v>100</v>
      </c>
      <c r="D19" s="46" t="s">
        <v>98</v>
      </c>
      <c r="E19" s="46" t="s">
        <v>101</v>
      </c>
      <c r="F19" s="108"/>
      <c r="G19" s="161">
        <f>SUM(G20+G21)</f>
        <v>11501.1</v>
      </c>
      <c r="H19" s="161">
        <f>SUM(H20+H21)</f>
        <v>11501.1</v>
      </c>
      <c r="I19" s="50"/>
    </row>
    <row r="20" spans="1:9" ht="28.5">
      <c r="A20" s="51" t="s">
        <v>461</v>
      </c>
      <c r="B20" s="36"/>
      <c r="C20" s="46" t="s">
        <v>429</v>
      </c>
      <c r="D20" s="46" t="s">
        <v>98</v>
      </c>
      <c r="E20" s="46" t="s">
        <v>101</v>
      </c>
      <c r="F20" s="107" t="s">
        <v>462</v>
      </c>
      <c r="G20" s="161">
        <f>8483.9+823.6+2184</f>
        <v>11491.5</v>
      </c>
      <c r="H20" s="161">
        <f>8483.9+823.6+2184</f>
        <v>11491.5</v>
      </c>
      <c r="I20" s="50"/>
    </row>
    <row r="21" spans="1:9" ht="14.25" customHeight="1">
      <c r="A21" s="51" t="s">
        <v>463</v>
      </c>
      <c r="B21" s="36"/>
      <c r="C21" s="46" t="s">
        <v>429</v>
      </c>
      <c r="D21" s="46" t="s">
        <v>98</v>
      </c>
      <c r="E21" s="46" t="s">
        <v>101</v>
      </c>
      <c r="F21" s="107" t="s">
        <v>112</v>
      </c>
      <c r="G21" s="162">
        <v>9.6</v>
      </c>
      <c r="H21" s="162">
        <v>9.6</v>
      </c>
      <c r="I21" s="50"/>
    </row>
    <row r="22" spans="1:9" ht="15.75" hidden="1">
      <c r="A22" s="51" t="s">
        <v>102</v>
      </c>
      <c r="B22" s="36"/>
      <c r="C22" s="46" t="s">
        <v>100</v>
      </c>
      <c r="D22" s="46" t="s">
        <v>98</v>
      </c>
      <c r="E22" s="46" t="s">
        <v>103</v>
      </c>
      <c r="F22" s="107"/>
      <c r="G22" s="161">
        <f>SUM(G23)</f>
        <v>0</v>
      </c>
      <c r="H22" s="161">
        <f>SUM(H23)</f>
        <v>0</v>
      </c>
      <c r="I22" s="50"/>
    </row>
    <row r="23" spans="1:9" ht="15.75" hidden="1">
      <c r="A23" s="51" t="s">
        <v>95</v>
      </c>
      <c r="B23" s="36"/>
      <c r="C23" s="46" t="s">
        <v>100</v>
      </c>
      <c r="D23" s="46" t="s">
        <v>98</v>
      </c>
      <c r="E23" s="46" t="s">
        <v>103</v>
      </c>
      <c r="F23" s="107" t="s">
        <v>96</v>
      </c>
      <c r="G23" s="161"/>
      <c r="H23" s="161"/>
      <c r="I23" s="50"/>
    </row>
    <row r="24" spans="1:9" ht="15.75">
      <c r="A24" s="51" t="s">
        <v>104</v>
      </c>
      <c r="B24" s="36"/>
      <c r="C24" s="46" t="s">
        <v>429</v>
      </c>
      <c r="D24" s="46" t="s">
        <v>221</v>
      </c>
      <c r="E24" s="46"/>
      <c r="F24" s="108"/>
      <c r="G24" s="161">
        <f>SUM(G25)</f>
        <v>7214</v>
      </c>
      <c r="H24" s="161">
        <f>SUM(H25)</f>
        <v>7214</v>
      </c>
      <c r="I24" s="50"/>
    </row>
    <row r="25" spans="1:9" ht="28.5">
      <c r="A25" s="51" t="s">
        <v>464</v>
      </c>
      <c r="B25" s="36"/>
      <c r="C25" s="46" t="s">
        <v>429</v>
      </c>
      <c r="D25" s="46" t="s">
        <v>221</v>
      </c>
      <c r="E25" s="46" t="s">
        <v>465</v>
      </c>
      <c r="F25" s="108"/>
      <c r="G25" s="161">
        <f>SUM(G26+G29+G31)</f>
        <v>7214</v>
      </c>
      <c r="H25" s="161">
        <f>SUM(H26+H29+H31)</f>
        <v>7214</v>
      </c>
      <c r="I25" s="50"/>
    </row>
    <row r="26" spans="1:9" ht="15">
      <c r="A26" s="51" t="s">
        <v>455</v>
      </c>
      <c r="B26" s="36"/>
      <c r="C26" s="46" t="s">
        <v>429</v>
      </c>
      <c r="D26" s="46" t="s">
        <v>221</v>
      </c>
      <c r="E26" s="46" t="s">
        <v>466</v>
      </c>
      <c r="F26" s="107"/>
      <c r="G26" s="162">
        <f>SUM(G27:G28)</f>
        <v>620.6</v>
      </c>
      <c r="H26" s="162">
        <f>SUM(H27:H28)</f>
        <v>620.6</v>
      </c>
      <c r="I26" s="13">
        <f aca="true" t="shared" si="0" ref="I26:I42">SUM(H26/G26*100)</f>
        <v>100</v>
      </c>
    </row>
    <row r="27" spans="1:9" ht="15">
      <c r="A27" s="51" t="s">
        <v>463</v>
      </c>
      <c r="B27" s="36"/>
      <c r="C27" s="46" t="s">
        <v>429</v>
      </c>
      <c r="D27" s="46" t="s">
        <v>221</v>
      </c>
      <c r="E27" s="46" t="s">
        <v>466</v>
      </c>
      <c r="F27" s="107" t="s">
        <v>112</v>
      </c>
      <c r="G27" s="162">
        <v>576.2</v>
      </c>
      <c r="H27" s="162">
        <v>576.2</v>
      </c>
      <c r="I27" s="13">
        <f t="shared" si="0"/>
        <v>100</v>
      </c>
    </row>
    <row r="28" spans="1:9" ht="15">
      <c r="A28" s="51" t="s">
        <v>467</v>
      </c>
      <c r="B28" s="36"/>
      <c r="C28" s="46" t="s">
        <v>429</v>
      </c>
      <c r="D28" s="46" t="s">
        <v>221</v>
      </c>
      <c r="E28" s="46" t="s">
        <v>466</v>
      </c>
      <c r="F28" s="107" t="s">
        <v>161</v>
      </c>
      <c r="G28" s="162">
        <v>44.4</v>
      </c>
      <c r="H28" s="162">
        <v>44.4</v>
      </c>
      <c r="I28" s="13">
        <f t="shared" si="0"/>
        <v>100</v>
      </c>
    </row>
    <row r="29" spans="1:9" ht="28.5">
      <c r="A29" s="51" t="s">
        <v>456</v>
      </c>
      <c r="B29" s="36"/>
      <c r="C29" s="46" t="s">
        <v>429</v>
      </c>
      <c r="D29" s="46" t="s">
        <v>221</v>
      </c>
      <c r="E29" s="46" t="s">
        <v>468</v>
      </c>
      <c r="F29" s="107"/>
      <c r="G29" s="162">
        <f>SUM(G30)</f>
        <v>403.2</v>
      </c>
      <c r="H29" s="162">
        <f>SUM(H30)</f>
        <v>403.2</v>
      </c>
      <c r="I29" s="13">
        <f t="shared" si="0"/>
        <v>100</v>
      </c>
    </row>
    <row r="30" spans="1:9" ht="15">
      <c r="A30" s="51" t="s">
        <v>463</v>
      </c>
      <c r="B30" s="36"/>
      <c r="C30" s="46" t="s">
        <v>429</v>
      </c>
      <c r="D30" s="46" t="s">
        <v>221</v>
      </c>
      <c r="E30" s="46" t="s">
        <v>468</v>
      </c>
      <c r="F30" s="107" t="s">
        <v>112</v>
      </c>
      <c r="G30" s="162">
        <v>403.2</v>
      </c>
      <c r="H30" s="162">
        <v>403.2</v>
      </c>
      <c r="I30" s="13">
        <f t="shared" si="0"/>
        <v>100</v>
      </c>
    </row>
    <row r="31" spans="1:9" ht="28.5">
      <c r="A31" s="53" t="s">
        <v>469</v>
      </c>
      <c r="B31" s="36"/>
      <c r="C31" s="46" t="s">
        <v>429</v>
      </c>
      <c r="D31" s="46" t="s">
        <v>221</v>
      </c>
      <c r="E31" s="46" t="s">
        <v>470</v>
      </c>
      <c r="F31" s="124"/>
      <c r="G31" s="161">
        <f>SUM(G32:G34)</f>
        <v>6190.2</v>
      </c>
      <c r="H31" s="161">
        <f>SUM(H32:H34)</f>
        <v>6190.2</v>
      </c>
      <c r="I31" s="13">
        <f t="shared" si="0"/>
        <v>100</v>
      </c>
    </row>
    <row r="32" spans="1:9" ht="15">
      <c r="A32" s="51" t="s">
        <v>463</v>
      </c>
      <c r="B32" s="36"/>
      <c r="C32" s="46" t="s">
        <v>429</v>
      </c>
      <c r="D32" s="46" t="s">
        <v>221</v>
      </c>
      <c r="E32" s="46" t="s">
        <v>470</v>
      </c>
      <c r="F32" s="124" t="s">
        <v>112</v>
      </c>
      <c r="G32" s="161">
        <v>5519.3</v>
      </c>
      <c r="H32" s="161">
        <v>5519.3</v>
      </c>
      <c r="I32" s="13">
        <f t="shared" si="0"/>
        <v>100</v>
      </c>
    </row>
    <row r="33" spans="1:9" ht="15">
      <c r="A33" s="51" t="s">
        <v>471</v>
      </c>
      <c r="B33" s="36"/>
      <c r="C33" s="46" t="s">
        <v>429</v>
      </c>
      <c r="D33" s="46" t="s">
        <v>221</v>
      </c>
      <c r="E33" s="46" t="s">
        <v>470</v>
      </c>
      <c r="F33" s="124" t="s">
        <v>472</v>
      </c>
      <c r="G33" s="161">
        <v>667</v>
      </c>
      <c r="H33" s="161">
        <v>667</v>
      </c>
      <c r="I33" s="13">
        <f t="shared" si="0"/>
        <v>100</v>
      </c>
    </row>
    <row r="34" spans="1:9" ht="15">
      <c r="A34" s="51" t="s">
        <v>467</v>
      </c>
      <c r="B34" s="36"/>
      <c r="C34" s="46" t="s">
        <v>429</v>
      </c>
      <c r="D34" s="46" t="s">
        <v>221</v>
      </c>
      <c r="E34" s="46" t="s">
        <v>470</v>
      </c>
      <c r="F34" s="124" t="s">
        <v>161</v>
      </c>
      <c r="G34" s="161">
        <f>2.8+1.1</f>
        <v>3.9</v>
      </c>
      <c r="H34" s="161">
        <f>2.8+1.1</f>
        <v>3.9</v>
      </c>
      <c r="I34" s="13">
        <f t="shared" si="0"/>
        <v>100</v>
      </c>
    </row>
    <row r="35" spans="1:9" ht="15.75">
      <c r="A35" s="149" t="s">
        <v>183</v>
      </c>
      <c r="B35" s="155" t="s">
        <v>184</v>
      </c>
      <c r="C35" s="97"/>
      <c r="D35" s="97"/>
      <c r="E35" s="97"/>
      <c r="F35" s="108"/>
      <c r="G35" s="163">
        <f>SUM(G36)</f>
        <v>6617.7</v>
      </c>
      <c r="H35" s="164">
        <f>SUM(H36)</f>
        <v>6617.7</v>
      </c>
      <c r="I35" s="16">
        <f t="shared" si="0"/>
        <v>100</v>
      </c>
    </row>
    <row r="36" spans="1:9" ht="15">
      <c r="A36" s="51" t="s">
        <v>428</v>
      </c>
      <c r="B36" s="36"/>
      <c r="C36" s="46" t="s">
        <v>429</v>
      </c>
      <c r="D36" s="46"/>
      <c r="E36" s="46"/>
      <c r="F36" s="107"/>
      <c r="G36" s="75">
        <f>SUM(G37)+G44</f>
        <v>6617.7</v>
      </c>
      <c r="H36" s="75">
        <f>SUM(H37)+H44</f>
        <v>6617.7</v>
      </c>
      <c r="I36" s="13">
        <f t="shared" si="0"/>
        <v>100</v>
      </c>
    </row>
    <row r="37" spans="1:9" ht="28.5">
      <c r="A37" s="53" t="s">
        <v>359</v>
      </c>
      <c r="B37" s="36"/>
      <c r="C37" s="46" t="s">
        <v>429</v>
      </c>
      <c r="D37" s="46" t="s">
        <v>360</v>
      </c>
      <c r="E37" s="46"/>
      <c r="F37" s="107"/>
      <c r="G37" s="75">
        <f>SUM(G38)</f>
        <v>5584.9</v>
      </c>
      <c r="H37" s="75">
        <f>SUM(H38)</f>
        <v>5584.9</v>
      </c>
      <c r="I37" s="13">
        <f t="shared" si="0"/>
        <v>100</v>
      </c>
    </row>
    <row r="38" spans="1:9" ht="42.75">
      <c r="A38" s="51" t="s">
        <v>91</v>
      </c>
      <c r="B38" s="36"/>
      <c r="C38" s="46" t="s">
        <v>429</v>
      </c>
      <c r="D38" s="46" t="s">
        <v>360</v>
      </c>
      <c r="E38" s="46" t="s">
        <v>92</v>
      </c>
      <c r="F38" s="108"/>
      <c r="G38" s="75">
        <f>SUM(G39+G42)</f>
        <v>5584.9</v>
      </c>
      <c r="H38" s="75">
        <f>SUM(H39+H42)</f>
        <v>5584.9</v>
      </c>
      <c r="I38" s="13">
        <f t="shared" si="0"/>
        <v>100</v>
      </c>
    </row>
    <row r="39" spans="1:9" ht="15">
      <c r="A39" s="51" t="s">
        <v>99</v>
      </c>
      <c r="B39" s="36"/>
      <c r="C39" s="46" t="s">
        <v>429</v>
      </c>
      <c r="D39" s="46" t="s">
        <v>360</v>
      </c>
      <c r="E39" s="46" t="s">
        <v>101</v>
      </c>
      <c r="F39" s="108"/>
      <c r="G39" s="75">
        <f>SUM(G40)+G41</f>
        <v>3892.9</v>
      </c>
      <c r="H39" s="75">
        <f>SUM(H40)+H41</f>
        <v>3892.9</v>
      </c>
      <c r="I39" s="13">
        <f t="shared" si="0"/>
        <v>100</v>
      </c>
    </row>
    <row r="40" spans="1:9" ht="28.5">
      <c r="A40" s="51" t="s">
        <v>461</v>
      </c>
      <c r="B40" s="36"/>
      <c r="C40" s="46" t="s">
        <v>429</v>
      </c>
      <c r="D40" s="46" t="s">
        <v>360</v>
      </c>
      <c r="E40" s="46" t="s">
        <v>101</v>
      </c>
      <c r="F40" s="107" t="s">
        <v>462</v>
      </c>
      <c r="G40" s="75">
        <v>3886.9</v>
      </c>
      <c r="H40" s="75">
        <v>3886.9</v>
      </c>
      <c r="I40" s="13">
        <f t="shared" si="0"/>
        <v>100</v>
      </c>
    </row>
    <row r="41" spans="1:9" s="14" customFormat="1" ht="15">
      <c r="A41" s="51" t="s">
        <v>463</v>
      </c>
      <c r="B41" s="36"/>
      <c r="C41" s="46" t="s">
        <v>429</v>
      </c>
      <c r="D41" s="46" t="s">
        <v>360</v>
      </c>
      <c r="E41" s="46" t="s">
        <v>101</v>
      </c>
      <c r="F41" s="107" t="s">
        <v>112</v>
      </c>
      <c r="G41" s="167">
        <v>6</v>
      </c>
      <c r="H41" s="167">
        <v>6</v>
      </c>
      <c r="I41" s="13">
        <f t="shared" si="0"/>
        <v>100</v>
      </c>
    </row>
    <row r="42" spans="1:9" s="14" customFormat="1" ht="28.5">
      <c r="A42" s="51" t="s">
        <v>363</v>
      </c>
      <c r="B42" s="36"/>
      <c r="C42" s="46" t="s">
        <v>100</v>
      </c>
      <c r="D42" s="46" t="s">
        <v>360</v>
      </c>
      <c r="E42" s="46" t="s">
        <v>364</v>
      </c>
      <c r="F42" s="124"/>
      <c r="G42" s="75">
        <f>SUM(G43)</f>
        <v>1692</v>
      </c>
      <c r="H42" s="75">
        <f>SUM(H43)</f>
        <v>1692</v>
      </c>
      <c r="I42" s="13">
        <f t="shared" si="0"/>
        <v>100</v>
      </c>
    </row>
    <row r="43" spans="1:9" s="14" customFormat="1" ht="28.5">
      <c r="A43" s="51" t="s">
        <v>461</v>
      </c>
      <c r="B43" s="36"/>
      <c r="C43" s="46" t="s">
        <v>100</v>
      </c>
      <c r="D43" s="46" t="s">
        <v>360</v>
      </c>
      <c r="E43" s="46" t="s">
        <v>364</v>
      </c>
      <c r="F43" s="107" t="s">
        <v>462</v>
      </c>
      <c r="G43" s="75">
        <v>1692</v>
      </c>
      <c r="H43" s="75">
        <v>1692</v>
      </c>
      <c r="I43" s="13"/>
    </row>
    <row r="44" spans="1:9" s="14" customFormat="1" ht="15">
      <c r="A44" s="51" t="s">
        <v>104</v>
      </c>
      <c r="B44" s="36"/>
      <c r="C44" s="46" t="s">
        <v>429</v>
      </c>
      <c r="D44" s="46" t="s">
        <v>221</v>
      </c>
      <c r="E44" s="46"/>
      <c r="F44" s="108"/>
      <c r="G44" s="75">
        <f>SUM(G45)</f>
        <v>1032.8</v>
      </c>
      <c r="H44" s="75">
        <f>SUM(H45)</f>
        <v>1032.8</v>
      </c>
      <c r="I44" s="13"/>
    </row>
    <row r="45" spans="1:9" s="14" customFormat="1" ht="28.5">
      <c r="A45" s="51" t="s">
        <v>464</v>
      </c>
      <c r="B45" s="36"/>
      <c r="C45" s="46" t="s">
        <v>429</v>
      </c>
      <c r="D45" s="46" t="s">
        <v>221</v>
      </c>
      <c r="E45" s="46" t="s">
        <v>465</v>
      </c>
      <c r="F45" s="108"/>
      <c r="G45" s="75">
        <f>SUM(G46+G49+G51)</f>
        <v>1032.8</v>
      </c>
      <c r="H45" s="75">
        <f>SUM(H46+H49+H51)</f>
        <v>1032.8</v>
      </c>
      <c r="I45" s="13"/>
    </row>
    <row r="46" spans="1:9" s="14" customFormat="1" ht="15">
      <c r="A46" s="51" t="s">
        <v>455</v>
      </c>
      <c r="B46" s="36"/>
      <c r="C46" s="46" t="s">
        <v>429</v>
      </c>
      <c r="D46" s="46" t="s">
        <v>221</v>
      </c>
      <c r="E46" s="46" t="s">
        <v>466</v>
      </c>
      <c r="F46" s="107"/>
      <c r="G46" s="167">
        <f>SUM(G47:G48)</f>
        <v>212.8</v>
      </c>
      <c r="H46" s="167">
        <f>SUM(H47:H48)</f>
        <v>212.8</v>
      </c>
      <c r="I46" s="13"/>
    </row>
    <row r="47" spans="1:9" s="14" customFormat="1" ht="15">
      <c r="A47" s="51" t="s">
        <v>463</v>
      </c>
      <c r="B47" s="36"/>
      <c r="C47" s="46" t="s">
        <v>429</v>
      </c>
      <c r="D47" s="46" t="s">
        <v>221</v>
      </c>
      <c r="E47" s="46" t="s">
        <v>466</v>
      </c>
      <c r="F47" s="107" t="s">
        <v>112</v>
      </c>
      <c r="G47" s="167">
        <v>210</v>
      </c>
      <c r="H47" s="167">
        <v>210</v>
      </c>
      <c r="I47" s="13">
        <f>SUM(H47/G47*100)</f>
        <v>100</v>
      </c>
    </row>
    <row r="48" spans="1:9" s="14" customFormat="1" ht="15">
      <c r="A48" s="51" t="s">
        <v>467</v>
      </c>
      <c r="B48" s="36"/>
      <c r="C48" s="46" t="s">
        <v>429</v>
      </c>
      <c r="D48" s="46" t="s">
        <v>221</v>
      </c>
      <c r="E48" s="46" t="s">
        <v>466</v>
      </c>
      <c r="F48" s="107" t="s">
        <v>161</v>
      </c>
      <c r="G48" s="167">
        <v>2.8</v>
      </c>
      <c r="H48" s="167">
        <v>2.8</v>
      </c>
      <c r="I48" s="13"/>
    </row>
    <row r="49" spans="1:9" s="14" customFormat="1" ht="28.5">
      <c r="A49" s="51" t="s">
        <v>456</v>
      </c>
      <c r="B49" s="36"/>
      <c r="C49" s="46" t="s">
        <v>429</v>
      </c>
      <c r="D49" s="46" t="s">
        <v>221</v>
      </c>
      <c r="E49" s="46" t="s">
        <v>468</v>
      </c>
      <c r="F49" s="107"/>
      <c r="G49" s="167">
        <f>SUM(G50)</f>
        <v>228.5</v>
      </c>
      <c r="H49" s="167">
        <f>SUM(H50)</f>
        <v>228.5</v>
      </c>
      <c r="I49" s="13"/>
    </row>
    <row r="50" spans="1:9" s="14" customFormat="1" ht="15">
      <c r="A50" s="51" t="s">
        <v>463</v>
      </c>
      <c r="B50" s="36"/>
      <c r="C50" s="46" t="s">
        <v>429</v>
      </c>
      <c r="D50" s="46" t="s">
        <v>221</v>
      </c>
      <c r="E50" s="46" t="s">
        <v>468</v>
      </c>
      <c r="F50" s="107" t="s">
        <v>112</v>
      </c>
      <c r="G50" s="167">
        <v>228.5</v>
      </c>
      <c r="H50" s="167">
        <v>228.5</v>
      </c>
      <c r="I50" s="13">
        <f>SUM(H50/G50*100)</f>
        <v>100</v>
      </c>
    </row>
    <row r="51" spans="1:9" s="14" customFormat="1" ht="28.5">
      <c r="A51" s="53" t="s">
        <v>469</v>
      </c>
      <c r="B51" s="36"/>
      <c r="C51" s="46" t="s">
        <v>429</v>
      </c>
      <c r="D51" s="46" t="s">
        <v>221</v>
      </c>
      <c r="E51" s="46" t="s">
        <v>470</v>
      </c>
      <c r="F51" s="124"/>
      <c r="G51" s="75">
        <f>SUM(G52:G53)</f>
        <v>591.5</v>
      </c>
      <c r="H51" s="75">
        <f>SUM(H52:H53)</f>
        <v>591.5</v>
      </c>
      <c r="I51" s="13"/>
    </row>
    <row r="52" spans="1:9" s="14" customFormat="1" ht="15">
      <c r="A52" s="51" t="s">
        <v>463</v>
      </c>
      <c r="B52" s="36"/>
      <c r="C52" s="46" t="s">
        <v>429</v>
      </c>
      <c r="D52" s="46" t="s">
        <v>221</v>
      </c>
      <c r="E52" s="46" t="s">
        <v>470</v>
      </c>
      <c r="F52" s="124" t="s">
        <v>112</v>
      </c>
      <c r="G52" s="75">
        <v>584</v>
      </c>
      <c r="H52" s="75">
        <v>584</v>
      </c>
      <c r="I52" s="13"/>
    </row>
    <row r="53" spans="1:9" s="14" customFormat="1" ht="15">
      <c r="A53" s="51" t="s">
        <v>467</v>
      </c>
      <c r="B53" s="36"/>
      <c r="C53" s="46" t="s">
        <v>429</v>
      </c>
      <c r="D53" s="46" t="s">
        <v>221</v>
      </c>
      <c r="E53" s="46" t="s">
        <v>470</v>
      </c>
      <c r="F53" s="124" t="s">
        <v>161</v>
      </c>
      <c r="G53" s="75">
        <v>7.5</v>
      </c>
      <c r="H53" s="75">
        <v>7.5</v>
      </c>
      <c r="I53" s="13"/>
    </row>
    <row r="54" spans="1:9" ht="15.75">
      <c r="A54" s="58" t="s">
        <v>185</v>
      </c>
      <c r="B54" s="128" t="s">
        <v>186</v>
      </c>
      <c r="C54" s="98"/>
      <c r="D54" s="98"/>
      <c r="E54" s="98"/>
      <c r="F54" s="129"/>
      <c r="G54" s="165">
        <f>SUM(G55+G102+G135+G172+G255+G265+G270+G281)</f>
        <v>367294.1</v>
      </c>
      <c r="H54" s="165">
        <f>SUM(H55+H102+H135+H172+H255+H265+H270+H281)</f>
        <v>370598.30000000005</v>
      </c>
      <c r="I54" s="16">
        <f aca="true" t="shared" si="1" ref="I54:I75">SUM(H54/G54*100)</f>
        <v>100.89960606500352</v>
      </c>
    </row>
    <row r="55" spans="1:9" ht="15">
      <c r="A55" s="51" t="s">
        <v>428</v>
      </c>
      <c r="B55" s="36"/>
      <c r="C55" s="46" t="s">
        <v>429</v>
      </c>
      <c r="D55" s="46"/>
      <c r="E55" s="46"/>
      <c r="F55" s="107"/>
      <c r="G55" s="75">
        <f>SUM(G56+G79+G75)</f>
        <v>137935.3</v>
      </c>
      <c r="H55" s="75">
        <f>SUM(H56+H79+H75)</f>
        <v>137902.5</v>
      </c>
      <c r="I55" s="13">
        <f t="shared" si="1"/>
        <v>99.97622073537377</v>
      </c>
    </row>
    <row r="56" spans="1:9" ht="28.5">
      <c r="A56" s="51" t="s">
        <v>248</v>
      </c>
      <c r="B56" s="36"/>
      <c r="C56" s="46" t="s">
        <v>429</v>
      </c>
      <c r="D56" s="46" t="s">
        <v>114</v>
      </c>
      <c r="E56" s="46"/>
      <c r="F56" s="107"/>
      <c r="G56" s="75">
        <f>SUM(G57)</f>
        <v>96567.19999999998</v>
      </c>
      <c r="H56" s="75">
        <f>SUM(H57)</f>
        <v>96567.19999999998</v>
      </c>
      <c r="I56" s="13">
        <f t="shared" si="1"/>
        <v>100</v>
      </c>
    </row>
    <row r="57" spans="1:9" ht="42.75">
      <c r="A57" s="51" t="s">
        <v>91</v>
      </c>
      <c r="B57" s="36"/>
      <c r="C57" s="46" t="s">
        <v>429</v>
      </c>
      <c r="D57" s="46" t="s">
        <v>114</v>
      </c>
      <c r="E57" s="46" t="s">
        <v>92</v>
      </c>
      <c r="F57" s="108"/>
      <c r="G57" s="75">
        <f>SUM(G58+G73+G61+G64+G67+G70)</f>
        <v>96567.19999999998</v>
      </c>
      <c r="H57" s="75">
        <f>SUM(H58+H73+H61+H64+H67+H70)</f>
        <v>96567.19999999998</v>
      </c>
      <c r="I57" s="13">
        <f t="shared" si="1"/>
        <v>100</v>
      </c>
    </row>
    <row r="58" spans="1:9" ht="15">
      <c r="A58" s="51" t="s">
        <v>99</v>
      </c>
      <c r="B58" s="36"/>
      <c r="C58" s="46" t="s">
        <v>429</v>
      </c>
      <c r="D58" s="46" t="s">
        <v>114</v>
      </c>
      <c r="E58" s="46" t="s">
        <v>101</v>
      </c>
      <c r="F58" s="108"/>
      <c r="G58" s="75">
        <f>SUM(G59+G60)</f>
        <v>93257.59999999999</v>
      </c>
      <c r="H58" s="75">
        <f>SUM(H59+H60)</f>
        <v>93257.59999999999</v>
      </c>
      <c r="I58" s="13">
        <f t="shared" si="1"/>
        <v>100</v>
      </c>
    </row>
    <row r="59" spans="1:9" ht="28.5">
      <c r="A59" s="51" t="s">
        <v>461</v>
      </c>
      <c r="B59" s="36"/>
      <c r="C59" s="46" t="s">
        <v>429</v>
      </c>
      <c r="D59" s="46" t="s">
        <v>114</v>
      </c>
      <c r="E59" s="46" t="s">
        <v>101</v>
      </c>
      <c r="F59" s="107" t="s">
        <v>462</v>
      </c>
      <c r="G59" s="75">
        <v>93161.4</v>
      </c>
      <c r="H59" s="75">
        <v>93161.4</v>
      </c>
      <c r="I59" s="13">
        <f t="shared" si="1"/>
        <v>100</v>
      </c>
    </row>
    <row r="60" spans="1:9" ht="15">
      <c r="A60" s="51" t="s">
        <v>463</v>
      </c>
      <c r="B60" s="36"/>
      <c r="C60" s="46" t="s">
        <v>429</v>
      </c>
      <c r="D60" s="46" t="s">
        <v>114</v>
      </c>
      <c r="E60" s="46" t="s">
        <v>101</v>
      </c>
      <c r="F60" s="107" t="s">
        <v>112</v>
      </c>
      <c r="G60" s="167">
        <v>96.2</v>
      </c>
      <c r="H60" s="167">
        <v>96.2</v>
      </c>
      <c r="I60" s="13">
        <f t="shared" si="1"/>
        <v>100</v>
      </c>
    </row>
    <row r="61" spans="1:9" ht="28.5">
      <c r="A61" s="51" t="s">
        <v>119</v>
      </c>
      <c r="B61" s="36"/>
      <c r="C61" s="46" t="s">
        <v>429</v>
      </c>
      <c r="D61" s="46" t="s">
        <v>114</v>
      </c>
      <c r="E61" s="46" t="s">
        <v>120</v>
      </c>
      <c r="F61" s="107"/>
      <c r="G61" s="75">
        <f>SUM(G62:G63)</f>
        <v>1392.3999999999999</v>
      </c>
      <c r="H61" s="75">
        <f>SUM(H62:H63)</f>
        <v>1392.3999999999999</v>
      </c>
      <c r="I61" s="13">
        <f t="shared" si="1"/>
        <v>100</v>
      </c>
    </row>
    <row r="62" spans="1:9" ht="28.5">
      <c r="A62" s="51" t="s">
        <v>461</v>
      </c>
      <c r="B62" s="36"/>
      <c r="C62" s="46" t="s">
        <v>429</v>
      </c>
      <c r="D62" s="46" t="s">
        <v>114</v>
      </c>
      <c r="E62" s="46" t="s">
        <v>120</v>
      </c>
      <c r="F62" s="107" t="s">
        <v>462</v>
      </c>
      <c r="G62" s="75">
        <v>1368.8</v>
      </c>
      <c r="H62" s="75">
        <v>1368.8</v>
      </c>
      <c r="I62" s="13">
        <f t="shared" si="1"/>
        <v>100</v>
      </c>
    </row>
    <row r="63" spans="1:9" ht="15">
      <c r="A63" s="51" t="s">
        <v>463</v>
      </c>
      <c r="B63" s="36"/>
      <c r="C63" s="46" t="s">
        <v>429</v>
      </c>
      <c r="D63" s="46" t="s">
        <v>114</v>
      </c>
      <c r="E63" s="46" t="s">
        <v>120</v>
      </c>
      <c r="F63" s="107" t="s">
        <v>112</v>
      </c>
      <c r="G63" s="167">
        <v>23.6</v>
      </c>
      <c r="H63" s="167">
        <v>23.6</v>
      </c>
      <c r="I63" s="13"/>
    </row>
    <row r="64" spans="1:9" ht="42.75">
      <c r="A64" s="51" t="s">
        <v>353</v>
      </c>
      <c r="B64" s="36"/>
      <c r="C64" s="46" t="s">
        <v>429</v>
      </c>
      <c r="D64" s="46" t="s">
        <v>114</v>
      </c>
      <c r="E64" s="46" t="s">
        <v>354</v>
      </c>
      <c r="F64" s="107"/>
      <c r="G64" s="75">
        <f>SUM(G65:G66)</f>
        <v>93.8</v>
      </c>
      <c r="H64" s="75">
        <f>SUM(H65:H66)</f>
        <v>93.8</v>
      </c>
      <c r="I64" s="13">
        <f>SUM(H64/G64*100)</f>
        <v>100</v>
      </c>
    </row>
    <row r="65" spans="1:9" ht="28.5">
      <c r="A65" s="51" t="s">
        <v>461</v>
      </c>
      <c r="B65" s="36"/>
      <c r="C65" s="46" t="s">
        <v>429</v>
      </c>
      <c r="D65" s="46" t="s">
        <v>114</v>
      </c>
      <c r="E65" s="46" t="s">
        <v>354</v>
      </c>
      <c r="F65" s="107" t="s">
        <v>462</v>
      </c>
      <c r="G65" s="75">
        <v>72.3</v>
      </c>
      <c r="H65" s="75">
        <v>72.3</v>
      </c>
      <c r="I65" s="13"/>
    </row>
    <row r="66" spans="1:9" s="15" customFormat="1" ht="15">
      <c r="A66" s="51" t="s">
        <v>463</v>
      </c>
      <c r="B66" s="36"/>
      <c r="C66" s="46" t="s">
        <v>429</v>
      </c>
      <c r="D66" s="46" t="s">
        <v>114</v>
      </c>
      <c r="E66" s="46" t="s">
        <v>354</v>
      </c>
      <c r="F66" s="107" t="s">
        <v>112</v>
      </c>
      <c r="G66" s="167">
        <v>21.5</v>
      </c>
      <c r="H66" s="167">
        <v>21.5</v>
      </c>
      <c r="I66" s="13">
        <f>SUM(H66/G66*100)</f>
        <v>100</v>
      </c>
    </row>
    <row r="67" spans="1:9" s="15" customFormat="1" ht="28.5">
      <c r="A67" s="52" t="s">
        <v>51</v>
      </c>
      <c r="B67" s="47"/>
      <c r="C67" s="97" t="s">
        <v>429</v>
      </c>
      <c r="D67" s="97" t="s">
        <v>114</v>
      </c>
      <c r="E67" s="97" t="s">
        <v>52</v>
      </c>
      <c r="F67" s="108"/>
      <c r="G67" s="75">
        <f>SUM(G68:G69)</f>
        <v>179.2</v>
      </c>
      <c r="H67" s="75">
        <f>SUM(H68:H69)</f>
        <v>179.2</v>
      </c>
      <c r="I67" s="13"/>
    </row>
    <row r="68" spans="1:9" s="15" customFormat="1" ht="28.5">
      <c r="A68" s="51" t="s">
        <v>461</v>
      </c>
      <c r="B68" s="36"/>
      <c r="C68" s="46" t="s">
        <v>429</v>
      </c>
      <c r="D68" s="46" t="s">
        <v>114</v>
      </c>
      <c r="E68" s="97" t="s">
        <v>52</v>
      </c>
      <c r="F68" s="107" t="s">
        <v>462</v>
      </c>
      <c r="G68" s="75">
        <v>140</v>
      </c>
      <c r="H68" s="75">
        <v>140</v>
      </c>
      <c r="I68" s="13"/>
    </row>
    <row r="69" spans="1:9" s="15" customFormat="1" ht="15">
      <c r="A69" s="51" t="s">
        <v>463</v>
      </c>
      <c r="B69" s="36"/>
      <c r="C69" s="46" t="s">
        <v>429</v>
      </c>
      <c r="D69" s="46" t="s">
        <v>114</v>
      </c>
      <c r="E69" s="97" t="s">
        <v>52</v>
      </c>
      <c r="F69" s="107" t="s">
        <v>112</v>
      </c>
      <c r="G69" s="167">
        <v>39.2</v>
      </c>
      <c r="H69" s="167">
        <v>39.2</v>
      </c>
      <c r="I69" s="13"/>
    </row>
    <row r="70" spans="1:9" s="14" customFormat="1" ht="28.5">
      <c r="A70" s="52" t="s">
        <v>140</v>
      </c>
      <c r="B70" s="47"/>
      <c r="C70" s="97" t="s">
        <v>429</v>
      </c>
      <c r="D70" s="97" t="s">
        <v>114</v>
      </c>
      <c r="E70" s="97" t="s">
        <v>141</v>
      </c>
      <c r="F70" s="108"/>
      <c r="G70" s="75">
        <f>SUM(G71:G72)</f>
        <v>357.70000000000005</v>
      </c>
      <c r="H70" s="75">
        <f>SUM(H71:H72)</f>
        <v>357.70000000000005</v>
      </c>
      <c r="I70" s="13">
        <f t="shared" si="1"/>
        <v>100</v>
      </c>
    </row>
    <row r="71" spans="1:9" s="14" customFormat="1" ht="28.5">
      <c r="A71" s="51" t="s">
        <v>461</v>
      </c>
      <c r="B71" s="36"/>
      <c r="C71" s="46" t="s">
        <v>429</v>
      </c>
      <c r="D71" s="46" t="s">
        <v>114</v>
      </c>
      <c r="E71" s="97" t="s">
        <v>141</v>
      </c>
      <c r="F71" s="107" t="s">
        <v>462</v>
      </c>
      <c r="G71" s="75">
        <v>288.8</v>
      </c>
      <c r="H71" s="75">
        <v>288.8</v>
      </c>
      <c r="I71" s="13">
        <f t="shared" si="1"/>
        <v>100</v>
      </c>
    </row>
    <row r="72" spans="1:9" s="14" customFormat="1" ht="15">
      <c r="A72" s="51" t="s">
        <v>463</v>
      </c>
      <c r="B72" s="36"/>
      <c r="C72" s="46" t="s">
        <v>429</v>
      </c>
      <c r="D72" s="46" t="s">
        <v>114</v>
      </c>
      <c r="E72" s="97" t="s">
        <v>141</v>
      </c>
      <c r="F72" s="107" t="s">
        <v>112</v>
      </c>
      <c r="G72" s="167">
        <v>68.9</v>
      </c>
      <c r="H72" s="167">
        <v>68.9</v>
      </c>
      <c r="I72" s="13">
        <f t="shared" si="1"/>
        <v>100</v>
      </c>
    </row>
    <row r="73" spans="1:9" s="14" customFormat="1" ht="28.5">
      <c r="A73" s="51" t="s">
        <v>355</v>
      </c>
      <c r="B73" s="36"/>
      <c r="C73" s="46" t="s">
        <v>100</v>
      </c>
      <c r="D73" s="46" t="s">
        <v>114</v>
      </c>
      <c r="E73" s="46" t="s">
        <v>356</v>
      </c>
      <c r="F73" s="108"/>
      <c r="G73" s="75">
        <f>SUM(G74)</f>
        <v>1286.5</v>
      </c>
      <c r="H73" s="75">
        <f>SUM(H74)</f>
        <v>1286.5</v>
      </c>
      <c r="I73" s="13">
        <f t="shared" si="1"/>
        <v>100</v>
      </c>
    </row>
    <row r="74" spans="1:9" s="14" customFormat="1" ht="28.5">
      <c r="A74" s="51" t="s">
        <v>461</v>
      </c>
      <c r="B74" s="36"/>
      <c r="C74" s="46" t="s">
        <v>429</v>
      </c>
      <c r="D74" s="46" t="s">
        <v>114</v>
      </c>
      <c r="E74" s="46" t="s">
        <v>356</v>
      </c>
      <c r="F74" s="107" t="s">
        <v>462</v>
      </c>
      <c r="G74" s="75">
        <v>1286.5</v>
      </c>
      <c r="H74" s="75">
        <v>1286.5</v>
      </c>
      <c r="I74" s="13">
        <f t="shared" si="1"/>
        <v>100</v>
      </c>
    </row>
    <row r="75" spans="1:9" s="14" customFormat="1" ht="15">
      <c r="A75" s="51" t="s">
        <v>123</v>
      </c>
      <c r="B75" s="36"/>
      <c r="C75" s="46" t="s">
        <v>429</v>
      </c>
      <c r="D75" s="46" t="s">
        <v>124</v>
      </c>
      <c r="E75" s="46"/>
      <c r="F75" s="108"/>
      <c r="G75" s="75">
        <f aca="true" t="shared" si="2" ref="G75:H77">SUM(G76)</f>
        <v>32.8</v>
      </c>
      <c r="H75" s="75">
        <f t="shared" si="2"/>
        <v>0</v>
      </c>
      <c r="I75" s="13">
        <f t="shared" si="1"/>
        <v>0</v>
      </c>
    </row>
    <row r="76" spans="1:9" s="14" customFormat="1" ht="15">
      <c r="A76" s="52" t="s">
        <v>379</v>
      </c>
      <c r="B76" s="111"/>
      <c r="C76" s="101" t="s">
        <v>429</v>
      </c>
      <c r="D76" s="101" t="s">
        <v>124</v>
      </c>
      <c r="E76" s="101" t="s">
        <v>380</v>
      </c>
      <c r="F76" s="112"/>
      <c r="G76" s="75">
        <f t="shared" si="2"/>
        <v>32.8</v>
      </c>
      <c r="H76" s="75">
        <f t="shared" si="2"/>
        <v>0</v>
      </c>
      <c r="I76" s="13" t="e">
        <f>SUM(H76/#REF!*100)</f>
        <v>#REF!</v>
      </c>
    </row>
    <row r="77" spans="1:9" s="14" customFormat="1" ht="42.75">
      <c r="A77" s="52" t="s">
        <v>546</v>
      </c>
      <c r="B77" s="111"/>
      <c r="C77" s="101" t="s">
        <v>429</v>
      </c>
      <c r="D77" s="101" t="s">
        <v>124</v>
      </c>
      <c r="E77" s="101" t="s">
        <v>547</v>
      </c>
      <c r="F77" s="112"/>
      <c r="G77" s="75">
        <f t="shared" si="2"/>
        <v>32.8</v>
      </c>
      <c r="H77" s="75">
        <f t="shared" si="2"/>
        <v>0</v>
      </c>
      <c r="I77" s="13" t="e">
        <f>SUM(H77/#REF!*100)</f>
        <v>#REF!</v>
      </c>
    </row>
    <row r="78" spans="1:9" ht="15">
      <c r="A78" s="52" t="s">
        <v>463</v>
      </c>
      <c r="B78" s="111"/>
      <c r="C78" s="101" t="s">
        <v>429</v>
      </c>
      <c r="D78" s="101" t="s">
        <v>124</v>
      </c>
      <c r="E78" s="101" t="s">
        <v>547</v>
      </c>
      <c r="F78" s="112" t="s">
        <v>112</v>
      </c>
      <c r="G78" s="168">
        <v>32.8</v>
      </c>
      <c r="H78" s="168"/>
      <c r="I78" s="13">
        <f>SUM(H78/G79*100)</f>
        <v>0</v>
      </c>
    </row>
    <row r="79" spans="1:9" ht="15">
      <c r="A79" s="51" t="s">
        <v>104</v>
      </c>
      <c r="B79" s="36"/>
      <c r="C79" s="46" t="s">
        <v>429</v>
      </c>
      <c r="D79" s="46" t="s">
        <v>221</v>
      </c>
      <c r="E79" s="46"/>
      <c r="F79" s="108"/>
      <c r="G79" s="75">
        <f>SUM(G80+G92)+G99</f>
        <v>41335.3</v>
      </c>
      <c r="H79" s="75">
        <f>SUM(H80+H92)+H99</f>
        <v>41335.3</v>
      </c>
      <c r="I79" s="13">
        <f aca="true" t="shared" si="3" ref="I79:I95">SUM(H79/G82*100)</f>
        <v>1131.0175937833476</v>
      </c>
    </row>
    <row r="80" spans="1:9" ht="28.5">
      <c r="A80" s="52" t="s">
        <v>464</v>
      </c>
      <c r="B80" s="109"/>
      <c r="C80" s="101" t="s">
        <v>429</v>
      </c>
      <c r="D80" s="101" t="s">
        <v>221</v>
      </c>
      <c r="E80" s="101" t="s">
        <v>465</v>
      </c>
      <c r="F80" s="110"/>
      <c r="G80" s="169">
        <f>G81+G84+G86+G89</f>
        <v>38421.5</v>
      </c>
      <c r="H80" s="169">
        <f>H81+H84+H86+H89</f>
        <v>38421.5</v>
      </c>
      <c r="I80" s="13">
        <f t="shared" si="3"/>
        <v>54809.55777460771</v>
      </c>
    </row>
    <row r="81" spans="1:9" ht="15">
      <c r="A81" s="52" t="s">
        <v>455</v>
      </c>
      <c r="B81" s="111"/>
      <c r="C81" s="101" t="s">
        <v>429</v>
      </c>
      <c r="D81" s="101" t="s">
        <v>221</v>
      </c>
      <c r="E81" s="101" t="s">
        <v>466</v>
      </c>
      <c r="F81" s="112"/>
      <c r="G81" s="169">
        <f>G82+G83</f>
        <v>3724.7999999999997</v>
      </c>
      <c r="H81" s="169">
        <f>H82+H83</f>
        <v>3724.7999999999997</v>
      </c>
      <c r="I81" s="13">
        <f t="shared" si="3"/>
        <v>38.23641123030334</v>
      </c>
    </row>
    <row r="82" spans="1:9" ht="15">
      <c r="A82" s="52" t="s">
        <v>463</v>
      </c>
      <c r="B82" s="111"/>
      <c r="C82" s="101" t="s">
        <v>429</v>
      </c>
      <c r="D82" s="101" t="s">
        <v>221</v>
      </c>
      <c r="E82" s="101" t="s">
        <v>466</v>
      </c>
      <c r="F82" s="112" t="s">
        <v>112</v>
      </c>
      <c r="G82" s="169">
        <v>3654.7</v>
      </c>
      <c r="H82" s="169">
        <v>3654.7</v>
      </c>
      <c r="I82" s="13">
        <f t="shared" si="3"/>
        <v>37.51680952625365</v>
      </c>
    </row>
    <row r="83" spans="1:9" ht="15">
      <c r="A83" s="52" t="s">
        <v>467</v>
      </c>
      <c r="B83" s="111"/>
      <c r="C83" s="101" t="s">
        <v>429</v>
      </c>
      <c r="D83" s="101" t="s">
        <v>221</v>
      </c>
      <c r="E83" s="101" t="s">
        <v>466</v>
      </c>
      <c r="F83" s="112" t="s">
        <v>161</v>
      </c>
      <c r="G83" s="169">
        <v>70.1</v>
      </c>
      <c r="H83" s="169">
        <v>70.1</v>
      </c>
      <c r="I83" s="13">
        <f t="shared" si="3"/>
        <v>0.5154601272105591</v>
      </c>
    </row>
    <row r="84" spans="1:9" ht="28.5">
      <c r="A84" s="52" t="s">
        <v>456</v>
      </c>
      <c r="B84" s="111"/>
      <c r="C84" s="101" t="s">
        <v>429</v>
      </c>
      <c r="D84" s="101" t="s">
        <v>221</v>
      </c>
      <c r="E84" s="101" t="s">
        <v>468</v>
      </c>
      <c r="F84" s="112"/>
      <c r="G84" s="169">
        <f>SUM(G85)</f>
        <v>9741.5</v>
      </c>
      <c r="H84" s="169">
        <f>SUM(H85)</f>
        <v>9741.5</v>
      </c>
      <c r="I84" s="13">
        <f t="shared" si="3"/>
        <v>71.89564190560537</v>
      </c>
    </row>
    <row r="85" spans="1:9" ht="15">
      <c r="A85" s="52" t="s">
        <v>463</v>
      </c>
      <c r="B85" s="111"/>
      <c r="C85" s="101" t="s">
        <v>429</v>
      </c>
      <c r="D85" s="101" t="s">
        <v>221</v>
      </c>
      <c r="E85" s="101" t="s">
        <v>468</v>
      </c>
      <c r="F85" s="112" t="s">
        <v>112</v>
      </c>
      <c r="G85" s="169">
        <v>9741.5</v>
      </c>
      <c r="H85" s="169">
        <v>9741.5</v>
      </c>
      <c r="I85" s="13">
        <f>SUM(H85/G89*100)</f>
        <v>85.78511232244598</v>
      </c>
    </row>
    <row r="86" spans="1:9" ht="28.5">
      <c r="A86" s="52" t="s">
        <v>481</v>
      </c>
      <c r="B86" s="111"/>
      <c r="C86" s="101" t="s">
        <v>429</v>
      </c>
      <c r="D86" s="101" t="s">
        <v>221</v>
      </c>
      <c r="E86" s="101" t="s">
        <v>482</v>
      </c>
      <c r="F86" s="112"/>
      <c r="G86" s="169">
        <f>SUM(G87:G88)</f>
        <v>13599.5</v>
      </c>
      <c r="H86" s="169">
        <f>SUM(H87:H88)</f>
        <v>13599.5</v>
      </c>
      <c r="I86" s="13">
        <f>SUM(H86/G90*100)</f>
        <v>155.56508808053078</v>
      </c>
    </row>
    <row r="87" spans="1:9" ht="15">
      <c r="A87" s="52" t="s">
        <v>463</v>
      </c>
      <c r="B87" s="111"/>
      <c r="C87" s="101" t="s">
        <v>429</v>
      </c>
      <c r="D87" s="101" t="s">
        <v>221</v>
      </c>
      <c r="E87" s="101" t="s">
        <v>482</v>
      </c>
      <c r="F87" s="112" t="s">
        <v>112</v>
      </c>
      <c r="G87" s="169">
        <v>13549.5</v>
      </c>
      <c r="H87" s="169">
        <v>13549.5</v>
      </c>
      <c r="I87" s="13">
        <f>SUM(H87/G91*100)</f>
        <v>518.4030301870911</v>
      </c>
    </row>
    <row r="88" spans="1:9" ht="15">
      <c r="A88" s="52" t="s">
        <v>467</v>
      </c>
      <c r="B88" s="111"/>
      <c r="C88" s="101" t="s">
        <v>429</v>
      </c>
      <c r="D88" s="101" t="s">
        <v>221</v>
      </c>
      <c r="E88" s="101" t="s">
        <v>482</v>
      </c>
      <c r="F88" s="112" t="s">
        <v>161</v>
      </c>
      <c r="G88" s="169">
        <v>50</v>
      </c>
      <c r="H88" s="169">
        <v>50</v>
      </c>
      <c r="I88" s="13"/>
    </row>
    <row r="89" spans="1:9" ht="28.5">
      <c r="A89" s="52" t="s">
        <v>469</v>
      </c>
      <c r="B89" s="111"/>
      <c r="C89" s="101" t="s">
        <v>429</v>
      </c>
      <c r="D89" s="101" t="s">
        <v>221</v>
      </c>
      <c r="E89" s="101" t="s">
        <v>470</v>
      </c>
      <c r="F89" s="112"/>
      <c r="G89" s="169">
        <f>G90+G91</f>
        <v>11355.7</v>
      </c>
      <c r="H89" s="169">
        <f>H90+H91</f>
        <v>11355.7</v>
      </c>
      <c r="I89" s="13">
        <f t="shared" si="3"/>
        <v>403.57168242234695</v>
      </c>
    </row>
    <row r="90" spans="1:9" ht="15">
      <c r="A90" s="52" t="s">
        <v>463</v>
      </c>
      <c r="B90" s="111"/>
      <c r="C90" s="101" t="s">
        <v>429</v>
      </c>
      <c r="D90" s="101" t="s">
        <v>221</v>
      </c>
      <c r="E90" s="101" t="s">
        <v>470</v>
      </c>
      <c r="F90" s="112" t="s">
        <v>112</v>
      </c>
      <c r="G90" s="169">
        <v>8742</v>
      </c>
      <c r="H90" s="169">
        <v>8742</v>
      </c>
      <c r="I90" s="13">
        <f t="shared" si="3"/>
        <v>310.6830620513185</v>
      </c>
    </row>
    <row r="91" spans="1:9" ht="15">
      <c r="A91" s="52" t="s">
        <v>467</v>
      </c>
      <c r="B91" s="111"/>
      <c r="C91" s="101" t="s">
        <v>429</v>
      </c>
      <c r="D91" s="101" t="s">
        <v>221</v>
      </c>
      <c r="E91" s="101" t="s">
        <v>470</v>
      </c>
      <c r="F91" s="112" t="s">
        <v>161</v>
      </c>
      <c r="G91" s="169">
        <v>2613.7</v>
      </c>
      <c r="H91" s="169">
        <v>2613.7</v>
      </c>
      <c r="I91" s="13">
        <f t="shared" si="3"/>
        <v>109.8054867033567</v>
      </c>
    </row>
    <row r="92" spans="1:9" ht="28.5">
      <c r="A92" s="52" t="s">
        <v>483</v>
      </c>
      <c r="B92" s="111"/>
      <c r="C92" s="101" t="s">
        <v>429</v>
      </c>
      <c r="D92" s="101" t="s">
        <v>221</v>
      </c>
      <c r="E92" s="101" t="s">
        <v>129</v>
      </c>
      <c r="F92" s="112"/>
      <c r="G92" s="169">
        <f>G93</f>
        <v>2813.8</v>
      </c>
      <c r="H92" s="169">
        <f>H93</f>
        <v>2813.8</v>
      </c>
      <c r="I92" s="13">
        <f t="shared" si="3"/>
        <v>118.21199008528336</v>
      </c>
    </row>
    <row r="93" spans="1:9" ht="15">
      <c r="A93" s="52" t="s">
        <v>11</v>
      </c>
      <c r="B93" s="111"/>
      <c r="C93" s="101" t="s">
        <v>429</v>
      </c>
      <c r="D93" s="101" t="s">
        <v>221</v>
      </c>
      <c r="E93" s="101" t="s">
        <v>188</v>
      </c>
      <c r="F93" s="112"/>
      <c r="G93" s="169">
        <f>G94+G96</f>
        <v>2813.8</v>
      </c>
      <c r="H93" s="169">
        <f>H94+H96</f>
        <v>2813.8</v>
      </c>
      <c r="I93" s="13">
        <f t="shared" si="3"/>
        <v>649.0888119953864</v>
      </c>
    </row>
    <row r="94" spans="1:9" ht="28.5">
      <c r="A94" s="83" t="s">
        <v>580</v>
      </c>
      <c r="B94" s="111"/>
      <c r="C94" s="101" t="s">
        <v>429</v>
      </c>
      <c r="D94" s="101" t="s">
        <v>221</v>
      </c>
      <c r="E94" s="101" t="s">
        <v>190</v>
      </c>
      <c r="F94" s="112"/>
      <c r="G94" s="169">
        <f>SUM(G95)</f>
        <v>2380.3</v>
      </c>
      <c r="H94" s="169">
        <f>SUM(H95)</f>
        <v>2380.3</v>
      </c>
      <c r="I94" s="13">
        <f t="shared" si="3"/>
        <v>549.0888119953864</v>
      </c>
    </row>
    <row r="95" spans="1:9" ht="28.5">
      <c r="A95" s="52" t="s">
        <v>484</v>
      </c>
      <c r="B95" s="111"/>
      <c r="C95" s="101" t="s">
        <v>429</v>
      </c>
      <c r="D95" s="101" t="s">
        <v>221</v>
      </c>
      <c r="E95" s="101" t="s">
        <v>190</v>
      </c>
      <c r="F95" s="112" t="s">
        <v>477</v>
      </c>
      <c r="G95" s="169">
        <v>2380.3</v>
      </c>
      <c r="H95" s="169">
        <v>2380.3</v>
      </c>
      <c r="I95" s="13">
        <f t="shared" si="3"/>
        <v>549.0888119953864</v>
      </c>
    </row>
    <row r="96" spans="1:9" ht="15">
      <c r="A96" s="51" t="s">
        <v>151</v>
      </c>
      <c r="B96" s="111"/>
      <c r="C96" s="101" t="s">
        <v>429</v>
      </c>
      <c r="D96" s="101" t="s">
        <v>221</v>
      </c>
      <c r="E96" s="101" t="s">
        <v>385</v>
      </c>
      <c r="F96" s="112"/>
      <c r="G96" s="169">
        <f>SUM(G97)</f>
        <v>433.5</v>
      </c>
      <c r="H96" s="169">
        <f>SUM(H97)</f>
        <v>433.5</v>
      </c>
      <c r="I96" s="13" t="e">
        <f>SUM(H96/#REF!*100)</f>
        <v>#REF!</v>
      </c>
    </row>
    <row r="97" spans="1:9" ht="28.5">
      <c r="A97" s="52" t="s">
        <v>136</v>
      </c>
      <c r="B97" s="111"/>
      <c r="C97" s="101" t="s">
        <v>429</v>
      </c>
      <c r="D97" s="101" t="s">
        <v>221</v>
      </c>
      <c r="E97" s="101" t="s">
        <v>386</v>
      </c>
      <c r="F97" s="112"/>
      <c r="G97" s="169">
        <f>SUM(G98)</f>
        <v>433.5</v>
      </c>
      <c r="H97" s="169">
        <f>SUM(H98)</f>
        <v>433.5</v>
      </c>
      <c r="I97" s="13">
        <f>SUM(H97/G102*100)</f>
        <v>2.034867346363995</v>
      </c>
    </row>
    <row r="98" spans="1:9" ht="28.5">
      <c r="A98" s="52" t="s">
        <v>484</v>
      </c>
      <c r="B98" s="111"/>
      <c r="C98" s="101" t="s">
        <v>429</v>
      </c>
      <c r="D98" s="101" t="s">
        <v>221</v>
      </c>
      <c r="E98" s="101" t="s">
        <v>386</v>
      </c>
      <c r="F98" s="112" t="s">
        <v>477</v>
      </c>
      <c r="G98" s="169">
        <v>433.5</v>
      </c>
      <c r="H98" s="169">
        <v>433.5</v>
      </c>
      <c r="I98" s="13">
        <f>SUM(H98/G103*100)</f>
        <v>8.17246059874821</v>
      </c>
    </row>
    <row r="99" spans="1:9" ht="15">
      <c r="A99" s="56" t="s">
        <v>507</v>
      </c>
      <c r="B99" s="111"/>
      <c r="C99" s="101" t="s">
        <v>429</v>
      </c>
      <c r="D99" s="101" t="s">
        <v>221</v>
      </c>
      <c r="E99" s="101" t="s">
        <v>122</v>
      </c>
      <c r="F99" s="112"/>
      <c r="G99" s="169">
        <f>SUM(G100)</f>
        <v>100</v>
      </c>
      <c r="H99" s="169">
        <f>SUM(H100)</f>
        <v>100</v>
      </c>
      <c r="I99" s="13"/>
    </row>
    <row r="100" spans="1:9" ht="28.5">
      <c r="A100" s="52" t="s">
        <v>587</v>
      </c>
      <c r="B100" s="111"/>
      <c r="C100" s="101" t="s">
        <v>429</v>
      </c>
      <c r="D100" s="101" t="s">
        <v>221</v>
      </c>
      <c r="E100" s="101" t="s">
        <v>588</v>
      </c>
      <c r="F100" s="112"/>
      <c r="G100" s="169">
        <f>SUM(G101)</f>
        <v>100</v>
      </c>
      <c r="H100" s="169">
        <f>SUM(H101)</f>
        <v>100</v>
      </c>
      <c r="I100" s="13"/>
    </row>
    <row r="101" spans="1:9" ht="15">
      <c r="A101" s="52" t="s">
        <v>463</v>
      </c>
      <c r="B101" s="111"/>
      <c r="C101" s="101" t="s">
        <v>429</v>
      </c>
      <c r="D101" s="101" t="s">
        <v>221</v>
      </c>
      <c r="E101" s="101" t="s">
        <v>588</v>
      </c>
      <c r="F101" s="112" t="s">
        <v>112</v>
      </c>
      <c r="G101" s="169">
        <v>100</v>
      </c>
      <c r="H101" s="169">
        <v>100</v>
      </c>
      <c r="I101" s="13"/>
    </row>
    <row r="102" spans="1:9" ht="15">
      <c r="A102" s="52" t="s">
        <v>131</v>
      </c>
      <c r="B102" s="111"/>
      <c r="C102" s="101" t="s">
        <v>98</v>
      </c>
      <c r="D102" s="101"/>
      <c r="E102" s="101"/>
      <c r="F102" s="112"/>
      <c r="G102" s="169">
        <f>SUM(G109)+G103</f>
        <v>21303.6</v>
      </c>
      <c r="H102" s="169">
        <f>SUM(H109)+H103</f>
        <v>21764.7</v>
      </c>
      <c r="I102" s="13">
        <f>SUM(H102/G105*100)</f>
        <v>410.3140788779127</v>
      </c>
    </row>
    <row r="103" spans="1:9" ht="15">
      <c r="A103" s="113" t="s">
        <v>50</v>
      </c>
      <c r="B103" s="111"/>
      <c r="C103" s="101" t="s">
        <v>98</v>
      </c>
      <c r="D103" s="101" t="s">
        <v>114</v>
      </c>
      <c r="E103" s="101"/>
      <c r="F103" s="112"/>
      <c r="G103" s="169">
        <f>SUM(G105)</f>
        <v>5304.4</v>
      </c>
      <c r="H103" s="169">
        <f>SUM(H105)</f>
        <v>5765.5</v>
      </c>
      <c r="I103" s="13">
        <f>SUM(H103/G106*100)</f>
        <v>150.0026017275471</v>
      </c>
    </row>
    <row r="104" spans="1:9" ht="15">
      <c r="A104" s="52" t="s">
        <v>379</v>
      </c>
      <c r="B104" s="111"/>
      <c r="C104" s="101" t="s">
        <v>98</v>
      </c>
      <c r="D104" s="101" t="s">
        <v>114</v>
      </c>
      <c r="E104" s="101" t="s">
        <v>380</v>
      </c>
      <c r="F104" s="112"/>
      <c r="G104" s="169">
        <f>SUM(G105)</f>
        <v>5304.4</v>
      </c>
      <c r="H104" s="169">
        <f>SUM(H105)</f>
        <v>5765.5</v>
      </c>
      <c r="I104" s="13">
        <f>SUM(H104/G107*100)</f>
        <v>423.06281185793955</v>
      </c>
    </row>
    <row r="105" spans="1:9" ht="28.5">
      <c r="A105" s="52" t="s">
        <v>485</v>
      </c>
      <c r="B105" s="111"/>
      <c r="C105" s="101" t="s">
        <v>98</v>
      </c>
      <c r="D105" s="101" t="s">
        <v>114</v>
      </c>
      <c r="E105" s="101" t="s">
        <v>486</v>
      </c>
      <c r="F105" s="112"/>
      <c r="G105" s="169">
        <f>G106+G107+G108</f>
        <v>5304.4</v>
      </c>
      <c r="H105" s="169">
        <f>H106+H107+H108</f>
        <v>5765.5</v>
      </c>
      <c r="I105" s="13">
        <f>SUM(H105/G108*100)</f>
        <v>5883.163265306122</v>
      </c>
    </row>
    <row r="106" spans="1:9" ht="28.5">
      <c r="A106" s="52" t="s">
        <v>461</v>
      </c>
      <c r="B106" s="111"/>
      <c r="C106" s="101" t="s">
        <v>98</v>
      </c>
      <c r="D106" s="101" t="s">
        <v>114</v>
      </c>
      <c r="E106" s="101" t="s">
        <v>486</v>
      </c>
      <c r="F106" s="112" t="s">
        <v>462</v>
      </c>
      <c r="G106" s="169">
        <v>3843.6</v>
      </c>
      <c r="H106" s="169">
        <v>3843.6</v>
      </c>
      <c r="I106" s="13"/>
    </row>
    <row r="107" spans="1:9" ht="15">
      <c r="A107" s="52" t="s">
        <v>463</v>
      </c>
      <c r="B107" s="111"/>
      <c r="C107" s="101" t="s">
        <v>98</v>
      </c>
      <c r="D107" s="101" t="s">
        <v>114</v>
      </c>
      <c r="E107" s="101" t="s">
        <v>486</v>
      </c>
      <c r="F107" s="112" t="s">
        <v>112</v>
      </c>
      <c r="G107" s="169">
        <v>1362.8</v>
      </c>
      <c r="H107" s="169">
        <v>1823.9</v>
      </c>
      <c r="I107" s="13"/>
    </row>
    <row r="108" spans="1:9" ht="15">
      <c r="A108" s="52" t="s">
        <v>467</v>
      </c>
      <c r="B108" s="111"/>
      <c r="C108" s="101" t="s">
        <v>98</v>
      </c>
      <c r="D108" s="101" t="s">
        <v>114</v>
      </c>
      <c r="E108" s="101" t="s">
        <v>486</v>
      </c>
      <c r="F108" s="112" t="s">
        <v>161</v>
      </c>
      <c r="G108" s="169">
        <v>98</v>
      </c>
      <c r="H108" s="169">
        <v>98</v>
      </c>
      <c r="I108" s="13"/>
    </row>
    <row r="109" spans="1:9" ht="28.5">
      <c r="A109" s="54" t="s">
        <v>293</v>
      </c>
      <c r="B109" s="114"/>
      <c r="C109" s="115" t="s">
        <v>98</v>
      </c>
      <c r="D109" s="115" t="s">
        <v>294</v>
      </c>
      <c r="E109" s="115"/>
      <c r="F109" s="116"/>
      <c r="G109" s="170">
        <f>G120+G125+G110+G130</f>
        <v>15999.2</v>
      </c>
      <c r="H109" s="170">
        <f>H120+H125+H110+H130</f>
        <v>15999.2</v>
      </c>
      <c r="I109" s="13"/>
    </row>
    <row r="110" spans="1:9" ht="28.5">
      <c r="A110" s="52" t="s">
        <v>487</v>
      </c>
      <c r="B110" s="111"/>
      <c r="C110" s="101" t="s">
        <v>98</v>
      </c>
      <c r="D110" s="101" t="s">
        <v>294</v>
      </c>
      <c r="E110" s="101" t="s">
        <v>488</v>
      </c>
      <c r="F110" s="112"/>
      <c r="G110" s="169">
        <f>SUM(G111)</f>
        <v>12599.1</v>
      </c>
      <c r="H110" s="169">
        <f>SUM(H111)</f>
        <v>12599.1</v>
      </c>
      <c r="I110" s="13" t="e">
        <f aca="true" t="shared" si="4" ref="I110:I115">SUM(H110/G113*100)</f>
        <v>#DIV/0!</v>
      </c>
    </row>
    <row r="111" spans="1:9" ht="28.5">
      <c r="A111" s="52" t="s">
        <v>47</v>
      </c>
      <c r="B111" s="111"/>
      <c r="C111" s="101" t="s">
        <v>98</v>
      </c>
      <c r="D111" s="101" t="s">
        <v>294</v>
      </c>
      <c r="E111" s="101" t="s">
        <v>489</v>
      </c>
      <c r="F111" s="112"/>
      <c r="G111" s="169">
        <f>G112+G116+G119</f>
        <v>12599.1</v>
      </c>
      <c r="H111" s="169">
        <f>H112+H116+H119</f>
        <v>12599.1</v>
      </c>
      <c r="I111" s="13" t="e">
        <f t="shared" si="4"/>
        <v>#DIV/0!</v>
      </c>
    </row>
    <row r="112" spans="1:9" ht="28.5">
      <c r="A112" s="52" t="s">
        <v>461</v>
      </c>
      <c r="B112" s="111"/>
      <c r="C112" s="101" t="s">
        <v>98</v>
      </c>
      <c r="D112" s="101" t="s">
        <v>294</v>
      </c>
      <c r="E112" s="101" t="s">
        <v>489</v>
      </c>
      <c r="F112" s="112" t="s">
        <v>462</v>
      </c>
      <c r="G112" s="169">
        <v>9858.5</v>
      </c>
      <c r="H112" s="169">
        <v>9858.5</v>
      </c>
      <c r="I112" s="13" t="e">
        <f t="shared" si="4"/>
        <v>#DIV/0!</v>
      </c>
    </row>
    <row r="113" spans="1:9" ht="15" hidden="1">
      <c r="A113" s="52" t="s">
        <v>490</v>
      </c>
      <c r="B113" s="111"/>
      <c r="C113" s="101" t="s">
        <v>98</v>
      </c>
      <c r="D113" s="101" t="s">
        <v>294</v>
      </c>
      <c r="E113" s="101" t="s">
        <v>489</v>
      </c>
      <c r="F113" s="112" t="s">
        <v>491</v>
      </c>
      <c r="G113" s="169"/>
      <c r="H113" s="169"/>
      <c r="I113" s="13">
        <f t="shared" si="4"/>
        <v>0</v>
      </c>
    </row>
    <row r="114" spans="1:9" ht="28.5" hidden="1">
      <c r="A114" s="52" t="s">
        <v>492</v>
      </c>
      <c r="B114" s="117"/>
      <c r="C114" s="101" t="s">
        <v>98</v>
      </c>
      <c r="D114" s="101" t="s">
        <v>294</v>
      </c>
      <c r="E114" s="101" t="s">
        <v>489</v>
      </c>
      <c r="F114" s="112" t="s">
        <v>493</v>
      </c>
      <c r="G114" s="169"/>
      <c r="H114" s="169"/>
      <c r="I114" s="13" t="e">
        <f t="shared" si="4"/>
        <v>#DIV/0!</v>
      </c>
    </row>
    <row r="115" spans="1:9" ht="28.5" hidden="1">
      <c r="A115" s="52" t="s">
        <v>494</v>
      </c>
      <c r="B115" s="117"/>
      <c r="C115" s="101" t="s">
        <v>98</v>
      </c>
      <c r="D115" s="101" t="s">
        <v>294</v>
      </c>
      <c r="E115" s="101" t="s">
        <v>489</v>
      </c>
      <c r="F115" s="112" t="s">
        <v>495</v>
      </c>
      <c r="G115" s="169"/>
      <c r="H115" s="169"/>
      <c r="I115" s="13" t="e">
        <f t="shared" si="4"/>
        <v>#DIV/0!</v>
      </c>
    </row>
    <row r="116" spans="1:9" ht="15.75">
      <c r="A116" s="52" t="s">
        <v>463</v>
      </c>
      <c r="B116" s="117"/>
      <c r="C116" s="101" t="s">
        <v>98</v>
      </c>
      <c r="D116" s="101" t="s">
        <v>294</v>
      </c>
      <c r="E116" s="101" t="s">
        <v>489</v>
      </c>
      <c r="F116" s="112" t="s">
        <v>112</v>
      </c>
      <c r="G116" s="169">
        <v>2526.9</v>
      </c>
      <c r="H116" s="169">
        <v>2526.9</v>
      </c>
      <c r="I116" s="13">
        <f>SUM(H116/G120*100)</f>
        <v>74.31840239992941</v>
      </c>
    </row>
    <row r="117" spans="1:9" ht="28.5" hidden="1">
      <c r="A117" s="52" t="s">
        <v>496</v>
      </c>
      <c r="B117" s="117"/>
      <c r="C117" s="101" t="s">
        <v>98</v>
      </c>
      <c r="D117" s="101" t="s">
        <v>294</v>
      </c>
      <c r="E117" s="101" t="s">
        <v>489</v>
      </c>
      <c r="F117" s="112" t="s">
        <v>497</v>
      </c>
      <c r="G117" s="169"/>
      <c r="H117" s="169"/>
      <c r="I117" s="13">
        <f>SUM(H117/G121*100)</f>
        <v>0</v>
      </c>
    </row>
    <row r="118" spans="1:9" ht="28.5" hidden="1">
      <c r="A118" s="52" t="s">
        <v>498</v>
      </c>
      <c r="B118" s="111"/>
      <c r="C118" s="101" t="s">
        <v>98</v>
      </c>
      <c r="D118" s="101" t="s">
        <v>294</v>
      </c>
      <c r="E118" s="101" t="s">
        <v>489</v>
      </c>
      <c r="F118" s="112" t="s">
        <v>499</v>
      </c>
      <c r="G118" s="169"/>
      <c r="H118" s="169"/>
      <c r="I118" s="13">
        <f>SUM(H118/G122*100)</f>
        <v>0</v>
      </c>
    </row>
    <row r="119" spans="1:9" ht="15">
      <c r="A119" s="52" t="s">
        <v>467</v>
      </c>
      <c r="B119" s="111"/>
      <c r="C119" s="101" t="s">
        <v>98</v>
      </c>
      <c r="D119" s="101" t="s">
        <v>294</v>
      </c>
      <c r="E119" s="101" t="s">
        <v>489</v>
      </c>
      <c r="F119" s="112" t="s">
        <v>161</v>
      </c>
      <c r="G119" s="168">
        <v>213.7</v>
      </c>
      <c r="H119" s="168">
        <v>213.7</v>
      </c>
      <c r="I119" s="13"/>
    </row>
    <row r="120" spans="1:9" ht="28.5">
      <c r="A120" s="52" t="s">
        <v>500</v>
      </c>
      <c r="B120" s="111"/>
      <c r="C120" s="101" t="s">
        <v>98</v>
      </c>
      <c r="D120" s="101" t="s">
        <v>294</v>
      </c>
      <c r="E120" s="101" t="s">
        <v>501</v>
      </c>
      <c r="F120" s="112"/>
      <c r="G120" s="169">
        <f>SUM(G122+G124)</f>
        <v>3400.1</v>
      </c>
      <c r="H120" s="169">
        <f>SUM(H122+H124)</f>
        <v>3400.1</v>
      </c>
      <c r="I120" s="13">
        <f>SUM(H120/G123*100)</f>
        <v>170.005</v>
      </c>
    </row>
    <row r="121" spans="1:9" ht="28.5">
      <c r="A121" s="52" t="s">
        <v>502</v>
      </c>
      <c r="B121" s="111"/>
      <c r="C121" s="101" t="s">
        <v>98</v>
      </c>
      <c r="D121" s="101" t="s">
        <v>294</v>
      </c>
      <c r="E121" s="101" t="s">
        <v>503</v>
      </c>
      <c r="F121" s="112"/>
      <c r="G121" s="169">
        <f>SUM(G122)</f>
        <v>1400.1</v>
      </c>
      <c r="H121" s="169">
        <f>SUM(H122)</f>
        <v>1400.1</v>
      </c>
      <c r="I121" s="13"/>
    </row>
    <row r="122" spans="1:9" ht="15">
      <c r="A122" s="52" t="s">
        <v>463</v>
      </c>
      <c r="B122" s="111"/>
      <c r="C122" s="101" t="s">
        <v>98</v>
      </c>
      <c r="D122" s="101" t="s">
        <v>294</v>
      </c>
      <c r="E122" s="101" t="s">
        <v>503</v>
      </c>
      <c r="F122" s="112" t="s">
        <v>112</v>
      </c>
      <c r="G122" s="169">
        <v>1400.1</v>
      </c>
      <c r="H122" s="169">
        <v>1400.1</v>
      </c>
      <c r="I122" s="13" t="e">
        <f>SUM(H122/G125*100)</f>
        <v>#DIV/0!</v>
      </c>
    </row>
    <row r="123" spans="1:9" ht="28.5">
      <c r="A123" s="52" t="s">
        <v>0</v>
      </c>
      <c r="B123" s="111"/>
      <c r="C123" s="101" t="s">
        <v>98</v>
      </c>
      <c r="D123" s="101" t="s">
        <v>294</v>
      </c>
      <c r="E123" s="101" t="s">
        <v>504</v>
      </c>
      <c r="F123" s="112"/>
      <c r="G123" s="169">
        <f>SUM(G124)</f>
        <v>2000</v>
      </c>
      <c r="H123" s="169">
        <f>SUM(H124)</f>
        <v>2000</v>
      </c>
      <c r="I123" s="13"/>
    </row>
    <row r="124" spans="1:9" ht="15">
      <c r="A124" s="52" t="s">
        <v>463</v>
      </c>
      <c r="B124" s="111"/>
      <c r="C124" s="101" t="s">
        <v>98</v>
      </c>
      <c r="D124" s="101" t="s">
        <v>294</v>
      </c>
      <c r="E124" s="101" t="s">
        <v>504</v>
      </c>
      <c r="F124" s="112" t="s">
        <v>112</v>
      </c>
      <c r="G124" s="169">
        <v>2000</v>
      </c>
      <c r="H124" s="169">
        <v>2000</v>
      </c>
      <c r="I124" s="13"/>
    </row>
    <row r="125" spans="1:9" ht="15" hidden="1">
      <c r="A125" s="52" t="s">
        <v>1</v>
      </c>
      <c r="B125" s="118"/>
      <c r="C125" s="119" t="s">
        <v>98</v>
      </c>
      <c r="D125" s="119" t="s">
        <v>294</v>
      </c>
      <c r="E125" s="119" t="s">
        <v>505</v>
      </c>
      <c r="F125" s="120"/>
      <c r="G125" s="169"/>
      <c r="H125" s="169"/>
      <c r="I125" s="13"/>
    </row>
    <row r="126" spans="1:9" ht="28.5" hidden="1">
      <c r="A126" s="52" t="s">
        <v>2</v>
      </c>
      <c r="B126" s="118"/>
      <c r="C126" s="121" t="s">
        <v>98</v>
      </c>
      <c r="D126" s="121" t="s">
        <v>294</v>
      </c>
      <c r="E126" s="121" t="s">
        <v>506</v>
      </c>
      <c r="F126" s="122"/>
      <c r="G126" s="169"/>
      <c r="H126" s="169"/>
      <c r="I126" s="13"/>
    </row>
    <row r="127" spans="1:9" ht="15" hidden="1">
      <c r="A127" s="52" t="s">
        <v>463</v>
      </c>
      <c r="B127" s="118"/>
      <c r="C127" s="121" t="s">
        <v>98</v>
      </c>
      <c r="D127" s="121" t="s">
        <v>294</v>
      </c>
      <c r="E127" s="121" t="s">
        <v>506</v>
      </c>
      <c r="F127" s="122" t="s">
        <v>112</v>
      </c>
      <c r="G127" s="169"/>
      <c r="H127" s="169"/>
      <c r="I127" s="13"/>
    </row>
    <row r="128" spans="1:9" ht="28.5" hidden="1">
      <c r="A128" s="52" t="s">
        <v>496</v>
      </c>
      <c r="B128" s="118"/>
      <c r="C128" s="121" t="s">
        <v>98</v>
      </c>
      <c r="D128" s="121" t="s">
        <v>294</v>
      </c>
      <c r="E128" s="121" t="s">
        <v>506</v>
      </c>
      <c r="F128" s="122" t="s">
        <v>497</v>
      </c>
      <c r="G128" s="169"/>
      <c r="H128" s="169"/>
      <c r="I128" s="13"/>
    </row>
    <row r="129" spans="1:9" ht="28.5" hidden="1">
      <c r="A129" s="52" t="s">
        <v>498</v>
      </c>
      <c r="B129" s="118"/>
      <c r="C129" s="121" t="s">
        <v>98</v>
      </c>
      <c r="D129" s="121" t="s">
        <v>294</v>
      </c>
      <c r="E129" s="121" t="s">
        <v>506</v>
      </c>
      <c r="F129" s="122" t="s">
        <v>499</v>
      </c>
      <c r="G129" s="169"/>
      <c r="H129" s="169"/>
      <c r="I129" s="13"/>
    </row>
    <row r="130" spans="1:9" ht="15">
      <c r="A130" s="55" t="s">
        <v>507</v>
      </c>
      <c r="B130" s="118"/>
      <c r="C130" s="67" t="s">
        <v>98</v>
      </c>
      <c r="D130" s="67" t="s">
        <v>294</v>
      </c>
      <c r="E130" s="97" t="s">
        <v>122</v>
      </c>
      <c r="F130" s="123"/>
      <c r="G130" s="77">
        <f>SUM(G131)</f>
        <v>0</v>
      </c>
      <c r="H130" s="77">
        <f>SUM(H131)</f>
        <v>0</v>
      </c>
      <c r="I130" s="13"/>
    </row>
    <row r="131" spans="1:9" s="4" customFormat="1" ht="42.75">
      <c r="A131" s="52" t="s">
        <v>585</v>
      </c>
      <c r="B131" s="36"/>
      <c r="C131" s="67" t="s">
        <v>98</v>
      </c>
      <c r="D131" s="67" t="s">
        <v>294</v>
      </c>
      <c r="E131" s="97" t="s">
        <v>586</v>
      </c>
      <c r="F131" s="108"/>
      <c r="G131" s="75">
        <f>SUM(G132)</f>
        <v>0</v>
      </c>
      <c r="H131" s="75">
        <f>SUM(H132)</f>
        <v>0</v>
      </c>
      <c r="I131" s="42" t="e">
        <f aca="true" t="shared" si="5" ref="I131:I136">SUM(H131/G134*100)</f>
        <v>#DIV/0!</v>
      </c>
    </row>
    <row r="132" spans="1:9" s="4" customFormat="1" ht="14.25">
      <c r="A132" s="52" t="s">
        <v>463</v>
      </c>
      <c r="B132" s="36"/>
      <c r="C132" s="67" t="s">
        <v>98</v>
      </c>
      <c r="D132" s="67" t="s">
        <v>294</v>
      </c>
      <c r="E132" s="97" t="s">
        <v>586</v>
      </c>
      <c r="F132" s="108" t="s">
        <v>112</v>
      </c>
      <c r="G132" s="75"/>
      <c r="H132" s="75"/>
      <c r="I132" s="42">
        <f t="shared" si="5"/>
        <v>0</v>
      </c>
    </row>
    <row r="133" spans="1:9" ht="28.5" hidden="1">
      <c r="A133" s="52" t="s">
        <v>193</v>
      </c>
      <c r="B133" s="36"/>
      <c r="C133" s="67" t="s">
        <v>98</v>
      </c>
      <c r="D133" s="67" t="s">
        <v>294</v>
      </c>
      <c r="E133" s="97" t="s">
        <v>142</v>
      </c>
      <c r="F133" s="108"/>
      <c r="G133" s="75">
        <f>SUM(G134)</f>
        <v>0</v>
      </c>
      <c r="H133" s="75">
        <f>SUM(H134)</f>
        <v>0</v>
      </c>
      <c r="I133" s="13">
        <f t="shared" si="5"/>
        <v>0</v>
      </c>
    </row>
    <row r="134" spans="1:9" ht="15" hidden="1">
      <c r="A134" s="51" t="s">
        <v>95</v>
      </c>
      <c r="B134" s="36"/>
      <c r="C134" s="67" t="s">
        <v>98</v>
      </c>
      <c r="D134" s="67" t="s">
        <v>294</v>
      </c>
      <c r="E134" s="97" t="s">
        <v>142</v>
      </c>
      <c r="F134" s="108" t="s">
        <v>96</v>
      </c>
      <c r="G134" s="75"/>
      <c r="H134" s="75"/>
      <c r="I134" s="13">
        <f t="shared" si="5"/>
        <v>0</v>
      </c>
    </row>
    <row r="135" spans="1:9" ht="15">
      <c r="A135" s="52" t="s">
        <v>113</v>
      </c>
      <c r="B135" s="111"/>
      <c r="C135" s="101" t="s">
        <v>114</v>
      </c>
      <c r="D135" s="101"/>
      <c r="E135" s="101"/>
      <c r="F135" s="112"/>
      <c r="G135" s="169">
        <f>G136+G154+G148</f>
        <v>82507.70000000001</v>
      </c>
      <c r="H135" s="169">
        <f>H136+H154+H148</f>
        <v>82507.70000000001</v>
      </c>
      <c r="I135" s="13">
        <f t="shared" si="5"/>
        <v>487.75235133809025</v>
      </c>
    </row>
    <row r="136" spans="1:9" s="15" customFormat="1" ht="15">
      <c r="A136" s="52" t="s">
        <v>115</v>
      </c>
      <c r="B136" s="111"/>
      <c r="C136" s="101" t="s">
        <v>114</v>
      </c>
      <c r="D136" s="101" t="s">
        <v>116</v>
      </c>
      <c r="E136" s="101"/>
      <c r="F136" s="112"/>
      <c r="G136" s="169">
        <f>G137</f>
        <v>33133.9</v>
      </c>
      <c r="H136" s="169">
        <f>H137</f>
        <v>33133.9</v>
      </c>
      <c r="I136" s="13">
        <f t="shared" si="5"/>
        <v>195.87429578089254</v>
      </c>
    </row>
    <row r="137" spans="1:9" s="15" customFormat="1" ht="15">
      <c r="A137" s="52" t="s">
        <v>508</v>
      </c>
      <c r="B137" s="111"/>
      <c r="C137" s="101" t="s">
        <v>114</v>
      </c>
      <c r="D137" s="101" t="s">
        <v>116</v>
      </c>
      <c r="E137" s="101" t="s">
        <v>509</v>
      </c>
      <c r="F137" s="112"/>
      <c r="G137" s="169">
        <f>G138+G142</f>
        <v>33133.9</v>
      </c>
      <c r="H137" s="169">
        <f>H138+H142</f>
        <v>33133.9</v>
      </c>
      <c r="I137" s="13"/>
    </row>
    <row r="138" spans="1:9" s="15" customFormat="1" ht="15">
      <c r="A138" s="52" t="s">
        <v>510</v>
      </c>
      <c r="B138" s="111"/>
      <c r="C138" s="101" t="s">
        <v>114</v>
      </c>
      <c r="D138" s="101" t="s">
        <v>116</v>
      </c>
      <c r="E138" s="101" t="s">
        <v>511</v>
      </c>
      <c r="F138" s="112"/>
      <c r="G138" s="169">
        <f>G139</f>
        <v>16915.9</v>
      </c>
      <c r="H138" s="169">
        <f>H139</f>
        <v>16915.9</v>
      </c>
      <c r="I138" s="13" t="e">
        <f aca="true" t="shared" si="6" ref="I138:I152">SUM(H138/G141*100)</f>
        <v>#DIV/0!</v>
      </c>
    </row>
    <row r="139" spans="1:9" s="15" customFormat="1" ht="15">
      <c r="A139" s="52" t="s">
        <v>6</v>
      </c>
      <c r="B139" s="111"/>
      <c r="C139" s="101" t="s">
        <v>114</v>
      </c>
      <c r="D139" s="101" t="s">
        <v>116</v>
      </c>
      <c r="E139" s="101" t="s">
        <v>512</v>
      </c>
      <c r="F139" s="112"/>
      <c r="G139" s="169">
        <f>SUM(G140)</f>
        <v>16915.9</v>
      </c>
      <c r="H139" s="169">
        <f>SUM(H140)</f>
        <v>16915.9</v>
      </c>
      <c r="I139" s="13">
        <f t="shared" si="6"/>
        <v>104.3032433099026</v>
      </c>
    </row>
    <row r="140" spans="1:9" ht="15">
      <c r="A140" s="52" t="s">
        <v>467</v>
      </c>
      <c r="B140" s="111"/>
      <c r="C140" s="101" t="s">
        <v>114</v>
      </c>
      <c r="D140" s="101" t="s">
        <v>116</v>
      </c>
      <c r="E140" s="101" t="s">
        <v>512</v>
      </c>
      <c r="F140" s="112" t="s">
        <v>161</v>
      </c>
      <c r="G140" s="169">
        <v>16915.9</v>
      </c>
      <c r="H140" s="169">
        <v>16915.9</v>
      </c>
      <c r="I140" s="13">
        <f t="shared" si="6"/>
        <v>104.3032433099026</v>
      </c>
    </row>
    <row r="141" spans="1:9" s="18" customFormat="1" ht="28.5" hidden="1">
      <c r="A141" s="52" t="s">
        <v>513</v>
      </c>
      <c r="B141" s="111"/>
      <c r="C141" s="101" t="s">
        <v>114</v>
      </c>
      <c r="D141" s="101" t="s">
        <v>116</v>
      </c>
      <c r="E141" s="101" t="s">
        <v>512</v>
      </c>
      <c r="F141" s="112" t="s">
        <v>192</v>
      </c>
      <c r="G141" s="169"/>
      <c r="H141" s="169"/>
      <c r="I141" s="13">
        <f t="shared" si="6"/>
        <v>0</v>
      </c>
    </row>
    <row r="142" spans="1:9" ht="15">
      <c r="A142" s="52" t="s">
        <v>117</v>
      </c>
      <c r="B142" s="111"/>
      <c r="C142" s="101" t="s">
        <v>114</v>
      </c>
      <c r="D142" s="101" t="s">
        <v>116</v>
      </c>
      <c r="E142" s="101" t="s">
        <v>387</v>
      </c>
      <c r="F142" s="112"/>
      <c r="G142" s="169">
        <f>G143</f>
        <v>16218</v>
      </c>
      <c r="H142" s="169">
        <f>H143</f>
        <v>16218</v>
      </c>
      <c r="I142" s="13">
        <f t="shared" si="6"/>
        <v>100</v>
      </c>
    </row>
    <row r="143" spans="1:9" ht="15">
      <c r="A143" s="52" t="s">
        <v>11</v>
      </c>
      <c r="B143" s="111"/>
      <c r="C143" s="101" t="s">
        <v>114</v>
      </c>
      <c r="D143" s="101" t="s">
        <v>116</v>
      </c>
      <c r="E143" s="101" t="s">
        <v>69</v>
      </c>
      <c r="F143" s="112"/>
      <c r="G143" s="169">
        <f>SUM(G144)</f>
        <v>16218</v>
      </c>
      <c r="H143" s="169">
        <f>SUM(H144)</f>
        <v>16218</v>
      </c>
      <c r="I143" s="13" t="e">
        <f t="shared" si="6"/>
        <v>#DIV/0!</v>
      </c>
    </row>
    <row r="144" spans="1:9" ht="28.5">
      <c r="A144" s="52" t="s">
        <v>189</v>
      </c>
      <c r="B144" s="111"/>
      <c r="C144" s="101" t="s">
        <v>114</v>
      </c>
      <c r="D144" s="101" t="s">
        <v>116</v>
      </c>
      <c r="E144" s="101" t="s">
        <v>70</v>
      </c>
      <c r="F144" s="112"/>
      <c r="G144" s="169">
        <f>SUM(G145)</f>
        <v>16218</v>
      </c>
      <c r="H144" s="169">
        <f>SUM(H145)</f>
        <v>16218</v>
      </c>
      <c r="I144" s="13" t="e">
        <f t="shared" si="6"/>
        <v>#DIV/0!</v>
      </c>
    </row>
    <row r="145" spans="1:9" ht="28.5">
      <c r="A145" s="52" t="s">
        <v>484</v>
      </c>
      <c r="B145" s="111"/>
      <c r="C145" s="101" t="s">
        <v>114</v>
      </c>
      <c r="D145" s="101" t="s">
        <v>116</v>
      </c>
      <c r="E145" s="101" t="s">
        <v>70</v>
      </c>
      <c r="F145" s="112" t="s">
        <v>477</v>
      </c>
      <c r="G145" s="169">
        <v>16218</v>
      </c>
      <c r="H145" s="169">
        <v>16218</v>
      </c>
      <c r="I145" s="13">
        <f t="shared" si="6"/>
        <v>41.19443019197651</v>
      </c>
    </row>
    <row r="146" spans="1:9" ht="15" hidden="1">
      <c r="A146" s="52" t="s">
        <v>514</v>
      </c>
      <c r="B146" s="111"/>
      <c r="C146" s="101" t="s">
        <v>114</v>
      </c>
      <c r="D146" s="101" t="s">
        <v>116</v>
      </c>
      <c r="E146" s="101" t="s">
        <v>70</v>
      </c>
      <c r="F146" s="112" t="s">
        <v>515</v>
      </c>
      <c r="G146" s="169"/>
      <c r="H146" s="169"/>
      <c r="I146" s="13">
        <f t="shared" si="6"/>
        <v>0</v>
      </c>
    </row>
    <row r="147" spans="1:9" ht="42.75" hidden="1">
      <c r="A147" s="54" t="s">
        <v>516</v>
      </c>
      <c r="B147" s="111"/>
      <c r="C147" s="101" t="s">
        <v>114</v>
      </c>
      <c r="D147" s="101" t="s">
        <v>116</v>
      </c>
      <c r="E147" s="101" t="s">
        <v>70</v>
      </c>
      <c r="F147" s="112" t="s">
        <v>49</v>
      </c>
      <c r="G147" s="169"/>
      <c r="H147" s="169"/>
      <c r="I147" s="13">
        <f t="shared" si="6"/>
        <v>0</v>
      </c>
    </row>
    <row r="148" spans="1:9" ht="15">
      <c r="A148" s="52" t="s">
        <v>139</v>
      </c>
      <c r="B148" s="111"/>
      <c r="C148" s="101" t="s">
        <v>114</v>
      </c>
      <c r="D148" s="101" t="s">
        <v>294</v>
      </c>
      <c r="E148" s="101"/>
      <c r="F148" s="112"/>
      <c r="G148" s="169">
        <f>G149</f>
        <v>39369.4</v>
      </c>
      <c r="H148" s="169">
        <f>H149</f>
        <v>39369.4</v>
      </c>
      <c r="I148" s="13" t="e">
        <f t="shared" si="6"/>
        <v>#DIV/0!</v>
      </c>
    </row>
    <row r="149" spans="1:9" ht="28.5">
      <c r="A149" s="52" t="s">
        <v>29</v>
      </c>
      <c r="B149" s="111"/>
      <c r="C149" s="101" t="s">
        <v>114</v>
      </c>
      <c r="D149" s="101" t="s">
        <v>294</v>
      </c>
      <c r="E149" s="101" t="s">
        <v>30</v>
      </c>
      <c r="F149" s="112"/>
      <c r="G149" s="169">
        <f>G150</f>
        <v>39369.4</v>
      </c>
      <c r="H149" s="169">
        <f>H150</f>
        <v>39369.4</v>
      </c>
      <c r="I149" s="13" t="e">
        <f t="shared" si="6"/>
        <v>#DIV/0!</v>
      </c>
    </row>
    <row r="150" spans="1:9" ht="15">
      <c r="A150" s="52" t="s">
        <v>463</v>
      </c>
      <c r="B150" s="111"/>
      <c r="C150" s="101" t="s">
        <v>114</v>
      </c>
      <c r="D150" s="101" t="s">
        <v>294</v>
      </c>
      <c r="E150" s="101" t="s">
        <v>30</v>
      </c>
      <c r="F150" s="112" t="s">
        <v>112</v>
      </c>
      <c r="G150" s="169">
        <v>39369.4</v>
      </c>
      <c r="H150" s="169">
        <v>39369.4</v>
      </c>
      <c r="I150" s="13" t="e">
        <f t="shared" si="6"/>
        <v>#DIV/0!</v>
      </c>
    </row>
    <row r="151" spans="1:9" ht="28.5" hidden="1">
      <c r="A151" s="52" t="s">
        <v>496</v>
      </c>
      <c r="B151" s="111"/>
      <c r="C151" s="101" t="s">
        <v>114</v>
      </c>
      <c r="D151" s="101" t="s">
        <v>294</v>
      </c>
      <c r="E151" s="101" t="s">
        <v>30</v>
      </c>
      <c r="F151" s="112" t="s">
        <v>497</v>
      </c>
      <c r="G151" s="169"/>
      <c r="H151" s="169"/>
      <c r="I151" s="13">
        <f t="shared" si="6"/>
        <v>0</v>
      </c>
    </row>
    <row r="152" spans="1:9" ht="28.5" hidden="1">
      <c r="A152" s="52" t="s">
        <v>498</v>
      </c>
      <c r="B152" s="111"/>
      <c r="C152" s="101" t="s">
        <v>114</v>
      </c>
      <c r="D152" s="101" t="s">
        <v>294</v>
      </c>
      <c r="E152" s="101" t="s">
        <v>30</v>
      </c>
      <c r="F152" s="112" t="s">
        <v>499</v>
      </c>
      <c r="G152" s="169"/>
      <c r="H152" s="169"/>
      <c r="I152" s="13">
        <f t="shared" si="6"/>
        <v>0</v>
      </c>
    </row>
    <row r="153" spans="1:9" ht="28.5" hidden="1">
      <c r="A153" s="52" t="s">
        <v>517</v>
      </c>
      <c r="B153" s="111"/>
      <c r="C153" s="101" t="s">
        <v>114</v>
      </c>
      <c r="D153" s="101" t="s">
        <v>294</v>
      </c>
      <c r="E153" s="101" t="s">
        <v>30</v>
      </c>
      <c r="F153" s="112" t="s">
        <v>499</v>
      </c>
      <c r="G153" s="169"/>
      <c r="H153" s="169"/>
      <c r="I153" s="13">
        <f>SUM(H153/G160*100)</f>
        <v>0</v>
      </c>
    </row>
    <row r="154" spans="1:9" ht="15">
      <c r="A154" s="52" t="s">
        <v>388</v>
      </c>
      <c r="B154" s="111"/>
      <c r="C154" s="101" t="s">
        <v>114</v>
      </c>
      <c r="D154" s="101" t="s">
        <v>377</v>
      </c>
      <c r="E154" s="101"/>
      <c r="F154" s="112"/>
      <c r="G154" s="169">
        <f>SUM(G155,G169)</f>
        <v>10004.400000000001</v>
      </c>
      <c r="H154" s="169">
        <f>SUM(H155,H169)</f>
        <v>10004.400000000001</v>
      </c>
      <c r="I154" s="13" t="e">
        <f>SUM(H154/G161*100)</f>
        <v>#DIV/0!</v>
      </c>
    </row>
    <row r="155" spans="1:9" ht="15">
      <c r="A155" s="52" t="s">
        <v>508</v>
      </c>
      <c r="B155" s="111"/>
      <c r="C155" s="101" t="s">
        <v>114</v>
      </c>
      <c r="D155" s="101" t="s">
        <v>377</v>
      </c>
      <c r="E155" s="101" t="s">
        <v>509</v>
      </c>
      <c r="F155" s="112"/>
      <c r="G155" s="169">
        <f>SUM(G160)+G156</f>
        <v>4350.900000000001</v>
      </c>
      <c r="H155" s="169">
        <f>SUM(H160)+H156</f>
        <v>4350.900000000001</v>
      </c>
      <c r="I155" s="13" t="e">
        <f>SUM(H155/G162*100)</f>
        <v>#DIV/0!</v>
      </c>
    </row>
    <row r="156" spans="1:9" ht="15">
      <c r="A156" s="83" t="s">
        <v>668</v>
      </c>
      <c r="B156" s="327"/>
      <c r="C156" s="328" t="s">
        <v>114</v>
      </c>
      <c r="D156" s="328" t="s">
        <v>377</v>
      </c>
      <c r="E156" s="328" t="s">
        <v>669</v>
      </c>
      <c r="F156" s="329"/>
      <c r="G156" s="330">
        <f aca="true" t="shared" si="7" ref="G156:H158">SUM(G157)</f>
        <v>722.1</v>
      </c>
      <c r="H156" s="330">
        <f t="shared" si="7"/>
        <v>722.1</v>
      </c>
      <c r="I156" s="13"/>
    </row>
    <row r="157" spans="1:9" ht="15">
      <c r="A157" s="83" t="s">
        <v>11</v>
      </c>
      <c r="B157" s="327"/>
      <c r="C157" s="328" t="s">
        <v>114</v>
      </c>
      <c r="D157" s="328" t="s">
        <v>377</v>
      </c>
      <c r="E157" s="328" t="s">
        <v>670</v>
      </c>
      <c r="F157" s="329"/>
      <c r="G157" s="330">
        <f t="shared" si="7"/>
        <v>722.1</v>
      </c>
      <c r="H157" s="330">
        <f t="shared" si="7"/>
        <v>722.1</v>
      </c>
      <c r="I157" s="13"/>
    </row>
    <row r="158" spans="1:9" ht="28.5">
      <c r="A158" s="83" t="s">
        <v>189</v>
      </c>
      <c r="B158" s="327"/>
      <c r="C158" s="328" t="s">
        <v>114</v>
      </c>
      <c r="D158" s="328" t="s">
        <v>377</v>
      </c>
      <c r="E158" s="328" t="s">
        <v>671</v>
      </c>
      <c r="F158" s="329"/>
      <c r="G158" s="330">
        <f t="shared" si="7"/>
        <v>722.1</v>
      </c>
      <c r="H158" s="330">
        <f t="shared" si="7"/>
        <v>722.1</v>
      </c>
      <c r="I158" s="13"/>
    </row>
    <row r="159" spans="1:9" ht="28.5">
      <c r="A159" s="83" t="s">
        <v>484</v>
      </c>
      <c r="B159" s="327"/>
      <c r="C159" s="328" t="s">
        <v>114</v>
      </c>
      <c r="D159" s="328" t="s">
        <v>377</v>
      </c>
      <c r="E159" s="328" t="s">
        <v>671</v>
      </c>
      <c r="F159" s="329" t="s">
        <v>477</v>
      </c>
      <c r="G159" s="330">
        <v>722.1</v>
      </c>
      <c r="H159" s="330">
        <v>722.1</v>
      </c>
      <c r="I159" s="13"/>
    </row>
    <row r="160" spans="1:9" ht="15">
      <c r="A160" s="52" t="s">
        <v>393</v>
      </c>
      <c r="B160" s="111"/>
      <c r="C160" s="101" t="s">
        <v>114</v>
      </c>
      <c r="D160" s="101" t="s">
        <v>377</v>
      </c>
      <c r="E160" s="101" t="s">
        <v>518</v>
      </c>
      <c r="F160" s="112"/>
      <c r="G160" s="169">
        <f>SUM(G161,G165)</f>
        <v>3628.8</v>
      </c>
      <c r="H160" s="169">
        <f>SUM(H161,H165)</f>
        <v>3628.8</v>
      </c>
      <c r="I160" s="13" t="e">
        <f aca="true" t="shared" si="8" ref="I160:I166">SUM(H160/G163*100)</f>
        <v>#DIV/0!</v>
      </c>
    </row>
    <row r="161" spans="1:9" ht="15">
      <c r="A161" s="52" t="s">
        <v>519</v>
      </c>
      <c r="B161" s="111"/>
      <c r="C161" s="101" t="s">
        <v>114</v>
      </c>
      <c r="D161" s="101" t="s">
        <v>377</v>
      </c>
      <c r="E161" s="121" t="s">
        <v>520</v>
      </c>
      <c r="F161" s="112"/>
      <c r="G161" s="169">
        <f>SUM(G162)</f>
        <v>0</v>
      </c>
      <c r="H161" s="169">
        <f>SUM(H162)</f>
        <v>0</v>
      </c>
      <c r="I161" s="13">
        <f t="shared" si="8"/>
        <v>0</v>
      </c>
    </row>
    <row r="162" spans="1:9" ht="15">
      <c r="A162" s="52" t="s">
        <v>463</v>
      </c>
      <c r="B162" s="111"/>
      <c r="C162" s="101" t="s">
        <v>114</v>
      </c>
      <c r="D162" s="101" t="s">
        <v>377</v>
      </c>
      <c r="E162" s="121" t="s">
        <v>520</v>
      </c>
      <c r="F162" s="112" t="s">
        <v>112</v>
      </c>
      <c r="G162" s="169"/>
      <c r="H162" s="169"/>
      <c r="I162" s="13">
        <f t="shared" si="8"/>
        <v>0</v>
      </c>
    </row>
    <row r="163" spans="1:9" ht="20.25" customHeight="1" hidden="1">
      <c r="A163" s="52" t="s">
        <v>496</v>
      </c>
      <c r="B163" s="111"/>
      <c r="C163" s="101" t="s">
        <v>114</v>
      </c>
      <c r="D163" s="101" t="s">
        <v>377</v>
      </c>
      <c r="E163" s="121" t="s">
        <v>520</v>
      </c>
      <c r="F163" s="112" t="s">
        <v>497</v>
      </c>
      <c r="G163" s="169"/>
      <c r="H163" s="169"/>
      <c r="I163" s="13">
        <f t="shared" si="8"/>
        <v>0</v>
      </c>
    </row>
    <row r="164" spans="1:9" ht="15">
      <c r="A164" s="52" t="s">
        <v>11</v>
      </c>
      <c r="B164" s="111"/>
      <c r="C164" s="101" t="s">
        <v>114</v>
      </c>
      <c r="D164" s="101" t="s">
        <v>377</v>
      </c>
      <c r="E164" s="101" t="s">
        <v>521</v>
      </c>
      <c r="F164" s="112"/>
      <c r="G164" s="169">
        <f>SUM(G165)</f>
        <v>3628.8</v>
      </c>
      <c r="H164" s="169">
        <f>SUM(H165)</f>
        <v>3628.8</v>
      </c>
      <c r="I164" s="13" t="e">
        <f t="shared" si="8"/>
        <v>#DIV/0!</v>
      </c>
    </row>
    <row r="165" spans="1:9" ht="28.5">
      <c r="A165" s="52" t="s">
        <v>189</v>
      </c>
      <c r="B165" s="111"/>
      <c r="C165" s="101" t="s">
        <v>114</v>
      </c>
      <c r="D165" s="101" t="s">
        <v>377</v>
      </c>
      <c r="E165" s="101" t="s">
        <v>522</v>
      </c>
      <c r="F165" s="112"/>
      <c r="G165" s="169">
        <f>G166</f>
        <v>3628.8</v>
      </c>
      <c r="H165" s="169">
        <f>H166</f>
        <v>3628.8</v>
      </c>
      <c r="I165" s="13" t="e">
        <f t="shared" si="8"/>
        <v>#DIV/0!</v>
      </c>
    </row>
    <row r="166" spans="1:9" s="15" customFormat="1" ht="28.5">
      <c r="A166" s="52" t="s">
        <v>484</v>
      </c>
      <c r="B166" s="111"/>
      <c r="C166" s="101" t="s">
        <v>114</v>
      </c>
      <c r="D166" s="101" t="s">
        <v>377</v>
      </c>
      <c r="E166" s="101" t="s">
        <v>522</v>
      </c>
      <c r="F166" s="112" t="s">
        <v>477</v>
      </c>
      <c r="G166" s="169">
        <v>3628.8</v>
      </c>
      <c r="H166" s="169">
        <v>3628.8</v>
      </c>
      <c r="I166" s="13">
        <f t="shared" si="8"/>
        <v>64.18678694613956</v>
      </c>
    </row>
    <row r="167" spans="1:9" ht="15" hidden="1">
      <c r="A167" s="52" t="s">
        <v>514</v>
      </c>
      <c r="B167" s="111"/>
      <c r="C167" s="101" t="s">
        <v>114</v>
      </c>
      <c r="D167" s="101" t="s">
        <v>377</v>
      </c>
      <c r="E167" s="101" t="s">
        <v>522</v>
      </c>
      <c r="F167" s="112" t="s">
        <v>515</v>
      </c>
      <c r="G167" s="169"/>
      <c r="H167" s="169"/>
      <c r="I167" s="13"/>
    </row>
    <row r="168" spans="1:9" ht="42.75" hidden="1">
      <c r="A168" s="54" t="s">
        <v>516</v>
      </c>
      <c r="B168" s="114"/>
      <c r="C168" s="115" t="s">
        <v>114</v>
      </c>
      <c r="D168" s="115" t="s">
        <v>377</v>
      </c>
      <c r="E168" s="115" t="s">
        <v>522</v>
      </c>
      <c r="F168" s="116" t="s">
        <v>49</v>
      </c>
      <c r="G168" s="170"/>
      <c r="H168" s="170"/>
      <c r="I168" s="13"/>
    </row>
    <row r="169" spans="1:9" ht="15">
      <c r="A169" s="56" t="s">
        <v>507</v>
      </c>
      <c r="B169" s="114"/>
      <c r="C169" s="115" t="s">
        <v>114</v>
      </c>
      <c r="D169" s="115" t="s">
        <v>377</v>
      </c>
      <c r="E169" s="115" t="s">
        <v>122</v>
      </c>
      <c r="F169" s="116"/>
      <c r="G169" s="170">
        <f>G170</f>
        <v>5653.5</v>
      </c>
      <c r="H169" s="170">
        <f>H170</f>
        <v>5653.5</v>
      </c>
      <c r="I169" s="13"/>
    </row>
    <row r="170" spans="1:9" ht="28.5">
      <c r="A170" s="56" t="s">
        <v>523</v>
      </c>
      <c r="B170" s="114"/>
      <c r="C170" s="115" t="s">
        <v>114</v>
      </c>
      <c r="D170" s="115" t="s">
        <v>377</v>
      </c>
      <c r="E170" s="115" t="s">
        <v>45</v>
      </c>
      <c r="F170" s="116"/>
      <c r="G170" s="170">
        <f>SUM(G171)</f>
        <v>5653.5</v>
      </c>
      <c r="H170" s="170">
        <f>SUM(H171)</f>
        <v>5653.5</v>
      </c>
      <c r="I170" s="13"/>
    </row>
    <row r="171" spans="1:9" ht="28.5">
      <c r="A171" s="54" t="s">
        <v>484</v>
      </c>
      <c r="B171" s="114"/>
      <c r="C171" s="115" t="s">
        <v>114</v>
      </c>
      <c r="D171" s="115" t="s">
        <v>377</v>
      </c>
      <c r="E171" s="115" t="s">
        <v>45</v>
      </c>
      <c r="F171" s="116" t="s">
        <v>477</v>
      </c>
      <c r="G171" s="170">
        <v>5653.5</v>
      </c>
      <c r="H171" s="170">
        <v>5653.5</v>
      </c>
      <c r="I171" s="13"/>
    </row>
    <row r="172" spans="1:9" ht="15">
      <c r="A172" s="52" t="s">
        <v>394</v>
      </c>
      <c r="B172" s="47"/>
      <c r="C172" s="97" t="s">
        <v>124</v>
      </c>
      <c r="D172" s="97"/>
      <c r="E172" s="97"/>
      <c r="F172" s="124"/>
      <c r="G172" s="171">
        <f>SUM(G226+G232+G244)</f>
        <v>55965.9</v>
      </c>
      <c r="H172" s="171">
        <f>SUM(H226+H232+H244)</f>
        <v>55965.9</v>
      </c>
      <c r="I172" s="13"/>
    </row>
    <row r="173" spans="1:9" ht="15" hidden="1">
      <c r="A173" s="51" t="s">
        <v>395</v>
      </c>
      <c r="B173" s="36"/>
      <c r="C173" s="46" t="s">
        <v>124</v>
      </c>
      <c r="D173" s="46" t="s">
        <v>429</v>
      </c>
      <c r="E173" s="46"/>
      <c r="F173" s="107"/>
      <c r="G173" s="75"/>
      <c r="H173" s="75"/>
      <c r="I173" s="13"/>
    </row>
    <row r="174" spans="1:9" ht="28.5" hidden="1">
      <c r="A174" s="52" t="s">
        <v>396</v>
      </c>
      <c r="B174" s="36"/>
      <c r="C174" s="46" t="s">
        <v>124</v>
      </c>
      <c r="D174" s="46" t="s">
        <v>429</v>
      </c>
      <c r="E174" s="46" t="s">
        <v>397</v>
      </c>
      <c r="F174" s="107"/>
      <c r="G174" s="75">
        <f>SUM(G175+G182)</f>
        <v>0</v>
      </c>
      <c r="H174" s="75">
        <f>SUM(H175+H182)</f>
        <v>0</v>
      </c>
      <c r="I174" s="13"/>
    </row>
    <row r="175" spans="1:9" ht="57" hidden="1">
      <c r="A175" s="52" t="s">
        <v>398</v>
      </c>
      <c r="B175" s="36"/>
      <c r="C175" s="46" t="s">
        <v>124</v>
      </c>
      <c r="D175" s="46" t="s">
        <v>429</v>
      </c>
      <c r="E175" s="46" t="s">
        <v>399</v>
      </c>
      <c r="F175" s="107"/>
      <c r="G175" s="75">
        <f>SUM(G176+G178+G180)</f>
        <v>0</v>
      </c>
      <c r="H175" s="75">
        <f>SUM(H176+H178+H180)</f>
        <v>0</v>
      </c>
      <c r="I175" s="13"/>
    </row>
    <row r="176" spans="1:9" ht="42.75" hidden="1">
      <c r="A176" s="52" t="s">
        <v>25</v>
      </c>
      <c r="B176" s="36"/>
      <c r="C176" s="46" t="s">
        <v>124</v>
      </c>
      <c r="D176" s="46" t="s">
        <v>429</v>
      </c>
      <c r="E176" s="46" t="s">
        <v>26</v>
      </c>
      <c r="F176" s="107"/>
      <c r="G176" s="75">
        <f>SUM(G177)</f>
        <v>0</v>
      </c>
      <c r="H176" s="75">
        <f>SUM(H177)</f>
        <v>0</v>
      </c>
      <c r="I176" s="13"/>
    </row>
    <row r="177" spans="1:9" ht="15" hidden="1">
      <c r="A177" s="51" t="s">
        <v>7</v>
      </c>
      <c r="B177" s="36"/>
      <c r="C177" s="46" t="s">
        <v>124</v>
      </c>
      <c r="D177" s="46" t="s">
        <v>429</v>
      </c>
      <c r="E177" s="46" t="s">
        <v>26</v>
      </c>
      <c r="F177" s="107" t="s">
        <v>8</v>
      </c>
      <c r="G177" s="75"/>
      <c r="H177" s="75"/>
      <c r="I177" s="13" t="e">
        <f aca="true" t="shared" si="9" ref="I177:I186">SUM(H177/G180*100)</f>
        <v>#DIV/0!</v>
      </c>
    </row>
    <row r="178" spans="1:9" ht="57" hidden="1">
      <c r="A178" s="52" t="s">
        <v>27</v>
      </c>
      <c r="B178" s="36"/>
      <c r="C178" s="46" t="s">
        <v>124</v>
      </c>
      <c r="D178" s="46" t="s">
        <v>429</v>
      </c>
      <c r="E178" s="46" t="s">
        <v>28</v>
      </c>
      <c r="F178" s="107"/>
      <c r="G178" s="75">
        <f>SUM(G179)</f>
        <v>0</v>
      </c>
      <c r="H178" s="75">
        <f>SUM(H179)</f>
        <v>0</v>
      </c>
      <c r="I178" s="13" t="e">
        <f t="shared" si="9"/>
        <v>#DIV/0!</v>
      </c>
    </row>
    <row r="179" spans="1:9" ht="15" hidden="1">
      <c r="A179" s="57" t="s">
        <v>127</v>
      </c>
      <c r="B179" s="36"/>
      <c r="C179" s="46" t="s">
        <v>124</v>
      </c>
      <c r="D179" s="46" t="s">
        <v>429</v>
      </c>
      <c r="E179" s="46" t="s">
        <v>28</v>
      </c>
      <c r="F179" s="107" t="s">
        <v>128</v>
      </c>
      <c r="G179" s="75"/>
      <c r="H179" s="75"/>
      <c r="I179" s="13" t="e">
        <f t="shared" si="9"/>
        <v>#DIV/0!</v>
      </c>
    </row>
    <row r="180" spans="1:9" ht="71.25" hidden="1">
      <c r="A180" s="52" t="s">
        <v>247</v>
      </c>
      <c r="B180" s="36"/>
      <c r="C180" s="46" t="s">
        <v>124</v>
      </c>
      <c r="D180" s="46" t="s">
        <v>429</v>
      </c>
      <c r="E180" s="46" t="s">
        <v>132</v>
      </c>
      <c r="F180" s="107"/>
      <c r="G180" s="75">
        <f>SUM(G181)</f>
        <v>0</v>
      </c>
      <c r="H180" s="75">
        <f>SUM(H181)</f>
        <v>0</v>
      </c>
      <c r="I180" s="13" t="e">
        <f t="shared" si="9"/>
        <v>#DIV/0!</v>
      </c>
    </row>
    <row r="181" spans="1:9" ht="15" hidden="1">
      <c r="A181" s="57" t="s">
        <v>127</v>
      </c>
      <c r="B181" s="36"/>
      <c r="C181" s="46" t="s">
        <v>124</v>
      </c>
      <c r="D181" s="46" t="s">
        <v>429</v>
      </c>
      <c r="E181" s="46" t="s">
        <v>132</v>
      </c>
      <c r="F181" s="107" t="s">
        <v>128</v>
      </c>
      <c r="G181" s="75"/>
      <c r="H181" s="75"/>
      <c r="I181" s="13" t="e">
        <f t="shared" si="9"/>
        <v>#DIV/0!</v>
      </c>
    </row>
    <row r="182" spans="1:9" ht="42.75" hidden="1">
      <c r="A182" s="52" t="s">
        <v>400</v>
      </c>
      <c r="B182" s="36"/>
      <c r="C182" s="46" t="s">
        <v>124</v>
      </c>
      <c r="D182" s="46" t="s">
        <v>429</v>
      </c>
      <c r="E182" s="46" t="s">
        <v>401</v>
      </c>
      <c r="F182" s="107"/>
      <c r="G182" s="75">
        <f>SUM(G183)+G189+G192</f>
        <v>0</v>
      </c>
      <c r="H182" s="75">
        <f>SUM(H183)+H189+H192</f>
        <v>0</v>
      </c>
      <c r="I182" s="13" t="e">
        <f t="shared" si="9"/>
        <v>#DIV/0!</v>
      </c>
    </row>
    <row r="183" spans="1:9" s="15" customFormat="1" ht="28.5" hidden="1">
      <c r="A183" s="52" t="s">
        <v>402</v>
      </c>
      <c r="B183" s="36"/>
      <c r="C183" s="46" t="s">
        <v>124</v>
      </c>
      <c r="D183" s="46" t="s">
        <v>429</v>
      </c>
      <c r="E183" s="46" t="s">
        <v>403</v>
      </c>
      <c r="F183" s="107"/>
      <c r="G183" s="75">
        <f>SUM(G184+G185)</f>
        <v>0</v>
      </c>
      <c r="H183" s="75">
        <f>SUM(H184+H185)</f>
        <v>0</v>
      </c>
      <c r="I183" s="13" t="e">
        <f t="shared" si="9"/>
        <v>#DIV/0!</v>
      </c>
    </row>
    <row r="184" spans="1:9" ht="15" hidden="1">
      <c r="A184" s="52" t="s">
        <v>7</v>
      </c>
      <c r="B184" s="36"/>
      <c r="C184" s="46" t="s">
        <v>124</v>
      </c>
      <c r="D184" s="46" t="s">
        <v>429</v>
      </c>
      <c r="E184" s="46" t="s">
        <v>403</v>
      </c>
      <c r="F184" s="107" t="s">
        <v>8</v>
      </c>
      <c r="G184" s="75"/>
      <c r="H184" s="75"/>
      <c r="I184" s="13" t="e">
        <f t="shared" si="9"/>
        <v>#DIV/0!</v>
      </c>
    </row>
    <row r="185" spans="1:9" ht="28.5" hidden="1">
      <c r="A185" s="52" t="s">
        <v>404</v>
      </c>
      <c r="B185" s="36"/>
      <c r="C185" s="46" t="s">
        <v>124</v>
      </c>
      <c r="D185" s="46" t="s">
        <v>429</v>
      </c>
      <c r="E185" s="46" t="s">
        <v>403</v>
      </c>
      <c r="F185" s="107" t="s">
        <v>405</v>
      </c>
      <c r="G185" s="75"/>
      <c r="H185" s="75"/>
      <c r="I185" s="13" t="e">
        <f t="shared" si="9"/>
        <v>#DIV/0!</v>
      </c>
    </row>
    <row r="186" spans="1:9" ht="28.5" hidden="1">
      <c r="A186" s="52" t="s">
        <v>242</v>
      </c>
      <c r="B186" s="36"/>
      <c r="C186" s="46" t="s">
        <v>124</v>
      </c>
      <c r="D186" s="46" t="s">
        <v>429</v>
      </c>
      <c r="E186" s="46" t="s">
        <v>392</v>
      </c>
      <c r="F186" s="107"/>
      <c r="G186" s="75">
        <f>SUM(G187)</f>
        <v>0</v>
      </c>
      <c r="H186" s="75">
        <f>SUM(H187)</f>
        <v>0</v>
      </c>
      <c r="I186" s="13" t="e">
        <f t="shared" si="9"/>
        <v>#DIV/0!</v>
      </c>
    </row>
    <row r="187" spans="1:9" ht="28.5" hidden="1">
      <c r="A187" s="52" t="s">
        <v>125</v>
      </c>
      <c r="B187" s="36"/>
      <c r="C187" s="46" t="s">
        <v>124</v>
      </c>
      <c r="D187" s="46" t="s">
        <v>429</v>
      </c>
      <c r="E187" s="46" t="s">
        <v>126</v>
      </c>
      <c r="F187" s="107"/>
      <c r="G187" s="75">
        <f>SUM(G188)</f>
        <v>0</v>
      </c>
      <c r="H187" s="75">
        <f>SUM(H188)</f>
        <v>0</v>
      </c>
      <c r="I187" s="13"/>
    </row>
    <row r="188" spans="1:9" ht="15" hidden="1">
      <c r="A188" s="52" t="s">
        <v>127</v>
      </c>
      <c r="B188" s="36"/>
      <c r="C188" s="46" t="s">
        <v>124</v>
      </c>
      <c r="D188" s="46" t="s">
        <v>429</v>
      </c>
      <c r="E188" s="46" t="s">
        <v>126</v>
      </c>
      <c r="F188" s="107" t="s">
        <v>128</v>
      </c>
      <c r="G188" s="75"/>
      <c r="H188" s="75"/>
      <c r="I188" s="13"/>
    </row>
    <row r="189" spans="1:9" ht="28.5" hidden="1">
      <c r="A189" s="52" t="s">
        <v>406</v>
      </c>
      <c r="B189" s="36"/>
      <c r="C189" s="46" t="s">
        <v>124</v>
      </c>
      <c r="D189" s="46" t="s">
        <v>429</v>
      </c>
      <c r="E189" s="46" t="s">
        <v>407</v>
      </c>
      <c r="F189" s="107"/>
      <c r="G189" s="75">
        <f>SUM(G190+G191)</f>
        <v>0</v>
      </c>
      <c r="H189" s="75">
        <f>SUM(H190+H191)</f>
        <v>0</v>
      </c>
      <c r="I189" s="13"/>
    </row>
    <row r="190" spans="1:9" ht="42.75" hidden="1">
      <c r="A190" s="51" t="s">
        <v>12</v>
      </c>
      <c r="B190" s="36"/>
      <c r="C190" s="46" t="s">
        <v>124</v>
      </c>
      <c r="D190" s="46" t="s">
        <v>429</v>
      </c>
      <c r="E190" s="46" t="s">
        <v>407</v>
      </c>
      <c r="F190" s="107" t="s">
        <v>49</v>
      </c>
      <c r="G190" s="75"/>
      <c r="H190" s="75"/>
      <c r="I190" s="13" t="e">
        <f>SUM(H190/G193*100)</f>
        <v>#DIV/0!</v>
      </c>
    </row>
    <row r="191" spans="1:9" s="15" customFormat="1" ht="15" hidden="1">
      <c r="A191" s="57" t="s">
        <v>127</v>
      </c>
      <c r="B191" s="36"/>
      <c r="C191" s="46" t="s">
        <v>124</v>
      </c>
      <c r="D191" s="46" t="s">
        <v>429</v>
      </c>
      <c r="E191" s="46" t="s">
        <v>407</v>
      </c>
      <c r="F191" s="107" t="s">
        <v>128</v>
      </c>
      <c r="G191" s="75"/>
      <c r="H191" s="75"/>
      <c r="I191" s="13" t="e">
        <f>SUM(H191/G194*100)</f>
        <v>#DIV/0!</v>
      </c>
    </row>
    <row r="192" spans="1:9" s="15" customFormat="1" ht="42.75" hidden="1">
      <c r="A192" s="52" t="s">
        <v>408</v>
      </c>
      <c r="B192" s="36"/>
      <c r="C192" s="46" t="s">
        <v>124</v>
      </c>
      <c r="D192" s="46" t="s">
        <v>429</v>
      </c>
      <c r="E192" s="46" t="s">
        <v>409</v>
      </c>
      <c r="F192" s="107"/>
      <c r="G192" s="75">
        <f>SUM(G193)</f>
        <v>0</v>
      </c>
      <c r="H192" s="75">
        <f>SUM(H193)</f>
        <v>0</v>
      </c>
      <c r="I192" s="13"/>
    </row>
    <row r="193" spans="1:9" s="19" customFormat="1" ht="15" hidden="1">
      <c r="A193" s="57" t="s">
        <v>127</v>
      </c>
      <c r="B193" s="36"/>
      <c r="C193" s="46" t="s">
        <v>124</v>
      </c>
      <c r="D193" s="46" t="s">
        <v>429</v>
      </c>
      <c r="E193" s="46" t="s">
        <v>409</v>
      </c>
      <c r="F193" s="107" t="s">
        <v>128</v>
      </c>
      <c r="G193" s="75"/>
      <c r="H193" s="75"/>
      <c r="I193" s="13" t="e">
        <f aca="true" t="shared" si="10" ref="I193:I198">SUM(H193/G196*100)</f>
        <v>#DIV/0!</v>
      </c>
    </row>
    <row r="194" spans="1:9" s="18" customFormat="1" ht="15" hidden="1">
      <c r="A194" s="51" t="s">
        <v>410</v>
      </c>
      <c r="B194" s="36"/>
      <c r="C194" s="46" t="s">
        <v>124</v>
      </c>
      <c r="D194" s="46" t="s">
        <v>429</v>
      </c>
      <c r="E194" s="46" t="s">
        <v>411</v>
      </c>
      <c r="F194" s="107"/>
      <c r="G194" s="75">
        <f>SUM(G195+G197)</f>
        <v>0</v>
      </c>
      <c r="H194" s="75">
        <f>SUM(H195+H197)</f>
        <v>0</v>
      </c>
      <c r="I194" s="13" t="e">
        <f t="shared" si="10"/>
        <v>#DIV/0!</v>
      </c>
    </row>
    <row r="195" spans="1:9" s="18" customFormat="1" ht="42.75" hidden="1">
      <c r="A195" s="53" t="s">
        <v>412</v>
      </c>
      <c r="B195" s="36"/>
      <c r="C195" s="46" t="s">
        <v>124</v>
      </c>
      <c r="D195" s="46" t="s">
        <v>429</v>
      </c>
      <c r="E195" s="46" t="s">
        <v>413</v>
      </c>
      <c r="F195" s="107"/>
      <c r="G195" s="75">
        <f>SUM(G196)</f>
        <v>0</v>
      </c>
      <c r="H195" s="75">
        <f>SUM(H196)</f>
        <v>0</v>
      </c>
      <c r="I195" s="13" t="e">
        <f t="shared" si="10"/>
        <v>#DIV/0!</v>
      </c>
    </row>
    <row r="196" spans="1:9" s="18" customFormat="1" ht="15" hidden="1">
      <c r="A196" s="51" t="s">
        <v>7</v>
      </c>
      <c r="B196" s="36"/>
      <c r="C196" s="46" t="s">
        <v>124</v>
      </c>
      <c r="D196" s="46" t="s">
        <v>429</v>
      </c>
      <c r="E196" s="46" t="s">
        <v>413</v>
      </c>
      <c r="F196" s="107" t="s">
        <v>8</v>
      </c>
      <c r="G196" s="75"/>
      <c r="H196" s="75"/>
      <c r="I196" s="13" t="e">
        <f t="shared" si="10"/>
        <v>#DIV/0!</v>
      </c>
    </row>
    <row r="197" spans="1:9" s="18" customFormat="1" ht="28.5" hidden="1">
      <c r="A197" s="53" t="s">
        <v>414</v>
      </c>
      <c r="B197" s="47"/>
      <c r="C197" s="46" t="s">
        <v>124</v>
      </c>
      <c r="D197" s="46" t="s">
        <v>429</v>
      </c>
      <c r="E197" s="46" t="s">
        <v>415</v>
      </c>
      <c r="F197" s="108"/>
      <c r="G197" s="75">
        <f>SUM(G198)</f>
        <v>0</v>
      </c>
      <c r="H197" s="75">
        <f>SUM(H198)</f>
        <v>0</v>
      </c>
      <c r="I197" s="13" t="e">
        <f t="shared" si="10"/>
        <v>#DIV/0!</v>
      </c>
    </row>
    <row r="198" spans="1:9" s="18" customFormat="1" ht="15" hidden="1">
      <c r="A198" s="51" t="s">
        <v>95</v>
      </c>
      <c r="B198" s="125"/>
      <c r="C198" s="46" t="s">
        <v>124</v>
      </c>
      <c r="D198" s="46" t="s">
        <v>429</v>
      </c>
      <c r="E198" s="46" t="s">
        <v>415</v>
      </c>
      <c r="F198" s="107" t="s">
        <v>96</v>
      </c>
      <c r="G198" s="75"/>
      <c r="H198" s="75"/>
      <c r="I198" s="13" t="e">
        <f t="shared" si="10"/>
        <v>#DIV/0!</v>
      </c>
    </row>
    <row r="199" spans="1:9" s="18" customFormat="1" ht="15" hidden="1">
      <c r="A199" s="53" t="s">
        <v>3</v>
      </c>
      <c r="B199" s="36"/>
      <c r="C199" s="46" t="s">
        <v>124</v>
      </c>
      <c r="D199" s="46" t="s">
        <v>429</v>
      </c>
      <c r="E199" s="46" t="s">
        <v>4</v>
      </c>
      <c r="F199" s="107"/>
      <c r="G199" s="75">
        <f>SUM(G203)+G208+G200</f>
        <v>0</v>
      </c>
      <c r="H199" s="75">
        <f>SUM(H203)+H208+H200</f>
        <v>0</v>
      </c>
      <c r="I199" s="13"/>
    </row>
    <row r="200" spans="1:9" s="18" customFormat="1" ht="28.5" hidden="1">
      <c r="A200" s="53" t="s">
        <v>416</v>
      </c>
      <c r="B200" s="36"/>
      <c r="C200" s="46" t="s">
        <v>124</v>
      </c>
      <c r="D200" s="46" t="s">
        <v>429</v>
      </c>
      <c r="E200" s="46" t="s">
        <v>417</v>
      </c>
      <c r="F200" s="107"/>
      <c r="G200" s="75">
        <f>SUM(G201)</f>
        <v>0</v>
      </c>
      <c r="H200" s="75">
        <f>SUM(H201)</f>
        <v>0</v>
      </c>
      <c r="I200" s="13"/>
    </row>
    <row r="201" spans="1:9" s="29" customFormat="1" ht="15" hidden="1">
      <c r="A201" s="53" t="s">
        <v>127</v>
      </c>
      <c r="B201" s="36"/>
      <c r="C201" s="46" t="s">
        <v>124</v>
      </c>
      <c r="D201" s="46" t="s">
        <v>429</v>
      </c>
      <c r="E201" s="46" t="s">
        <v>417</v>
      </c>
      <c r="F201" s="107" t="s">
        <v>128</v>
      </c>
      <c r="G201" s="75"/>
      <c r="H201" s="75"/>
      <c r="I201" s="13" t="e">
        <f>SUM(H201/G204*100)</f>
        <v>#DIV/0!</v>
      </c>
    </row>
    <row r="202" spans="1:9" s="18" customFormat="1" ht="15" hidden="1">
      <c r="A202" s="53"/>
      <c r="B202" s="36"/>
      <c r="C202" s="46"/>
      <c r="D202" s="46"/>
      <c r="E202" s="46"/>
      <c r="F202" s="107"/>
      <c r="G202" s="75"/>
      <c r="H202" s="75"/>
      <c r="I202" s="13" t="e">
        <f>SUM(H202/G205*100)</f>
        <v>#DIV/0!</v>
      </c>
    </row>
    <row r="203" spans="1:9" s="18" customFormat="1" ht="28.5" hidden="1">
      <c r="A203" s="51" t="s">
        <v>418</v>
      </c>
      <c r="B203" s="36"/>
      <c r="C203" s="46" t="s">
        <v>124</v>
      </c>
      <c r="D203" s="46" t="s">
        <v>429</v>
      </c>
      <c r="E203" s="46" t="s">
        <v>419</v>
      </c>
      <c r="F203" s="107"/>
      <c r="G203" s="75">
        <f>SUM(G204+G206)</f>
        <v>0</v>
      </c>
      <c r="H203" s="75">
        <f>SUM(H204+H206)</f>
        <v>0</v>
      </c>
      <c r="I203" s="13" t="e">
        <f>SUM(H203/G206*100)</f>
        <v>#DIV/0!</v>
      </c>
    </row>
    <row r="204" spans="1:9" s="18" customFormat="1" ht="28.5" hidden="1">
      <c r="A204" s="53" t="s">
        <v>420</v>
      </c>
      <c r="B204" s="36"/>
      <c r="C204" s="46" t="s">
        <v>124</v>
      </c>
      <c r="D204" s="46" t="s">
        <v>429</v>
      </c>
      <c r="E204" s="46" t="s">
        <v>421</v>
      </c>
      <c r="F204" s="107"/>
      <c r="G204" s="75">
        <f>SUM(G205)</f>
        <v>0</v>
      </c>
      <c r="H204" s="75">
        <f>SUM(H205)</f>
        <v>0</v>
      </c>
      <c r="I204" s="13" t="e">
        <f>SUM(H204/G207*100)</f>
        <v>#DIV/0!</v>
      </c>
    </row>
    <row r="205" spans="1:9" s="18" customFormat="1" ht="15" hidden="1">
      <c r="A205" s="52" t="s">
        <v>127</v>
      </c>
      <c r="B205" s="36"/>
      <c r="C205" s="46" t="s">
        <v>124</v>
      </c>
      <c r="D205" s="46" t="s">
        <v>429</v>
      </c>
      <c r="E205" s="46" t="s">
        <v>421</v>
      </c>
      <c r="F205" s="107" t="s">
        <v>128</v>
      </c>
      <c r="G205" s="75"/>
      <c r="H205" s="75"/>
      <c r="I205" s="13"/>
    </row>
    <row r="206" spans="1:9" s="18" customFormat="1" ht="15" hidden="1">
      <c r="A206" s="52" t="s">
        <v>422</v>
      </c>
      <c r="B206" s="36"/>
      <c r="C206" s="46" t="s">
        <v>124</v>
      </c>
      <c r="D206" s="46" t="s">
        <v>429</v>
      </c>
      <c r="E206" s="46" t="s">
        <v>423</v>
      </c>
      <c r="F206" s="107"/>
      <c r="G206" s="75">
        <f>SUM(G207)</f>
        <v>0</v>
      </c>
      <c r="H206" s="75">
        <f>SUM(H207)</f>
        <v>0</v>
      </c>
      <c r="I206" s="13"/>
    </row>
    <row r="207" spans="1:9" s="18" customFormat="1" ht="15" hidden="1">
      <c r="A207" s="51" t="s">
        <v>95</v>
      </c>
      <c r="B207" s="125"/>
      <c r="C207" s="46" t="s">
        <v>124</v>
      </c>
      <c r="D207" s="46" t="s">
        <v>429</v>
      </c>
      <c r="E207" s="46" t="s">
        <v>423</v>
      </c>
      <c r="F207" s="107" t="s">
        <v>96</v>
      </c>
      <c r="G207" s="75"/>
      <c r="H207" s="75"/>
      <c r="I207" s="13" t="e">
        <f>SUM(H207/G210*100)</f>
        <v>#DIV/0!</v>
      </c>
    </row>
    <row r="208" spans="1:9" s="18" customFormat="1" ht="28.5" hidden="1">
      <c r="A208" s="51" t="s">
        <v>424</v>
      </c>
      <c r="B208" s="125"/>
      <c r="C208" s="46" t="s">
        <v>124</v>
      </c>
      <c r="D208" s="46" t="s">
        <v>429</v>
      </c>
      <c r="E208" s="46" t="s">
        <v>425</v>
      </c>
      <c r="F208" s="107"/>
      <c r="G208" s="75"/>
      <c r="H208" s="75"/>
      <c r="I208" s="13" t="e">
        <f>SUM(H208/G211*100)</f>
        <v>#DIV/0!</v>
      </c>
    </row>
    <row r="209" spans="1:9" s="18" customFormat="1" ht="28.5" hidden="1">
      <c r="A209" s="51" t="s">
        <v>35</v>
      </c>
      <c r="B209" s="125"/>
      <c r="C209" s="46" t="s">
        <v>124</v>
      </c>
      <c r="D209" s="46" t="s">
        <v>429</v>
      </c>
      <c r="E209" s="46" t="s">
        <v>36</v>
      </c>
      <c r="F209" s="107"/>
      <c r="G209" s="75">
        <f>SUM(G210)</f>
        <v>0</v>
      </c>
      <c r="H209" s="75">
        <f>SUM(H210)</f>
        <v>0</v>
      </c>
      <c r="I209" s="13" t="e">
        <f>SUM(H209/G212*100)</f>
        <v>#DIV/0!</v>
      </c>
    </row>
    <row r="210" spans="1:9" s="15" customFormat="1" ht="15" hidden="1">
      <c r="A210" s="51" t="s">
        <v>7</v>
      </c>
      <c r="B210" s="125"/>
      <c r="C210" s="46" t="s">
        <v>124</v>
      </c>
      <c r="D210" s="46" t="s">
        <v>429</v>
      </c>
      <c r="E210" s="46" t="s">
        <v>36</v>
      </c>
      <c r="F210" s="107" t="s">
        <v>8</v>
      </c>
      <c r="G210" s="75"/>
      <c r="H210" s="75"/>
      <c r="I210" s="13"/>
    </row>
    <row r="211" spans="1:9" s="19" customFormat="1" ht="28.5" hidden="1">
      <c r="A211" s="51" t="s">
        <v>37</v>
      </c>
      <c r="B211" s="125"/>
      <c r="C211" s="46" t="s">
        <v>124</v>
      </c>
      <c r="D211" s="46" t="s">
        <v>429</v>
      </c>
      <c r="E211" s="46" t="s">
        <v>38</v>
      </c>
      <c r="F211" s="107"/>
      <c r="G211" s="75">
        <f>SUM(G212)</f>
        <v>0</v>
      </c>
      <c r="H211" s="75">
        <f>SUM(H212)</f>
        <v>0</v>
      </c>
      <c r="I211" s="13" t="e">
        <f aca="true" t="shared" si="11" ref="I211:I254">SUM(H211/G214*100)</f>
        <v>#DIV/0!</v>
      </c>
    </row>
    <row r="212" spans="1:9" s="18" customFormat="1" ht="15" hidden="1">
      <c r="A212" s="51" t="s">
        <v>7</v>
      </c>
      <c r="B212" s="125"/>
      <c r="C212" s="46" t="s">
        <v>124</v>
      </c>
      <c r="D212" s="46" t="s">
        <v>429</v>
      </c>
      <c r="E212" s="46" t="s">
        <v>38</v>
      </c>
      <c r="F212" s="107" t="s">
        <v>8</v>
      </c>
      <c r="G212" s="75"/>
      <c r="H212" s="75"/>
      <c r="I212" s="13" t="e">
        <f t="shared" si="11"/>
        <v>#DIV/0!</v>
      </c>
    </row>
    <row r="213" spans="1:9" s="18" customFormat="1" ht="15" hidden="1">
      <c r="A213" s="51" t="s">
        <v>410</v>
      </c>
      <c r="B213" s="125"/>
      <c r="C213" s="46" t="s">
        <v>124</v>
      </c>
      <c r="D213" s="46" t="s">
        <v>429</v>
      </c>
      <c r="E213" s="46" t="s">
        <v>411</v>
      </c>
      <c r="F213" s="107"/>
      <c r="G213" s="75">
        <f>SUM(G214)</f>
        <v>0</v>
      </c>
      <c r="H213" s="75">
        <f>SUM(H214)</f>
        <v>0</v>
      </c>
      <c r="I213" s="13" t="e">
        <f t="shared" si="11"/>
        <v>#DIV/0!</v>
      </c>
    </row>
    <row r="214" spans="1:9" s="18" customFormat="1" ht="28.5" hidden="1">
      <c r="A214" s="51" t="s">
        <v>281</v>
      </c>
      <c r="B214" s="125"/>
      <c r="C214" s="46" t="s">
        <v>124</v>
      </c>
      <c r="D214" s="46" t="s">
        <v>429</v>
      </c>
      <c r="E214" s="46" t="s">
        <v>415</v>
      </c>
      <c r="F214" s="107"/>
      <c r="G214" s="75">
        <f>SUM(G215)</f>
        <v>0</v>
      </c>
      <c r="H214" s="75">
        <f>SUM(H215)</f>
        <v>0</v>
      </c>
      <c r="I214" s="13" t="e">
        <f t="shared" si="11"/>
        <v>#DIV/0!</v>
      </c>
    </row>
    <row r="215" spans="1:9" s="18" customFormat="1" ht="15" hidden="1">
      <c r="A215" s="51" t="s">
        <v>95</v>
      </c>
      <c r="B215" s="125"/>
      <c r="C215" s="46" t="s">
        <v>124</v>
      </c>
      <c r="D215" s="46" t="s">
        <v>429</v>
      </c>
      <c r="E215" s="46" t="s">
        <v>415</v>
      </c>
      <c r="F215" s="107" t="s">
        <v>96</v>
      </c>
      <c r="G215" s="75"/>
      <c r="H215" s="75"/>
      <c r="I215" s="13" t="e">
        <f t="shared" si="11"/>
        <v>#DIV/0!</v>
      </c>
    </row>
    <row r="216" spans="1:9" s="15" customFormat="1" ht="15" hidden="1">
      <c r="A216" s="57" t="s">
        <v>121</v>
      </c>
      <c r="B216" s="36"/>
      <c r="C216" s="46" t="s">
        <v>124</v>
      </c>
      <c r="D216" s="46" t="s">
        <v>429</v>
      </c>
      <c r="E216" s="46" t="s">
        <v>122</v>
      </c>
      <c r="F216" s="107"/>
      <c r="G216" s="75">
        <f>SUM(G217+G220)+G224</f>
        <v>0</v>
      </c>
      <c r="H216" s="75">
        <f>SUM(H217+H220)+H224</f>
        <v>0</v>
      </c>
      <c r="I216" s="13" t="e">
        <f t="shared" si="11"/>
        <v>#DIV/0!</v>
      </c>
    </row>
    <row r="217" spans="1:9" s="15" customFormat="1" ht="42.75" hidden="1">
      <c r="A217" s="57" t="s">
        <v>524</v>
      </c>
      <c r="B217" s="36"/>
      <c r="C217" s="46" t="s">
        <v>124</v>
      </c>
      <c r="D217" s="46" t="s">
        <v>429</v>
      </c>
      <c r="E217" s="46" t="s">
        <v>292</v>
      </c>
      <c r="F217" s="107"/>
      <c r="G217" s="167">
        <f>SUM(G218)</f>
        <v>0</v>
      </c>
      <c r="H217" s="167">
        <f>SUM(H218)</f>
        <v>0</v>
      </c>
      <c r="I217" s="13" t="e">
        <f t="shared" si="11"/>
        <v>#DIV/0!</v>
      </c>
    </row>
    <row r="218" spans="1:9" s="15" customFormat="1" ht="15" hidden="1">
      <c r="A218" s="52" t="s">
        <v>7</v>
      </c>
      <c r="B218" s="36"/>
      <c r="C218" s="46" t="s">
        <v>124</v>
      </c>
      <c r="D218" s="46" t="s">
        <v>429</v>
      </c>
      <c r="E218" s="46" t="s">
        <v>292</v>
      </c>
      <c r="F218" s="107" t="s">
        <v>8</v>
      </c>
      <c r="G218" s="167"/>
      <c r="H218" s="167"/>
      <c r="I218" s="13" t="e">
        <f t="shared" si="11"/>
        <v>#DIV/0!</v>
      </c>
    </row>
    <row r="219" spans="1:9" s="15" customFormat="1" ht="15" hidden="1">
      <c r="A219" s="57" t="s">
        <v>39</v>
      </c>
      <c r="B219" s="36"/>
      <c r="C219" s="46" t="s">
        <v>124</v>
      </c>
      <c r="D219" s="46" t="s">
        <v>429</v>
      </c>
      <c r="E219" s="46" t="s">
        <v>40</v>
      </c>
      <c r="F219" s="107" t="s">
        <v>96</v>
      </c>
      <c r="G219" s="75"/>
      <c r="H219" s="75"/>
      <c r="I219" s="13" t="e">
        <f t="shared" si="11"/>
        <v>#DIV/0!</v>
      </c>
    </row>
    <row r="220" spans="1:9" s="15" customFormat="1" ht="15" hidden="1">
      <c r="A220" s="57" t="s">
        <v>127</v>
      </c>
      <c r="B220" s="36"/>
      <c r="C220" s="46" t="s">
        <v>124</v>
      </c>
      <c r="D220" s="46" t="s">
        <v>429</v>
      </c>
      <c r="E220" s="46" t="s">
        <v>122</v>
      </c>
      <c r="F220" s="107" t="s">
        <v>128</v>
      </c>
      <c r="G220" s="75">
        <f>SUM(G221)</f>
        <v>0</v>
      </c>
      <c r="H220" s="75">
        <f>SUM(H221)</f>
        <v>0</v>
      </c>
      <c r="I220" s="13" t="e">
        <f t="shared" si="11"/>
        <v>#DIV/0!</v>
      </c>
    </row>
    <row r="221" spans="1:9" s="15" customFormat="1" ht="28.5" hidden="1">
      <c r="A221" s="52" t="s">
        <v>41</v>
      </c>
      <c r="B221" s="36"/>
      <c r="C221" s="46" t="s">
        <v>124</v>
      </c>
      <c r="D221" s="46" t="s">
        <v>429</v>
      </c>
      <c r="E221" s="46" t="s">
        <v>42</v>
      </c>
      <c r="F221" s="107" t="s">
        <v>128</v>
      </c>
      <c r="G221" s="75">
        <f>SUM(G223)</f>
        <v>0</v>
      </c>
      <c r="H221" s="75">
        <f>SUM(H223)</f>
        <v>0</v>
      </c>
      <c r="I221" s="13" t="e">
        <f t="shared" si="11"/>
        <v>#DIV/0!</v>
      </c>
    </row>
    <row r="222" spans="1:9" s="15" customFormat="1" ht="28.5" hidden="1">
      <c r="A222" s="52" t="s">
        <v>56</v>
      </c>
      <c r="B222" s="36"/>
      <c r="C222" s="46"/>
      <c r="D222" s="46"/>
      <c r="E222" s="46"/>
      <c r="F222" s="107"/>
      <c r="G222" s="75"/>
      <c r="H222" s="75"/>
      <c r="I222" s="13" t="e">
        <f t="shared" si="11"/>
        <v>#DIV/0!</v>
      </c>
    </row>
    <row r="223" spans="1:9" s="15" customFormat="1" ht="28.5" hidden="1">
      <c r="A223" s="53" t="s">
        <v>420</v>
      </c>
      <c r="B223" s="36"/>
      <c r="C223" s="46" t="s">
        <v>124</v>
      </c>
      <c r="D223" s="46" t="s">
        <v>429</v>
      </c>
      <c r="E223" s="46" t="s">
        <v>43</v>
      </c>
      <c r="F223" s="107" t="s">
        <v>128</v>
      </c>
      <c r="G223" s="75"/>
      <c r="H223" s="75"/>
      <c r="I223" s="13">
        <f t="shared" si="11"/>
        <v>0</v>
      </c>
    </row>
    <row r="224" spans="1:9" s="15" customFormat="1" ht="28.5" hidden="1">
      <c r="A224" s="51" t="s">
        <v>44</v>
      </c>
      <c r="B224" s="36"/>
      <c r="C224" s="46" t="s">
        <v>124</v>
      </c>
      <c r="D224" s="46" t="s">
        <v>429</v>
      </c>
      <c r="E224" s="46" t="s">
        <v>45</v>
      </c>
      <c r="F224" s="107"/>
      <c r="G224" s="75">
        <f>SUM(G225)</f>
        <v>0</v>
      </c>
      <c r="H224" s="75">
        <f>SUM(H225)</f>
        <v>0</v>
      </c>
      <c r="I224" s="13">
        <f t="shared" si="11"/>
        <v>0</v>
      </c>
    </row>
    <row r="225" spans="1:9" s="15" customFormat="1" ht="15" hidden="1">
      <c r="A225" s="57" t="s">
        <v>127</v>
      </c>
      <c r="B225" s="36"/>
      <c r="C225" s="46" t="s">
        <v>124</v>
      </c>
      <c r="D225" s="46" t="s">
        <v>429</v>
      </c>
      <c r="E225" s="46" t="s">
        <v>45</v>
      </c>
      <c r="F225" s="107" t="s">
        <v>128</v>
      </c>
      <c r="G225" s="75"/>
      <c r="H225" s="75"/>
      <c r="I225" s="13">
        <f t="shared" si="11"/>
        <v>0</v>
      </c>
    </row>
    <row r="226" spans="1:9" s="15" customFormat="1" ht="15">
      <c r="A226" s="52" t="s">
        <v>46</v>
      </c>
      <c r="B226" s="111"/>
      <c r="C226" s="101" t="s">
        <v>124</v>
      </c>
      <c r="D226" s="101" t="s">
        <v>431</v>
      </c>
      <c r="E226" s="101"/>
      <c r="F226" s="112"/>
      <c r="G226" s="169">
        <f>G227</f>
        <v>4588.4</v>
      </c>
      <c r="H226" s="169">
        <f>H227</f>
        <v>4588.4</v>
      </c>
      <c r="I226" s="13">
        <f t="shared" si="11"/>
        <v>100</v>
      </c>
    </row>
    <row r="227" spans="1:9" s="15" customFormat="1" ht="15">
      <c r="A227" s="52" t="s">
        <v>288</v>
      </c>
      <c r="B227" s="111"/>
      <c r="C227" s="101" t="s">
        <v>124</v>
      </c>
      <c r="D227" s="101" t="s">
        <v>431</v>
      </c>
      <c r="E227" s="101" t="s">
        <v>525</v>
      </c>
      <c r="F227" s="112"/>
      <c r="G227" s="169">
        <f>G228</f>
        <v>4588.4</v>
      </c>
      <c r="H227" s="169">
        <f>H228</f>
        <v>4588.4</v>
      </c>
      <c r="I227" s="13" t="e">
        <f t="shared" si="11"/>
        <v>#DIV/0!</v>
      </c>
    </row>
    <row r="228" spans="1:9" s="15" customFormat="1" ht="15">
      <c r="A228" s="52" t="s">
        <v>32</v>
      </c>
      <c r="B228" s="111"/>
      <c r="C228" s="101" t="s">
        <v>124</v>
      </c>
      <c r="D228" s="101" t="s">
        <v>431</v>
      </c>
      <c r="E228" s="101" t="s">
        <v>526</v>
      </c>
      <c r="F228" s="112"/>
      <c r="G228" s="169">
        <f>SUM(G229)</f>
        <v>4588.4</v>
      </c>
      <c r="H228" s="169">
        <f>SUM(H229)</f>
        <v>4588.4</v>
      </c>
      <c r="I228" s="13" t="e">
        <f t="shared" si="11"/>
        <v>#DIV/0!</v>
      </c>
    </row>
    <row r="229" spans="1:9" s="15" customFormat="1" ht="15">
      <c r="A229" s="52" t="s">
        <v>463</v>
      </c>
      <c r="B229" s="111"/>
      <c r="C229" s="101" t="s">
        <v>124</v>
      </c>
      <c r="D229" s="101" t="s">
        <v>431</v>
      </c>
      <c r="E229" s="101" t="s">
        <v>526</v>
      </c>
      <c r="F229" s="112" t="s">
        <v>112</v>
      </c>
      <c r="G229" s="169">
        <v>4588.4</v>
      </c>
      <c r="H229" s="169">
        <v>4588.4</v>
      </c>
      <c r="I229" s="13">
        <f t="shared" si="11"/>
        <v>8.930757627366063</v>
      </c>
    </row>
    <row r="230" spans="1:9" s="15" customFormat="1" ht="28.5" hidden="1">
      <c r="A230" s="52" t="s">
        <v>498</v>
      </c>
      <c r="B230" s="111"/>
      <c r="C230" s="101" t="s">
        <v>124</v>
      </c>
      <c r="D230" s="101" t="s">
        <v>431</v>
      </c>
      <c r="E230" s="101" t="s">
        <v>526</v>
      </c>
      <c r="F230" s="112" t="s">
        <v>499</v>
      </c>
      <c r="G230" s="169"/>
      <c r="H230" s="169"/>
      <c r="I230" s="13">
        <f t="shared" si="11"/>
        <v>0</v>
      </c>
    </row>
    <row r="231" spans="1:9" s="15" customFormat="1" ht="28.5" hidden="1">
      <c r="A231" s="52" t="s">
        <v>498</v>
      </c>
      <c r="B231" s="111"/>
      <c r="C231" s="101" t="s">
        <v>124</v>
      </c>
      <c r="D231" s="101" t="s">
        <v>431</v>
      </c>
      <c r="E231" s="101" t="s">
        <v>526</v>
      </c>
      <c r="F231" s="112" t="s">
        <v>499</v>
      </c>
      <c r="G231" s="169"/>
      <c r="H231" s="169"/>
      <c r="I231" s="13">
        <f t="shared" si="11"/>
        <v>0</v>
      </c>
    </row>
    <row r="232" spans="1:9" s="15" customFormat="1" ht="15">
      <c r="A232" s="52" t="s">
        <v>34</v>
      </c>
      <c r="B232" s="111"/>
      <c r="C232" s="101" t="s">
        <v>124</v>
      </c>
      <c r="D232" s="101" t="s">
        <v>98</v>
      </c>
      <c r="E232" s="101"/>
      <c r="F232" s="112"/>
      <c r="G232" s="169">
        <f>G233</f>
        <v>51377.5</v>
      </c>
      <c r="H232" s="169">
        <f>H233</f>
        <v>51377.5</v>
      </c>
      <c r="I232" s="13">
        <f t="shared" si="11"/>
        <v>122.51962007053925</v>
      </c>
    </row>
    <row r="233" spans="1:9" s="15" customFormat="1" ht="15">
      <c r="A233" s="52" t="s">
        <v>34</v>
      </c>
      <c r="B233" s="118"/>
      <c r="C233" s="101" t="s">
        <v>124</v>
      </c>
      <c r="D233" s="101" t="s">
        <v>98</v>
      </c>
      <c r="E233" s="121" t="s">
        <v>61</v>
      </c>
      <c r="F233" s="122"/>
      <c r="G233" s="169">
        <f>G234+G238+G242</f>
        <v>51377.5</v>
      </c>
      <c r="H233" s="169">
        <f>H234+H238+H242</f>
        <v>51377.5</v>
      </c>
      <c r="I233" s="13" t="e">
        <f t="shared" si="11"/>
        <v>#DIV/0!</v>
      </c>
    </row>
    <row r="234" spans="1:9" s="15" customFormat="1" ht="15">
      <c r="A234" s="55" t="s">
        <v>62</v>
      </c>
      <c r="B234" s="118"/>
      <c r="C234" s="101" t="s">
        <v>124</v>
      </c>
      <c r="D234" s="101" t="s">
        <v>98</v>
      </c>
      <c r="E234" s="121" t="s">
        <v>63</v>
      </c>
      <c r="F234" s="122"/>
      <c r="G234" s="169">
        <f>SUM(G235)</f>
        <v>41934.1</v>
      </c>
      <c r="H234" s="169">
        <f>SUM(H235)</f>
        <v>41934.1</v>
      </c>
      <c r="I234" s="13" t="e">
        <f t="shared" si="11"/>
        <v>#DIV/0!</v>
      </c>
    </row>
    <row r="235" spans="1:9" s="15" customFormat="1" ht="15">
      <c r="A235" s="52" t="s">
        <v>463</v>
      </c>
      <c r="B235" s="118"/>
      <c r="C235" s="101" t="s">
        <v>124</v>
      </c>
      <c r="D235" s="101" t="s">
        <v>98</v>
      </c>
      <c r="E235" s="121" t="s">
        <v>63</v>
      </c>
      <c r="F235" s="122" t="s">
        <v>112</v>
      </c>
      <c r="G235" s="169">
        <v>41934.1</v>
      </c>
      <c r="H235" s="169">
        <v>41934.1</v>
      </c>
      <c r="I235" s="13">
        <f t="shared" si="11"/>
        <v>453.58680367766357</v>
      </c>
    </row>
    <row r="236" spans="1:9" s="15" customFormat="1" ht="28.5" hidden="1">
      <c r="A236" s="52" t="s">
        <v>496</v>
      </c>
      <c r="B236" s="118"/>
      <c r="C236" s="101" t="s">
        <v>124</v>
      </c>
      <c r="D236" s="101" t="s">
        <v>98</v>
      </c>
      <c r="E236" s="121" t="s">
        <v>63</v>
      </c>
      <c r="F236" s="122" t="s">
        <v>497</v>
      </c>
      <c r="G236" s="169"/>
      <c r="H236" s="169"/>
      <c r="I236" s="13">
        <f t="shared" si="11"/>
        <v>0</v>
      </c>
    </row>
    <row r="237" spans="1:9" s="15" customFormat="1" ht="28.5" hidden="1">
      <c r="A237" s="52" t="s">
        <v>498</v>
      </c>
      <c r="B237" s="118"/>
      <c r="C237" s="101" t="s">
        <v>124</v>
      </c>
      <c r="D237" s="101" t="s">
        <v>98</v>
      </c>
      <c r="E237" s="121" t="s">
        <v>63</v>
      </c>
      <c r="F237" s="122" t="s">
        <v>499</v>
      </c>
      <c r="G237" s="169"/>
      <c r="H237" s="169"/>
      <c r="I237" s="13" t="e">
        <f t="shared" si="11"/>
        <v>#DIV/0!</v>
      </c>
    </row>
    <row r="238" spans="1:9" s="15" customFormat="1" ht="28.5">
      <c r="A238" s="52" t="s">
        <v>527</v>
      </c>
      <c r="B238" s="118"/>
      <c r="C238" s="101" t="s">
        <v>124</v>
      </c>
      <c r="D238" s="101" t="s">
        <v>98</v>
      </c>
      <c r="E238" s="121" t="s">
        <v>31</v>
      </c>
      <c r="F238" s="122"/>
      <c r="G238" s="169">
        <f>G239</f>
        <v>9245</v>
      </c>
      <c r="H238" s="169">
        <f>H239</f>
        <v>9245</v>
      </c>
      <c r="I238" s="13" t="e">
        <f t="shared" si="11"/>
        <v>#DIV/0!</v>
      </c>
    </row>
    <row r="239" spans="1:9" s="15" customFormat="1" ht="15">
      <c r="A239" s="52" t="s">
        <v>463</v>
      </c>
      <c r="B239" s="118"/>
      <c r="C239" s="101" t="s">
        <v>124</v>
      </c>
      <c r="D239" s="101" t="s">
        <v>98</v>
      </c>
      <c r="E239" s="121" t="s">
        <v>31</v>
      </c>
      <c r="F239" s="122" t="s">
        <v>112</v>
      </c>
      <c r="G239" s="169">
        <v>9245</v>
      </c>
      <c r="H239" s="169">
        <v>9245</v>
      </c>
      <c r="I239" s="13">
        <f t="shared" si="11"/>
        <v>4659.778225806451</v>
      </c>
    </row>
    <row r="240" spans="1:9" s="15" customFormat="1" ht="28.5" hidden="1">
      <c r="A240" s="52" t="s">
        <v>496</v>
      </c>
      <c r="B240" s="118"/>
      <c r="C240" s="101" t="s">
        <v>124</v>
      </c>
      <c r="D240" s="101" t="s">
        <v>98</v>
      </c>
      <c r="E240" s="121" t="s">
        <v>31</v>
      </c>
      <c r="F240" s="122" t="s">
        <v>497</v>
      </c>
      <c r="G240" s="169"/>
      <c r="H240" s="169"/>
      <c r="I240" s="13">
        <f t="shared" si="11"/>
        <v>0</v>
      </c>
    </row>
    <row r="241" spans="1:9" s="15" customFormat="1" ht="28.5" hidden="1">
      <c r="A241" s="52" t="s">
        <v>498</v>
      </c>
      <c r="B241" s="118"/>
      <c r="C241" s="101" t="s">
        <v>124</v>
      </c>
      <c r="D241" s="101" t="s">
        <v>98</v>
      </c>
      <c r="E241" s="121" t="s">
        <v>31</v>
      </c>
      <c r="F241" s="122" t="s">
        <v>499</v>
      </c>
      <c r="G241" s="169"/>
      <c r="H241" s="169"/>
      <c r="I241" s="13" t="e">
        <f t="shared" si="11"/>
        <v>#DIV/0!</v>
      </c>
    </row>
    <row r="242" spans="1:9" s="15" customFormat="1" ht="57">
      <c r="A242" s="54" t="s">
        <v>528</v>
      </c>
      <c r="B242" s="114"/>
      <c r="C242" s="115" t="s">
        <v>124</v>
      </c>
      <c r="D242" s="115" t="s">
        <v>98</v>
      </c>
      <c r="E242" s="126" t="s">
        <v>529</v>
      </c>
      <c r="F242" s="116"/>
      <c r="G242" s="170">
        <f>SUM(G243)</f>
        <v>198.4</v>
      </c>
      <c r="H242" s="170">
        <f>SUM(H243)</f>
        <v>198.4</v>
      </c>
      <c r="I242" s="13" t="e">
        <f t="shared" si="11"/>
        <v>#DIV/0!</v>
      </c>
    </row>
    <row r="243" spans="1:9" s="15" customFormat="1" ht="15">
      <c r="A243" s="52" t="s">
        <v>463</v>
      </c>
      <c r="B243" s="118"/>
      <c r="C243" s="101" t="s">
        <v>124</v>
      </c>
      <c r="D243" s="101" t="s">
        <v>98</v>
      </c>
      <c r="E243" s="126" t="s">
        <v>529</v>
      </c>
      <c r="F243" s="122" t="s">
        <v>112</v>
      </c>
      <c r="G243" s="169">
        <v>198.4</v>
      </c>
      <c r="H243" s="169">
        <v>198.4</v>
      </c>
      <c r="I243" s="13" t="e">
        <f t="shared" si="11"/>
        <v>#DIV/0!</v>
      </c>
    </row>
    <row r="244" spans="1:9" s="15" customFormat="1" ht="15" hidden="1">
      <c r="A244" s="52" t="s">
        <v>54</v>
      </c>
      <c r="B244" s="118"/>
      <c r="C244" s="101" t="s">
        <v>124</v>
      </c>
      <c r="D244" s="101" t="s">
        <v>124</v>
      </c>
      <c r="E244" s="121"/>
      <c r="F244" s="122"/>
      <c r="G244" s="169">
        <f>G245</f>
        <v>0</v>
      </c>
      <c r="H244" s="169">
        <f>H245</f>
        <v>0</v>
      </c>
      <c r="I244" s="13" t="e">
        <f t="shared" si="11"/>
        <v>#DIV/0!</v>
      </c>
    </row>
    <row r="245" spans="1:9" s="15" customFormat="1" ht="15" hidden="1">
      <c r="A245" s="52" t="s">
        <v>507</v>
      </c>
      <c r="B245" s="118"/>
      <c r="C245" s="101" t="s">
        <v>124</v>
      </c>
      <c r="D245" s="101" t="s">
        <v>124</v>
      </c>
      <c r="E245" s="121" t="s">
        <v>122</v>
      </c>
      <c r="F245" s="122"/>
      <c r="G245" s="169">
        <f>G246+G248+G250+G252</f>
        <v>0</v>
      </c>
      <c r="H245" s="169">
        <f>H246+H248+H250+H252</f>
        <v>0</v>
      </c>
      <c r="I245" s="13" t="e">
        <f t="shared" si="11"/>
        <v>#DIV/0!</v>
      </c>
    </row>
    <row r="246" spans="1:9" s="15" customFormat="1" ht="28.5" hidden="1">
      <c r="A246" s="55" t="s">
        <v>530</v>
      </c>
      <c r="B246" s="118"/>
      <c r="C246" s="101" t="s">
        <v>124</v>
      </c>
      <c r="D246" s="101" t="s">
        <v>124</v>
      </c>
      <c r="E246" s="121" t="s">
        <v>9</v>
      </c>
      <c r="F246" s="122"/>
      <c r="G246" s="169">
        <f>G247</f>
        <v>0</v>
      </c>
      <c r="H246" s="169">
        <f>H247</f>
        <v>0</v>
      </c>
      <c r="I246" s="13" t="e">
        <f t="shared" si="11"/>
        <v>#DIV/0!</v>
      </c>
    </row>
    <row r="247" spans="1:9" s="15" customFormat="1" ht="28.5" hidden="1">
      <c r="A247" s="52" t="s">
        <v>484</v>
      </c>
      <c r="B247" s="118"/>
      <c r="C247" s="101" t="s">
        <v>124</v>
      </c>
      <c r="D247" s="101" t="s">
        <v>124</v>
      </c>
      <c r="E247" s="121" t="s">
        <v>9</v>
      </c>
      <c r="F247" s="122" t="s">
        <v>477</v>
      </c>
      <c r="G247" s="169"/>
      <c r="H247" s="169"/>
      <c r="I247" s="13" t="e">
        <f t="shared" si="11"/>
        <v>#DIV/0!</v>
      </c>
    </row>
    <row r="248" spans="1:9" s="15" customFormat="1" ht="42.75" hidden="1">
      <c r="A248" s="55" t="s">
        <v>531</v>
      </c>
      <c r="B248" s="118"/>
      <c r="C248" s="101" t="s">
        <v>532</v>
      </c>
      <c r="D248" s="101" t="s">
        <v>124</v>
      </c>
      <c r="E248" s="121" t="s">
        <v>10</v>
      </c>
      <c r="F248" s="122"/>
      <c r="G248" s="169">
        <f>G249</f>
        <v>0</v>
      </c>
      <c r="H248" s="169">
        <f>H249</f>
        <v>0</v>
      </c>
      <c r="I248" s="13" t="e">
        <f t="shared" si="11"/>
        <v>#DIV/0!</v>
      </c>
    </row>
    <row r="249" spans="1:9" s="15" customFormat="1" ht="28.5" hidden="1">
      <c r="A249" s="52" t="s">
        <v>533</v>
      </c>
      <c r="B249" s="118"/>
      <c r="C249" s="101" t="s">
        <v>532</v>
      </c>
      <c r="D249" s="101" t="s">
        <v>124</v>
      </c>
      <c r="E249" s="121" t="s">
        <v>10</v>
      </c>
      <c r="F249" s="122" t="s">
        <v>534</v>
      </c>
      <c r="G249" s="169"/>
      <c r="H249" s="169"/>
      <c r="I249" s="13" t="e">
        <f t="shared" si="11"/>
        <v>#DIV/0!</v>
      </c>
    </row>
    <row r="250" spans="1:9" s="15" customFormat="1" ht="42.75" hidden="1">
      <c r="A250" s="52" t="s">
        <v>535</v>
      </c>
      <c r="B250" s="118"/>
      <c r="C250" s="101" t="s">
        <v>124</v>
      </c>
      <c r="D250" s="101" t="s">
        <v>124</v>
      </c>
      <c r="E250" s="121" t="s">
        <v>33</v>
      </c>
      <c r="F250" s="122"/>
      <c r="G250" s="169">
        <f>G251</f>
        <v>0</v>
      </c>
      <c r="H250" s="169">
        <f>H251</f>
        <v>0</v>
      </c>
      <c r="I250" s="13" t="e">
        <f t="shared" si="11"/>
        <v>#DIV/0!</v>
      </c>
    </row>
    <row r="251" spans="1:9" s="15" customFormat="1" ht="28.5" hidden="1">
      <c r="A251" s="52" t="s">
        <v>533</v>
      </c>
      <c r="B251" s="118"/>
      <c r="C251" s="101" t="s">
        <v>124</v>
      </c>
      <c r="D251" s="101" t="s">
        <v>124</v>
      </c>
      <c r="E251" s="121" t="s">
        <v>33</v>
      </c>
      <c r="F251" s="122" t="s">
        <v>534</v>
      </c>
      <c r="G251" s="169"/>
      <c r="H251" s="169"/>
      <c r="I251" s="13" t="e">
        <f t="shared" si="11"/>
        <v>#DIV/0!</v>
      </c>
    </row>
    <row r="252" spans="1:9" s="15" customFormat="1" ht="28.5" hidden="1">
      <c r="A252" s="55" t="s">
        <v>523</v>
      </c>
      <c r="B252" s="118"/>
      <c r="C252" s="101" t="s">
        <v>124</v>
      </c>
      <c r="D252" s="101" t="s">
        <v>124</v>
      </c>
      <c r="E252" s="121" t="s">
        <v>45</v>
      </c>
      <c r="F252" s="122"/>
      <c r="G252" s="169">
        <f>G253</f>
        <v>0</v>
      </c>
      <c r="H252" s="169">
        <f>H253</f>
        <v>0</v>
      </c>
      <c r="I252" s="13">
        <f t="shared" si="11"/>
        <v>0</v>
      </c>
    </row>
    <row r="253" spans="1:9" s="15" customFormat="1" ht="28.5" hidden="1">
      <c r="A253" s="52" t="s">
        <v>533</v>
      </c>
      <c r="B253" s="118"/>
      <c r="C253" s="101" t="s">
        <v>124</v>
      </c>
      <c r="D253" s="101" t="s">
        <v>124</v>
      </c>
      <c r="E253" s="121" t="s">
        <v>45</v>
      </c>
      <c r="F253" s="122" t="s">
        <v>534</v>
      </c>
      <c r="G253" s="169"/>
      <c r="H253" s="169"/>
      <c r="I253" s="13">
        <f t="shared" si="11"/>
        <v>0</v>
      </c>
    </row>
    <row r="254" spans="1:9" s="15" customFormat="1" ht="15" hidden="1">
      <c r="A254" s="57" t="s">
        <v>127</v>
      </c>
      <c r="B254" s="36"/>
      <c r="C254" s="97" t="s">
        <v>124</v>
      </c>
      <c r="D254" s="97" t="s">
        <v>124</v>
      </c>
      <c r="E254" s="46" t="s">
        <v>45</v>
      </c>
      <c r="F254" s="108" t="s">
        <v>128</v>
      </c>
      <c r="G254" s="75"/>
      <c r="H254" s="75"/>
      <c r="I254" s="13">
        <f t="shared" si="11"/>
        <v>0</v>
      </c>
    </row>
    <row r="255" spans="1:9" s="15" customFormat="1" ht="15">
      <c r="A255" s="51" t="s">
        <v>57</v>
      </c>
      <c r="B255" s="36"/>
      <c r="C255" s="46" t="s">
        <v>360</v>
      </c>
      <c r="D255" s="46"/>
      <c r="E255" s="46"/>
      <c r="F255" s="107"/>
      <c r="G255" s="75">
        <f>SUM(G256)+G261</f>
        <v>5352</v>
      </c>
      <c r="H255" s="75">
        <f>SUM(H256)+H261</f>
        <v>5352</v>
      </c>
      <c r="I255" s="13"/>
    </row>
    <row r="256" spans="1:9" s="15" customFormat="1" ht="15">
      <c r="A256" s="52" t="s">
        <v>58</v>
      </c>
      <c r="B256" s="111"/>
      <c r="C256" s="101" t="s">
        <v>360</v>
      </c>
      <c r="D256" s="101" t="s">
        <v>98</v>
      </c>
      <c r="E256" s="101" t="s">
        <v>536</v>
      </c>
      <c r="F256" s="112"/>
      <c r="G256" s="169">
        <f>SUM(G257)</f>
        <v>5352</v>
      </c>
      <c r="H256" s="169">
        <f>SUM(H257)</f>
        <v>5352</v>
      </c>
      <c r="I256" s="13"/>
    </row>
    <row r="257" spans="1:9" s="15" customFormat="1" ht="28.5">
      <c r="A257" s="52" t="s">
        <v>47</v>
      </c>
      <c r="B257" s="111"/>
      <c r="C257" s="101" t="s">
        <v>360</v>
      </c>
      <c r="D257" s="101" t="s">
        <v>98</v>
      </c>
      <c r="E257" s="101" t="s">
        <v>537</v>
      </c>
      <c r="F257" s="112"/>
      <c r="G257" s="169">
        <f>SUM(G258:G260)</f>
        <v>5352</v>
      </c>
      <c r="H257" s="169">
        <f>SUM(H258:H260)</f>
        <v>5352</v>
      </c>
      <c r="I257" s="13"/>
    </row>
    <row r="258" spans="1:9" s="15" customFormat="1" ht="28.5">
      <c r="A258" s="52" t="s">
        <v>461</v>
      </c>
      <c r="B258" s="111"/>
      <c r="C258" s="101" t="s">
        <v>360</v>
      </c>
      <c r="D258" s="101" t="s">
        <v>98</v>
      </c>
      <c r="E258" s="101" t="s">
        <v>537</v>
      </c>
      <c r="F258" s="112" t="s">
        <v>462</v>
      </c>
      <c r="G258" s="169">
        <v>4448.9</v>
      </c>
      <c r="H258" s="169">
        <v>4448.9</v>
      </c>
      <c r="I258" s="13" t="e">
        <f aca="true" t="shared" si="12" ref="I258:I263">SUM(H258/G261*100)</f>
        <v>#DIV/0!</v>
      </c>
    </row>
    <row r="259" spans="1:9" s="15" customFormat="1" ht="15">
      <c r="A259" s="52" t="s">
        <v>463</v>
      </c>
      <c r="B259" s="111"/>
      <c r="C259" s="101" t="s">
        <v>360</v>
      </c>
      <c r="D259" s="101" t="s">
        <v>98</v>
      </c>
      <c r="E259" s="101" t="s">
        <v>537</v>
      </c>
      <c r="F259" s="112" t="s">
        <v>112</v>
      </c>
      <c r="G259" s="169">
        <v>833.5</v>
      </c>
      <c r="H259" s="169">
        <v>833.5</v>
      </c>
      <c r="I259" s="13" t="e">
        <f t="shared" si="12"/>
        <v>#DIV/0!</v>
      </c>
    </row>
    <row r="260" spans="1:9" s="15" customFormat="1" ht="15">
      <c r="A260" s="52" t="s">
        <v>467</v>
      </c>
      <c r="B260" s="111"/>
      <c r="C260" s="101" t="s">
        <v>360</v>
      </c>
      <c r="D260" s="101" t="s">
        <v>98</v>
      </c>
      <c r="E260" s="101" t="s">
        <v>537</v>
      </c>
      <c r="F260" s="112" t="s">
        <v>161</v>
      </c>
      <c r="G260" s="169">
        <v>69.6</v>
      </c>
      <c r="H260" s="169">
        <v>69.6</v>
      </c>
      <c r="I260" s="13" t="e">
        <f t="shared" si="12"/>
        <v>#DIV/0!</v>
      </c>
    </row>
    <row r="261" spans="1:9" s="19" customFormat="1" ht="15" hidden="1">
      <c r="A261" s="52" t="s">
        <v>59</v>
      </c>
      <c r="B261" s="111"/>
      <c r="C261" s="101" t="s">
        <v>360</v>
      </c>
      <c r="D261" s="101" t="s">
        <v>124</v>
      </c>
      <c r="E261" s="127"/>
      <c r="F261" s="112"/>
      <c r="G261" s="169">
        <f>G263</f>
        <v>0</v>
      </c>
      <c r="H261" s="169">
        <f>H263</f>
        <v>0</v>
      </c>
      <c r="I261" s="13" t="e">
        <f t="shared" si="12"/>
        <v>#DIV/0!</v>
      </c>
    </row>
    <row r="262" spans="1:9" s="19" customFormat="1" ht="15" hidden="1">
      <c r="A262" s="52" t="s">
        <v>507</v>
      </c>
      <c r="B262" s="111"/>
      <c r="C262" s="101" t="s">
        <v>360</v>
      </c>
      <c r="D262" s="101" t="s">
        <v>124</v>
      </c>
      <c r="E262" s="121" t="s">
        <v>122</v>
      </c>
      <c r="F262" s="112"/>
      <c r="G262" s="169">
        <f>SUM(G263)</f>
        <v>0</v>
      </c>
      <c r="H262" s="169">
        <f>SUM(H263)</f>
        <v>0</v>
      </c>
      <c r="I262" s="13" t="e">
        <f t="shared" si="12"/>
        <v>#DIV/0!</v>
      </c>
    </row>
    <row r="263" spans="1:9" ht="15.75" hidden="1">
      <c r="A263" s="52" t="s">
        <v>538</v>
      </c>
      <c r="B263" s="117"/>
      <c r="C263" s="101" t="s">
        <v>360</v>
      </c>
      <c r="D263" s="101" t="s">
        <v>124</v>
      </c>
      <c r="E263" s="101" t="s">
        <v>60</v>
      </c>
      <c r="F263" s="112"/>
      <c r="G263" s="169">
        <f>G264</f>
        <v>0</v>
      </c>
      <c r="H263" s="169">
        <f>H264</f>
        <v>0</v>
      </c>
      <c r="I263" s="13" t="e">
        <f t="shared" si="12"/>
        <v>#DIV/0!</v>
      </c>
    </row>
    <row r="264" spans="1:9" ht="15" hidden="1">
      <c r="A264" s="52" t="s">
        <v>463</v>
      </c>
      <c r="B264" s="111"/>
      <c r="C264" s="101" t="s">
        <v>360</v>
      </c>
      <c r="D264" s="101" t="s">
        <v>124</v>
      </c>
      <c r="E264" s="101" t="s">
        <v>60</v>
      </c>
      <c r="F264" s="112" t="s">
        <v>112</v>
      </c>
      <c r="G264" s="169"/>
      <c r="H264" s="169"/>
      <c r="I264" s="13"/>
    </row>
    <row r="265" spans="1:9" s="15" customFormat="1" ht="15" hidden="1">
      <c r="A265" s="52" t="s">
        <v>108</v>
      </c>
      <c r="B265" s="111"/>
      <c r="C265" s="101" t="s">
        <v>109</v>
      </c>
      <c r="D265" s="101"/>
      <c r="E265" s="101"/>
      <c r="F265" s="112"/>
      <c r="G265" s="169">
        <f>G266</f>
        <v>0</v>
      </c>
      <c r="H265" s="169">
        <f>H266</f>
        <v>0</v>
      </c>
      <c r="I265" s="13" t="e">
        <f>SUM(H265/G268*100)</f>
        <v>#DIV/0!</v>
      </c>
    </row>
    <row r="266" spans="1:9" s="15" customFormat="1" ht="15" hidden="1">
      <c r="A266" s="52" t="s">
        <v>217</v>
      </c>
      <c r="B266" s="111"/>
      <c r="C266" s="101" t="s">
        <v>109</v>
      </c>
      <c r="D266" s="101" t="s">
        <v>294</v>
      </c>
      <c r="E266" s="101"/>
      <c r="F266" s="112"/>
      <c r="G266" s="169">
        <f>G268</f>
        <v>0</v>
      </c>
      <c r="H266" s="169">
        <f>H268</f>
        <v>0</v>
      </c>
      <c r="I266" s="13" t="e">
        <f>SUM(H266/G269*100)</f>
        <v>#DIV/0!</v>
      </c>
    </row>
    <row r="267" spans="1:9" s="15" customFormat="1" ht="15" hidden="1">
      <c r="A267" s="52" t="s">
        <v>507</v>
      </c>
      <c r="B267" s="111"/>
      <c r="C267" s="101" t="s">
        <v>109</v>
      </c>
      <c r="D267" s="101" t="s">
        <v>294</v>
      </c>
      <c r="E267" s="121" t="s">
        <v>122</v>
      </c>
      <c r="F267" s="112"/>
      <c r="G267" s="169">
        <f>SUM(G268)</f>
        <v>0</v>
      </c>
      <c r="H267" s="169">
        <f>SUM(H268)</f>
        <v>0</v>
      </c>
      <c r="I267" s="13">
        <f>SUM(H267/G270*100)</f>
        <v>0</v>
      </c>
    </row>
    <row r="268" spans="1:9" ht="28.5" hidden="1">
      <c r="A268" s="55" t="s">
        <v>523</v>
      </c>
      <c r="B268" s="111"/>
      <c r="C268" s="101" t="s">
        <v>109</v>
      </c>
      <c r="D268" s="101" t="s">
        <v>294</v>
      </c>
      <c r="E268" s="101" t="s">
        <v>45</v>
      </c>
      <c r="F268" s="112"/>
      <c r="G268" s="169">
        <f>G269</f>
        <v>0</v>
      </c>
      <c r="H268" s="169">
        <f>H269</f>
        <v>0</v>
      </c>
      <c r="I268" s="13">
        <f>SUM(H268/G271*100)</f>
        <v>0</v>
      </c>
    </row>
    <row r="269" spans="1:9" ht="28.5" hidden="1">
      <c r="A269" s="52" t="s">
        <v>539</v>
      </c>
      <c r="B269" s="111"/>
      <c r="C269" s="101" t="s">
        <v>109</v>
      </c>
      <c r="D269" s="101" t="s">
        <v>294</v>
      </c>
      <c r="E269" s="101" t="s">
        <v>540</v>
      </c>
      <c r="F269" s="112" t="s">
        <v>534</v>
      </c>
      <c r="G269" s="169"/>
      <c r="H269" s="169"/>
      <c r="I269" s="13">
        <f>SUM(H269/G272*100)</f>
        <v>0</v>
      </c>
    </row>
    <row r="270" spans="1:9" ht="15">
      <c r="A270" s="51" t="s">
        <v>173</v>
      </c>
      <c r="B270" s="36"/>
      <c r="C270" s="46" t="s">
        <v>5</v>
      </c>
      <c r="D270" s="46"/>
      <c r="E270" s="46"/>
      <c r="F270" s="107"/>
      <c r="G270" s="75">
        <f>SUM(G271)</f>
        <v>64229.6</v>
      </c>
      <c r="H270" s="75">
        <f>SUM(H271)</f>
        <v>67105.5</v>
      </c>
      <c r="I270" s="13" t="e">
        <f>SUM(H270/#REF!*100)</f>
        <v>#REF!</v>
      </c>
    </row>
    <row r="271" spans="1:9" ht="15">
      <c r="A271" s="52" t="s">
        <v>152</v>
      </c>
      <c r="B271" s="111"/>
      <c r="C271" s="101" t="s">
        <v>5</v>
      </c>
      <c r="D271" s="101" t="s">
        <v>114</v>
      </c>
      <c r="E271" s="101"/>
      <c r="F271" s="112"/>
      <c r="G271" s="169">
        <f>SUM(G272)</f>
        <v>64229.6</v>
      </c>
      <c r="H271" s="169">
        <f>SUM(H272)</f>
        <v>67105.5</v>
      </c>
      <c r="I271" s="13" t="e">
        <f>SUM(H271/G273*100)</f>
        <v>#DIV/0!</v>
      </c>
    </row>
    <row r="272" spans="1:9" ht="28.5">
      <c r="A272" s="51" t="s">
        <v>601</v>
      </c>
      <c r="B272" s="36"/>
      <c r="C272" s="101" t="s">
        <v>5</v>
      </c>
      <c r="D272" s="101" t="s">
        <v>114</v>
      </c>
      <c r="E272" s="46" t="s">
        <v>602</v>
      </c>
      <c r="F272" s="107"/>
      <c r="G272" s="169">
        <f>SUM(G277)</f>
        <v>64229.6</v>
      </c>
      <c r="H272" s="169">
        <f>SUM(H277)</f>
        <v>67105.5</v>
      </c>
      <c r="I272" s="13" t="e">
        <f>SUM(H272/G274*100)</f>
        <v>#DIV/0!</v>
      </c>
    </row>
    <row r="273" spans="1:9" ht="57" hidden="1">
      <c r="A273" s="52" t="s">
        <v>541</v>
      </c>
      <c r="B273" s="111"/>
      <c r="C273" s="101" t="s">
        <v>5</v>
      </c>
      <c r="D273" s="101" t="s">
        <v>114</v>
      </c>
      <c r="E273" s="101" t="s">
        <v>542</v>
      </c>
      <c r="F273" s="112"/>
      <c r="G273" s="169">
        <f>SUM(G274)</f>
        <v>0</v>
      </c>
      <c r="H273" s="169">
        <f>SUM(H274)</f>
        <v>0</v>
      </c>
      <c r="I273" s="13" t="e">
        <f aca="true" t="shared" si="13" ref="I273:I283">SUM(H273/G276*100)</f>
        <v>#DIV/0!</v>
      </c>
    </row>
    <row r="274" spans="1:9" ht="28.5" hidden="1">
      <c r="A274" s="52" t="s">
        <v>539</v>
      </c>
      <c r="B274" s="111"/>
      <c r="C274" s="101" t="s">
        <v>5</v>
      </c>
      <c r="D274" s="101" t="s">
        <v>114</v>
      </c>
      <c r="E274" s="101" t="s">
        <v>542</v>
      </c>
      <c r="F274" s="112" t="s">
        <v>534</v>
      </c>
      <c r="G274" s="169"/>
      <c r="H274" s="169"/>
      <c r="I274" s="13">
        <f t="shared" si="13"/>
        <v>0</v>
      </c>
    </row>
    <row r="275" spans="1:9" ht="15" hidden="1">
      <c r="A275" s="52" t="s">
        <v>55</v>
      </c>
      <c r="B275" s="111"/>
      <c r="C275" s="101" t="s">
        <v>5</v>
      </c>
      <c r="D275" s="101" t="s">
        <v>114</v>
      </c>
      <c r="E275" s="101" t="s">
        <v>542</v>
      </c>
      <c r="F275" s="112" t="s">
        <v>543</v>
      </c>
      <c r="G275" s="169"/>
      <c r="H275" s="169"/>
      <c r="I275" s="13">
        <f t="shared" si="13"/>
        <v>0</v>
      </c>
    </row>
    <row r="276" spans="1:9" s="20" customFormat="1" ht="28.5" hidden="1">
      <c r="A276" s="52" t="s">
        <v>544</v>
      </c>
      <c r="B276" s="111"/>
      <c r="C276" s="101" t="s">
        <v>5</v>
      </c>
      <c r="D276" s="101" t="s">
        <v>114</v>
      </c>
      <c r="E276" s="101" t="s">
        <v>542</v>
      </c>
      <c r="F276" s="112" t="s">
        <v>545</v>
      </c>
      <c r="G276" s="169"/>
      <c r="H276" s="169"/>
      <c r="I276" s="13" t="e">
        <f t="shared" si="13"/>
        <v>#DIV/0!</v>
      </c>
    </row>
    <row r="277" spans="1:9" ht="42.75">
      <c r="A277" s="52" t="s">
        <v>589</v>
      </c>
      <c r="B277" s="111"/>
      <c r="C277" s="101" t="s">
        <v>5</v>
      </c>
      <c r="D277" s="101" t="s">
        <v>114</v>
      </c>
      <c r="E277" s="46" t="s">
        <v>605</v>
      </c>
      <c r="F277" s="112"/>
      <c r="G277" s="169">
        <f>SUM(G278)</f>
        <v>64229.6</v>
      </c>
      <c r="H277" s="169">
        <f>SUM(H278)</f>
        <v>67105.5</v>
      </c>
      <c r="I277" s="13" t="e">
        <f t="shared" si="13"/>
        <v>#DIV/0!</v>
      </c>
    </row>
    <row r="278" spans="1:9" s="20" customFormat="1" ht="28.5">
      <c r="A278" s="52" t="s">
        <v>539</v>
      </c>
      <c r="B278" s="111"/>
      <c r="C278" s="101" t="s">
        <v>5</v>
      </c>
      <c r="D278" s="101" t="s">
        <v>114</v>
      </c>
      <c r="E278" s="46" t="s">
        <v>605</v>
      </c>
      <c r="F278" s="112" t="s">
        <v>534</v>
      </c>
      <c r="G278" s="169">
        <v>64229.6</v>
      </c>
      <c r="H278" s="169">
        <v>67105.5</v>
      </c>
      <c r="I278" s="13" t="e">
        <f t="shared" si="13"/>
        <v>#DIV/0!</v>
      </c>
    </row>
    <row r="279" spans="1:9" ht="15" hidden="1">
      <c r="A279" s="52" t="s">
        <v>55</v>
      </c>
      <c r="B279" s="111"/>
      <c r="C279" s="101" t="s">
        <v>5</v>
      </c>
      <c r="D279" s="101" t="s">
        <v>114</v>
      </c>
      <c r="E279" s="101" t="s">
        <v>436</v>
      </c>
      <c r="F279" s="112" t="s">
        <v>543</v>
      </c>
      <c r="G279" s="169"/>
      <c r="H279" s="169"/>
      <c r="I279" s="13" t="e">
        <f t="shared" si="13"/>
        <v>#DIV/0!</v>
      </c>
    </row>
    <row r="280" spans="1:9" ht="28.5" hidden="1">
      <c r="A280" s="52" t="s">
        <v>544</v>
      </c>
      <c r="B280" s="111"/>
      <c r="C280" s="101" t="s">
        <v>5</v>
      </c>
      <c r="D280" s="101" t="s">
        <v>114</v>
      </c>
      <c r="E280" s="101" t="s">
        <v>436</v>
      </c>
      <c r="F280" s="112" t="s">
        <v>545</v>
      </c>
      <c r="G280" s="169"/>
      <c r="H280" s="169"/>
      <c r="I280" s="13" t="e">
        <f t="shared" si="13"/>
        <v>#DIV/0!</v>
      </c>
    </row>
    <row r="281" spans="1:9" ht="15" hidden="1">
      <c r="A281" s="51" t="s">
        <v>237</v>
      </c>
      <c r="B281" s="36"/>
      <c r="C281" s="97" t="s">
        <v>389</v>
      </c>
      <c r="D281" s="97"/>
      <c r="E281" s="97"/>
      <c r="F281" s="108"/>
      <c r="G281" s="167">
        <f aca="true" t="shared" si="14" ref="G281:H284">SUM(G282)</f>
        <v>0</v>
      </c>
      <c r="H281" s="167">
        <f t="shared" si="14"/>
        <v>0</v>
      </c>
      <c r="I281" s="13" t="e">
        <f t="shared" si="13"/>
        <v>#DIV/0!</v>
      </c>
    </row>
    <row r="282" spans="1:9" ht="15" hidden="1">
      <c r="A282" s="51" t="s">
        <v>224</v>
      </c>
      <c r="B282" s="36"/>
      <c r="C282" s="46" t="s">
        <v>389</v>
      </c>
      <c r="D282" s="46" t="s">
        <v>124</v>
      </c>
      <c r="E282" s="97"/>
      <c r="F282" s="108"/>
      <c r="G282" s="75">
        <f t="shared" si="14"/>
        <v>0</v>
      </c>
      <c r="H282" s="75">
        <f t="shared" si="14"/>
        <v>0</v>
      </c>
      <c r="I282" s="13" t="e">
        <f t="shared" si="13"/>
        <v>#DIV/0!</v>
      </c>
    </row>
    <row r="283" spans="1:9" ht="15.75" hidden="1">
      <c r="A283" s="54" t="s">
        <v>121</v>
      </c>
      <c r="B283" s="47"/>
      <c r="C283" s="46" t="s">
        <v>389</v>
      </c>
      <c r="D283" s="46" t="s">
        <v>124</v>
      </c>
      <c r="E283" s="97" t="s">
        <v>122</v>
      </c>
      <c r="F283" s="108"/>
      <c r="G283" s="75">
        <f t="shared" si="14"/>
        <v>0</v>
      </c>
      <c r="H283" s="75">
        <f t="shared" si="14"/>
        <v>0</v>
      </c>
      <c r="I283" s="16">
        <f t="shared" si="13"/>
        <v>0</v>
      </c>
    </row>
    <row r="284" spans="1:9" ht="28.5" hidden="1">
      <c r="A284" s="57" t="s">
        <v>138</v>
      </c>
      <c r="B284" s="36"/>
      <c r="C284" s="46" t="s">
        <v>389</v>
      </c>
      <c r="D284" s="46" t="s">
        <v>124</v>
      </c>
      <c r="E284" s="97" t="s">
        <v>45</v>
      </c>
      <c r="F284" s="108"/>
      <c r="G284" s="75">
        <f t="shared" si="14"/>
        <v>0</v>
      </c>
      <c r="H284" s="75">
        <f t="shared" si="14"/>
        <v>0</v>
      </c>
      <c r="I284" s="13">
        <f>SUM(H284/G295*100)</f>
        <v>0</v>
      </c>
    </row>
    <row r="285" spans="1:9" ht="15" hidden="1">
      <c r="A285" s="57" t="s">
        <v>127</v>
      </c>
      <c r="B285" s="36"/>
      <c r="C285" s="46" t="s">
        <v>389</v>
      </c>
      <c r="D285" s="46" t="s">
        <v>124</v>
      </c>
      <c r="E285" s="97" t="s">
        <v>45</v>
      </c>
      <c r="F285" s="108" t="s">
        <v>128</v>
      </c>
      <c r="G285" s="75"/>
      <c r="H285" s="75"/>
      <c r="I285" s="13">
        <f>SUM(H285/G296*100)</f>
        <v>0</v>
      </c>
    </row>
    <row r="286" spans="1:9" ht="30">
      <c r="A286" s="58" t="s">
        <v>253</v>
      </c>
      <c r="B286" s="128" t="s">
        <v>254</v>
      </c>
      <c r="C286" s="98"/>
      <c r="D286" s="98"/>
      <c r="E286" s="98"/>
      <c r="F286" s="129"/>
      <c r="G286" s="172">
        <f>SUM(G287+G310+G314)</f>
        <v>66833.4</v>
      </c>
      <c r="H286" s="172">
        <f>SUM(H287+H310+H314)</f>
        <v>66833.4</v>
      </c>
      <c r="I286" s="13">
        <f>SUM(H286/G297*100)</f>
        <v>1336.668</v>
      </c>
    </row>
    <row r="287" spans="1:9" ht="15">
      <c r="A287" s="51" t="s">
        <v>428</v>
      </c>
      <c r="B287" s="36"/>
      <c r="C287" s="46" t="s">
        <v>429</v>
      </c>
      <c r="D287" s="46"/>
      <c r="E287" s="46"/>
      <c r="F287" s="107"/>
      <c r="G287" s="75">
        <f>SUM(G288+G295+G298)</f>
        <v>28600.6</v>
      </c>
      <c r="H287" s="75">
        <f>SUM(H288+H295+H298)</f>
        <v>28600.6</v>
      </c>
      <c r="I287" s="13"/>
    </row>
    <row r="288" spans="1:9" ht="28.5">
      <c r="A288" s="51" t="s">
        <v>359</v>
      </c>
      <c r="B288" s="36"/>
      <c r="C288" s="46" t="s">
        <v>429</v>
      </c>
      <c r="D288" s="46" t="s">
        <v>360</v>
      </c>
      <c r="E288" s="46"/>
      <c r="F288" s="107"/>
      <c r="G288" s="75">
        <f>SUM(G289)</f>
        <v>18680.3</v>
      </c>
      <c r="H288" s="75">
        <f>SUM(H289)</f>
        <v>18680.3</v>
      </c>
      <c r="I288" s="13"/>
    </row>
    <row r="289" spans="1:9" ht="42.75">
      <c r="A289" s="51" t="s">
        <v>91</v>
      </c>
      <c r="B289" s="36"/>
      <c r="C289" s="46" t="s">
        <v>429</v>
      </c>
      <c r="D289" s="46" t="s">
        <v>360</v>
      </c>
      <c r="E289" s="46" t="s">
        <v>92</v>
      </c>
      <c r="F289" s="107"/>
      <c r="G289" s="75">
        <f>SUM(G290)+G294</f>
        <v>18680.3</v>
      </c>
      <c r="H289" s="75">
        <f>SUM(H290)+H294</f>
        <v>18680.3</v>
      </c>
      <c r="I289" s="13"/>
    </row>
    <row r="290" spans="1:9" ht="15">
      <c r="A290" s="51" t="s">
        <v>99</v>
      </c>
      <c r="B290" s="36"/>
      <c r="C290" s="46" t="s">
        <v>429</v>
      </c>
      <c r="D290" s="46" t="s">
        <v>360</v>
      </c>
      <c r="E290" s="46" t="s">
        <v>101</v>
      </c>
      <c r="F290" s="107"/>
      <c r="G290" s="75">
        <f>SUM(G291+G292)</f>
        <v>18680.3</v>
      </c>
      <c r="H290" s="75">
        <f>SUM(H291+H292)</f>
        <v>18680.3</v>
      </c>
      <c r="I290" s="13"/>
    </row>
    <row r="291" spans="1:9" ht="28.5">
      <c r="A291" s="51" t="s">
        <v>461</v>
      </c>
      <c r="B291" s="36"/>
      <c r="C291" s="46" t="s">
        <v>100</v>
      </c>
      <c r="D291" s="46" t="s">
        <v>360</v>
      </c>
      <c r="E291" s="46" t="s">
        <v>101</v>
      </c>
      <c r="F291" s="124" t="s">
        <v>462</v>
      </c>
      <c r="G291" s="75">
        <f>16981.1+1691.4</f>
        <v>18672.5</v>
      </c>
      <c r="H291" s="75">
        <f>16981.1+1691.4</f>
        <v>18672.5</v>
      </c>
      <c r="I291" s="13"/>
    </row>
    <row r="292" spans="1:9" ht="15">
      <c r="A292" s="51" t="s">
        <v>463</v>
      </c>
      <c r="B292" s="36"/>
      <c r="C292" s="46" t="s">
        <v>429</v>
      </c>
      <c r="D292" s="46" t="s">
        <v>360</v>
      </c>
      <c r="E292" s="46" t="s">
        <v>101</v>
      </c>
      <c r="F292" s="107" t="s">
        <v>112</v>
      </c>
      <c r="G292" s="167">
        <v>7.8</v>
      </c>
      <c r="H292" s="167">
        <v>7.8</v>
      </c>
      <c r="I292" s="13"/>
    </row>
    <row r="293" spans="1:9" ht="28.5" hidden="1">
      <c r="A293" s="51" t="s">
        <v>361</v>
      </c>
      <c r="B293" s="36"/>
      <c r="C293" s="46" t="s">
        <v>100</v>
      </c>
      <c r="D293" s="46" t="s">
        <v>360</v>
      </c>
      <c r="E293" s="46" t="s">
        <v>362</v>
      </c>
      <c r="F293" s="107"/>
      <c r="G293" s="75">
        <f>SUM(G294)</f>
        <v>0</v>
      </c>
      <c r="H293" s="75">
        <f>SUM(H294)</f>
        <v>0</v>
      </c>
      <c r="I293" s="13"/>
    </row>
    <row r="294" spans="1:9" ht="28.5" hidden="1">
      <c r="A294" s="51" t="s">
        <v>461</v>
      </c>
      <c r="B294" s="36"/>
      <c r="C294" s="46" t="s">
        <v>100</v>
      </c>
      <c r="D294" s="46" t="s">
        <v>360</v>
      </c>
      <c r="E294" s="46" t="s">
        <v>362</v>
      </c>
      <c r="F294" s="124" t="s">
        <v>462</v>
      </c>
      <c r="G294" s="75"/>
      <c r="H294" s="75"/>
      <c r="I294" s="13"/>
    </row>
    <row r="295" spans="1:9" ht="15">
      <c r="A295" s="51" t="s">
        <v>376</v>
      </c>
      <c r="B295" s="36"/>
      <c r="C295" s="46" t="s">
        <v>429</v>
      </c>
      <c r="D295" s="46" t="s">
        <v>389</v>
      </c>
      <c r="E295" s="46"/>
      <c r="F295" s="107"/>
      <c r="G295" s="75">
        <f>SUM(G296)</f>
        <v>5000</v>
      </c>
      <c r="H295" s="75">
        <f>SUM(H296)</f>
        <v>5000</v>
      </c>
      <c r="I295" s="13">
        <f aca="true" t="shared" si="15" ref="I295:I310">SUM(H295/G298*100)</f>
        <v>101.6198199296791</v>
      </c>
    </row>
    <row r="296" spans="1:9" s="25" customFormat="1" ht="15">
      <c r="A296" s="51" t="s">
        <v>357</v>
      </c>
      <c r="B296" s="36"/>
      <c r="C296" s="46" t="s">
        <v>429</v>
      </c>
      <c r="D296" s="46" t="s">
        <v>389</v>
      </c>
      <c r="E296" s="46" t="s">
        <v>473</v>
      </c>
      <c r="F296" s="107"/>
      <c r="G296" s="75">
        <f>SUM(G297)</f>
        <v>5000</v>
      </c>
      <c r="H296" s="75">
        <f>SUM(H297)</f>
        <v>5000</v>
      </c>
      <c r="I296" s="13">
        <f t="shared" si="15"/>
        <v>101.6198199296791</v>
      </c>
    </row>
    <row r="297" spans="1:9" s="25" customFormat="1" ht="15">
      <c r="A297" s="51" t="s">
        <v>467</v>
      </c>
      <c r="B297" s="36"/>
      <c r="C297" s="46" t="s">
        <v>429</v>
      </c>
      <c r="D297" s="46" t="s">
        <v>389</v>
      </c>
      <c r="E297" s="46" t="s">
        <v>473</v>
      </c>
      <c r="F297" s="107" t="s">
        <v>161</v>
      </c>
      <c r="G297" s="75">
        <v>5000</v>
      </c>
      <c r="H297" s="75">
        <v>5000</v>
      </c>
      <c r="I297" s="13">
        <f t="shared" si="15"/>
        <v>2453.385672227674</v>
      </c>
    </row>
    <row r="298" spans="1:9" ht="15">
      <c r="A298" s="51" t="s">
        <v>104</v>
      </c>
      <c r="B298" s="36"/>
      <c r="C298" s="46" t="s">
        <v>429</v>
      </c>
      <c r="D298" s="46" t="s">
        <v>221</v>
      </c>
      <c r="E298" s="46"/>
      <c r="F298" s="108"/>
      <c r="G298" s="75">
        <f>SUM(G299)</f>
        <v>4920.299999999999</v>
      </c>
      <c r="H298" s="75">
        <f>SUM(H299)</f>
        <v>4920.299999999999</v>
      </c>
      <c r="I298" s="13">
        <f t="shared" si="15"/>
        <v>2545.4216244180025</v>
      </c>
    </row>
    <row r="299" spans="1:9" ht="28.5">
      <c r="A299" s="51" t="s">
        <v>464</v>
      </c>
      <c r="B299" s="36"/>
      <c r="C299" s="46" t="s">
        <v>429</v>
      </c>
      <c r="D299" s="46" t="s">
        <v>221</v>
      </c>
      <c r="E299" s="46" t="s">
        <v>465</v>
      </c>
      <c r="F299" s="108"/>
      <c r="G299" s="167">
        <f>SUM(G300+G303+G305)</f>
        <v>4920.299999999999</v>
      </c>
      <c r="H299" s="167">
        <f>SUM(H300+H303+H305)</f>
        <v>4920.299999999999</v>
      </c>
      <c r="I299" s="13">
        <f t="shared" si="15"/>
        <v>46859.99999999999</v>
      </c>
    </row>
    <row r="300" spans="1:9" ht="15">
      <c r="A300" s="51" t="s">
        <v>455</v>
      </c>
      <c r="B300" s="36"/>
      <c r="C300" s="46" t="s">
        <v>429</v>
      </c>
      <c r="D300" s="46" t="s">
        <v>221</v>
      </c>
      <c r="E300" s="46" t="s">
        <v>466</v>
      </c>
      <c r="F300" s="107"/>
      <c r="G300" s="167">
        <f>SUM(G301:G302)</f>
        <v>203.8</v>
      </c>
      <c r="H300" s="167">
        <f>SUM(H301:H302)</f>
        <v>203.8</v>
      </c>
      <c r="I300" s="13">
        <f t="shared" si="15"/>
        <v>99.60899315738027</v>
      </c>
    </row>
    <row r="301" spans="1:9" ht="15">
      <c r="A301" s="51" t="s">
        <v>463</v>
      </c>
      <c r="B301" s="36"/>
      <c r="C301" s="46" t="s">
        <v>429</v>
      </c>
      <c r="D301" s="46" t="s">
        <v>221</v>
      </c>
      <c r="E301" s="46" t="s">
        <v>466</v>
      </c>
      <c r="F301" s="107" t="s">
        <v>112</v>
      </c>
      <c r="G301" s="167">
        <v>193.3</v>
      </c>
      <c r="H301" s="167">
        <v>193.3</v>
      </c>
      <c r="I301" s="13">
        <f t="shared" si="15"/>
        <v>94.4770283479961</v>
      </c>
    </row>
    <row r="302" spans="1:9" ht="15">
      <c r="A302" s="51" t="s">
        <v>467</v>
      </c>
      <c r="B302" s="36"/>
      <c r="C302" s="46" t="s">
        <v>429</v>
      </c>
      <c r="D302" s="46" t="s">
        <v>221</v>
      </c>
      <c r="E302" s="46" t="s">
        <v>466</v>
      </c>
      <c r="F302" s="107" t="s">
        <v>161</v>
      </c>
      <c r="G302" s="167">
        <v>10.5</v>
      </c>
      <c r="H302" s="167">
        <v>10.5</v>
      </c>
      <c r="I302" s="13">
        <f t="shared" si="15"/>
        <v>0.23271792371284827</v>
      </c>
    </row>
    <row r="303" spans="1:9" ht="28.5">
      <c r="A303" s="51" t="s">
        <v>456</v>
      </c>
      <c r="B303" s="36"/>
      <c r="C303" s="46" t="s">
        <v>429</v>
      </c>
      <c r="D303" s="46" t="s">
        <v>221</v>
      </c>
      <c r="E303" s="46" t="s">
        <v>468</v>
      </c>
      <c r="F303" s="107"/>
      <c r="G303" s="167">
        <f>SUM(G304)</f>
        <v>204.6</v>
      </c>
      <c r="H303" s="167">
        <f>SUM(H304)</f>
        <v>204.6</v>
      </c>
      <c r="I303" s="13">
        <f t="shared" si="15"/>
        <v>4.534674970633215</v>
      </c>
    </row>
    <row r="304" spans="1:9" ht="15">
      <c r="A304" s="51" t="s">
        <v>463</v>
      </c>
      <c r="B304" s="36"/>
      <c r="C304" s="46" t="s">
        <v>429</v>
      </c>
      <c r="D304" s="46" t="s">
        <v>221</v>
      </c>
      <c r="E304" s="46" t="s">
        <v>468</v>
      </c>
      <c r="F304" s="107" t="s">
        <v>112</v>
      </c>
      <c r="G304" s="167">
        <v>204.6</v>
      </c>
      <c r="H304" s="167">
        <v>204.6</v>
      </c>
      <c r="I304" s="13" t="e">
        <f t="shared" si="15"/>
        <v>#DIV/0!</v>
      </c>
    </row>
    <row r="305" spans="1:9" ht="28.5">
      <c r="A305" s="53" t="s">
        <v>469</v>
      </c>
      <c r="B305" s="36"/>
      <c r="C305" s="46" t="s">
        <v>429</v>
      </c>
      <c r="D305" s="46" t="s">
        <v>221</v>
      </c>
      <c r="E305" s="46" t="s">
        <v>470</v>
      </c>
      <c r="F305" s="124"/>
      <c r="G305" s="167">
        <f>SUM(G306+G307+G309)</f>
        <v>4511.9</v>
      </c>
      <c r="H305" s="167">
        <f>SUM(H306+H307+H309)</f>
        <v>4511.9</v>
      </c>
      <c r="I305" s="13" t="e">
        <f t="shared" si="15"/>
        <v>#DIV/0!</v>
      </c>
    </row>
    <row r="306" spans="1:9" s="18" customFormat="1" ht="14.25" customHeight="1">
      <c r="A306" s="51" t="s">
        <v>463</v>
      </c>
      <c r="B306" s="36"/>
      <c r="C306" s="46" t="s">
        <v>429</v>
      </c>
      <c r="D306" s="46" t="s">
        <v>221</v>
      </c>
      <c r="E306" s="46" t="s">
        <v>470</v>
      </c>
      <c r="F306" s="124" t="s">
        <v>112</v>
      </c>
      <c r="G306" s="75">
        <v>4511.9</v>
      </c>
      <c r="H306" s="75">
        <v>4511.9</v>
      </c>
      <c r="I306" s="13" t="e">
        <f t="shared" si="15"/>
        <v>#DIV/0!</v>
      </c>
    </row>
    <row r="307" spans="1:9" s="30" customFormat="1" ht="15" hidden="1">
      <c r="A307" s="51" t="s">
        <v>467</v>
      </c>
      <c r="B307" s="36"/>
      <c r="C307" s="46" t="s">
        <v>429</v>
      </c>
      <c r="D307" s="46" t="s">
        <v>221</v>
      </c>
      <c r="E307" s="46" t="s">
        <v>470</v>
      </c>
      <c r="F307" s="124" t="s">
        <v>161</v>
      </c>
      <c r="G307" s="75"/>
      <c r="H307" s="75"/>
      <c r="I307" s="13">
        <f t="shared" si="15"/>
        <v>0</v>
      </c>
    </row>
    <row r="308" spans="1:9" ht="15" hidden="1">
      <c r="A308" s="53" t="s">
        <v>474</v>
      </c>
      <c r="B308" s="36"/>
      <c r="C308" s="46" t="s">
        <v>429</v>
      </c>
      <c r="D308" s="46" t="s">
        <v>221</v>
      </c>
      <c r="E308" s="46" t="s">
        <v>475</v>
      </c>
      <c r="F308" s="107"/>
      <c r="G308" s="75">
        <f>SUM(G309)</f>
        <v>0</v>
      </c>
      <c r="H308" s="75">
        <f>SUM(H309)</f>
        <v>0</v>
      </c>
      <c r="I308" s="13">
        <f t="shared" si="15"/>
        <v>0</v>
      </c>
    </row>
    <row r="309" spans="1:9" ht="15" hidden="1">
      <c r="A309" s="51" t="s">
        <v>467</v>
      </c>
      <c r="B309" s="36"/>
      <c r="C309" s="46" t="s">
        <v>429</v>
      </c>
      <c r="D309" s="46" t="s">
        <v>221</v>
      </c>
      <c r="E309" s="46" t="s">
        <v>475</v>
      </c>
      <c r="F309" s="107" t="s">
        <v>161</v>
      </c>
      <c r="G309" s="75"/>
      <c r="H309" s="75"/>
      <c r="I309" s="13">
        <f t="shared" si="15"/>
        <v>0</v>
      </c>
    </row>
    <row r="310" spans="1:9" ht="15">
      <c r="A310" s="51" t="s">
        <v>173</v>
      </c>
      <c r="B310" s="36"/>
      <c r="C310" s="46" t="s">
        <v>5</v>
      </c>
      <c r="D310" s="46" t="s">
        <v>174</v>
      </c>
      <c r="E310" s="46"/>
      <c r="F310" s="107"/>
      <c r="G310" s="75">
        <f aca="true" t="shared" si="16" ref="G310:H312">SUM(G311)</f>
        <v>232.79999999999995</v>
      </c>
      <c r="H310" s="75">
        <f t="shared" si="16"/>
        <v>232.79999999999995</v>
      </c>
      <c r="I310" s="13">
        <f t="shared" si="15"/>
        <v>100</v>
      </c>
    </row>
    <row r="311" spans="1:9" ht="15">
      <c r="A311" s="51" t="s">
        <v>154</v>
      </c>
      <c r="B311" s="36"/>
      <c r="C311" s="46" t="s">
        <v>5</v>
      </c>
      <c r="D311" s="46" t="s">
        <v>360</v>
      </c>
      <c r="E311" s="46"/>
      <c r="F311" s="107"/>
      <c r="G311" s="75">
        <f t="shared" si="16"/>
        <v>232.79999999999995</v>
      </c>
      <c r="H311" s="75">
        <f t="shared" si="16"/>
        <v>232.79999999999995</v>
      </c>
      <c r="I311" s="13"/>
    </row>
    <row r="312" spans="1:9" ht="28.5">
      <c r="A312" s="53" t="s">
        <v>576</v>
      </c>
      <c r="B312" s="36"/>
      <c r="C312" s="46" t="s">
        <v>5</v>
      </c>
      <c r="D312" s="46" t="s">
        <v>360</v>
      </c>
      <c r="E312" s="46" t="s">
        <v>575</v>
      </c>
      <c r="F312" s="107"/>
      <c r="G312" s="75">
        <f t="shared" si="16"/>
        <v>232.79999999999995</v>
      </c>
      <c r="H312" s="75">
        <f t="shared" si="16"/>
        <v>232.79999999999995</v>
      </c>
      <c r="I312" s="13">
        <f>SUM(H312/G315*100)</f>
        <v>0.6126315789473683</v>
      </c>
    </row>
    <row r="313" spans="1:9" ht="15">
      <c r="A313" s="51" t="s">
        <v>467</v>
      </c>
      <c r="B313" s="36"/>
      <c r="C313" s="46" t="s">
        <v>5</v>
      </c>
      <c r="D313" s="46" t="s">
        <v>360</v>
      </c>
      <c r="E313" s="46" t="s">
        <v>575</v>
      </c>
      <c r="F313" s="107" t="s">
        <v>161</v>
      </c>
      <c r="G313" s="75">
        <f>954.9-722.1</f>
        <v>232.79999999999995</v>
      </c>
      <c r="H313" s="75">
        <f>954.9-722.1</f>
        <v>232.79999999999995</v>
      </c>
      <c r="I313" s="13">
        <f>SUM(H313/G316*100)</f>
        <v>0.6126315789473683</v>
      </c>
    </row>
    <row r="314" spans="1:9" ht="15">
      <c r="A314" s="51" t="s">
        <v>371</v>
      </c>
      <c r="B314" s="36"/>
      <c r="C314" s="46" t="s">
        <v>221</v>
      </c>
      <c r="D314" s="46" t="s">
        <v>174</v>
      </c>
      <c r="E314" s="46"/>
      <c r="F314" s="107"/>
      <c r="G314" s="75">
        <f>SUM(G315)</f>
        <v>38000</v>
      </c>
      <c r="H314" s="75">
        <f>SUM(H315)</f>
        <v>38000</v>
      </c>
      <c r="I314" s="13">
        <f>SUM(H314/G317*100)</f>
        <v>100</v>
      </c>
    </row>
    <row r="315" spans="1:9" ht="15">
      <c r="A315" s="51" t="s">
        <v>222</v>
      </c>
      <c r="B315" s="36"/>
      <c r="C315" s="46" t="s">
        <v>221</v>
      </c>
      <c r="D315" s="46" t="s">
        <v>429</v>
      </c>
      <c r="E315" s="46"/>
      <c r="F315" s="107"/>
      <c r="G315" s="75">
        <f>SUM(G316)</f>
        <v>38000</v>
      </c>
      <c r="H315" s="75">
        <f>SUM(H316)</f>
        <v>38000</v>
      </c>
      <c r="I315" s="13"/>
    </row>
    <row r="316" spans="1:9" s="21" customFormat="1" ht="15">
      <c r="A316" s="51" t="s">
        <v>372</v>
      </c>
      <c r="B316" s="36"/>
      <c r="C316" s="46" t="s">
        <v>221</v>
      </c>
      <c r="D316" s="46" t="s">
        <v>429</v>
      </c>
      <c r="E316" s="46" t="s">
        <v>373</v>
      </c>
      <c r="F316" s="124"/>
      <c r="G316" s="75">
        <f>SUM(G318)</f>
        <v>38000</v>
      </c>
      <c r="H316" s="75">
        <f>SUM(H318)</f>
        <v>38000</v>
      </c>
      <c r="I316" s="13" t="e">
        <f>SUM(H316/#REF!*100)</f>
        <v>#REF!</v>
      </c>
    </row>
    <row r="317" spans="1:9" ht="15">
      <c r="A317" s="51" t="s">
        <v>374</v>
      </c>
      <c r="B317" s="36"/>
      <c r="C317" s="46" t="s">
        <v>221</v>
      </c>
      <c r="D317" s="46" t="s">
        <v>429</v>
      </c>
      <c r="E317" s="46" t="s">
        <v>375</v>
      </c>
      <c r="F317" s="124"/>
      <c r="G317" s="75">
        <f>SUM(G318)</f>
        <v>38000</v>
      </c>
      <c r="H317" s="75">
        <f>SUM(H318)</f>
        <v>38000</v>
      </c>
      <c r="I317" s="13" t="e">
        <f>SUM(H317/#REF!*100)</f>
        <v>#REF!</v>
      </c>
    </row>
    <row r="318" spans="1:9" ht="15">
      <c r="A318" s="51" t="s">
        <v>476</v>
      </c>
      <c r="B318" s="36"/>
      <c r="C318" s="46" t="s">
        <v>221</v>
      </c>
      <c r="D318" s="46" t="s">
        <v>429</v>
      </c>
      <c r="E318" s="46" t="s">
        <v>375</v>
      </c>
      <c r="F318" s="124" t="s">
        <v>160</v>
      </c>
      <c r="G318" s="75">
        <v>38000</v>
      </c>
      <c r="H318" s="75">
        <v>38000</v>
      </c>
      <c r="I318" s="13" t="e">
        <f>SUM(H318/#REF!*100)</f>
        <v>#REF!</v>
      </c>
    </row>
    <row r="319" spans="1:9" ht="30">
      <c r="A319" s="58" t="s">
        <v>255</v>
      </c>
      <c r="B319" s="128" t="s">
        <v>256</v>
      </c>
      <c r="C319" s="98"/>
      <c r="D319" s="98"/>
      <c r="E319" s="98"/>
      <c r="F319" s="129"/>
      <c r="G319" s="172">
        <f>SUM(G320+G331+G358)</f>
        <v>943980.5</v>
      </c>
      <c r="H319" s="172">
        <f>SUM(H320+H331+H358)</f>
        <v>962256.1000000001</v>
      </c>
      <c r="I319" s="13">
        <f>SUM(H319/G340*100)</f>
        <v>1550.9753070500628</v>
      </c>
    </row>
    <row r="320" spans="1:9" ht="15">
      <c r="A320" s="51" t="s">
        <v>113</v>
      </c>
      <c r="B320" s="36"/>
      <c r="C320" s="101" t="s">
        <v>114</v>
      </c>
      <c r="D320" s="46"/>
      <c r="E320" s="46"/>
      <c r="F320" s="107"/>
      <c r="G320" s="75">
        <f>SUM(G326)+G321</f>
        <v>6302.2</v>
      </c>
      <c r="H320" s="75">
        <f>SUM(H326)+H321</f>
        <v>6377.2</v>
      </c>
      <c r="I320" s="13"/>
    </row>
    <row r="321" spans="1:9" ht="15">
      <c r="A321" s="52" t="s">
        <v>115</v>
      </c>
      <c r="B321" s="111"/>
      <c r="C321" s="101" t="s">
        <v>114</v>
      </c>
      <c r="D321" s="101" t="s">
        <v>116</v>
      </c>
      <c r="E321" s="101"/>
      <c r="F321" s="112"/>
      <c r="G321" s="169">
        <f aca="true" t="shared" si="17" ref="G321:H323">G322</f>
        <v>25</v>
      </c>
      <c r="H321" s="169">
        <f t="shared" si="17"/>
        <v>25</v>
      </c>
      <c r="I321" s="13"/>
    </row>
    <row r="322" spans="1:9" ht="15">
      <c r="A322" s="52" t="s">
        <v>508</v>
      </c>
      <c r="B322" s="111"/>
      <c r="C322" s="101" t="s">
        <v>114</v>
      </c>
      <c r="D322" s="101" t="s">
        <v>116</v>
      </c>
      <c r="E322" s="101" t="s">
        <v>509</v>
      </c>
      <c r="F322" s="112"/>
      <c r="G322" s="169">
        <f t="shared" si="17"/>
        <v>25</v>
      </c>
      <c r="H322" s="169">
        <f t="shared" si="17"/>
        <v>25</v>
      </c>
      <c r="I322" s="13"/>
    </row>
    <row r="323" spans="1:9" ht="15">
      <c r="A323" s="52" t="s">
        <v>510</v>
      </c>
      <c r="B323" s="111"/>
      <c r="C323" s="101" t="s">
        <v>114</v>
      </c>
      <c r="D323" s="101" t="s">
        <v>116</v>
      </c>
      <c r="E323" s="101" t="s">
        <v>511</v>
      </c>
      <c r="F323" s="112"/>
      <c r="G323" s="169">
        <f t="shared" si="17"/>
        <v>25</v>
      </c>
      <c r="H323" s="169">
        <f t="shared" si="17"/>
        <v>25</v>
      </c>
      <c r="I323" s="13"/>
    </row>
    <row r="324" spans="1:9" ht="15">
      <c r="A324" s="52" t="s">
        <v>6</v>
      </c>
      <c r="B324" s="111"/>
      <c r="C324" s="101" t="s">
        <v>114</v>
      </c>
      <c r="D324" s="101" t="s">
        <v>116</v>
      </c>
      <c r="E324" s="101" t="s">
        <v>512</v>
      </c>
      <c r="F324" s="112"/>
      <c r="G324" s="169">
        <f>SUM(G325)</f>
        <v>25</v>
      </c>
      <c r="H324" s="169">
        <f>SUM(H325)</f>
        <v>25</v>
      </c>
      <c r="I324" s="13"/>
    </row>
    <row r="325" spans="1:9" ht="15">
      <c r="A325" s="52" t="s">
        <v>467</v>
      </c>
      <c r="B325" s="111"/>
      <c r="C325" s="101" t="s">
        <v>114</v>
      </c>
      <c r="D325" s="101" t="s">
        <v>116</v>
      </c>
      <c r="E325" s="101" t="s">
        <v>512</v>
      </c>
      <c r="F325" s="112" t="s">
        <v>161</v>
      </c>
      <c r="G325" s="169">
        <v>25</v>
      </c>
      <c r="H325" s="169">
        <v>25</v>
      </c>
      <c r="I325" s="13"/>
    </row>
    <row r="326" spans="1:9" ht="15">
      <c r="A326" s="52" t="s">
        <v>388</v>
      </c>
      <c r="B326" s="111"/>
      <c r="C326" s="101" t="s">
        <v>114</v>
      </c>
      <c r="D326" s="101" t="s">
        <v>377</v>
      </c>
      <c r="E326" s="46"/>
      <c r="F326" s="108"/>
      <c r="G326" s="75">
        <f aca="true" t="shared" si="18" ref="G326:H328">SUM(G327)</f>
        <v>6277.2</v>
      </c>
      <c r="H326" s="75">
        <f t="shared" si="18"/>
        <v>6352.2</v>
      </c>
      <c r="I326" s="13"/>
    </row>
    <row r="327" spans="1:9" ht="28.5">
      <c r="A327" s="52" t="s">
        <v>390</v>
      </c>
      <c r="B327" s="36"/>
      <c r="C327" s="101" t="s">
        <v>114</v>
      </c>
      <c r="D327" s="101" t="s">
        <v>377</v>
      </c>
      <c r="E327" s="97" t="s">
        <v>391</v>
      </c>
      <c r="F327" s="108"/>
      <c r="G327" s="75">
        <f t="shared" si="18"/>
        <v>6277.2</v>
      </c>
      <c r="H327" s="75">
        <f t="shared" si="18"/>
        <v>6352.2</v>
      </c>
      <c r="I327" s="13"/>
    </row>
    <row r="328" spans="1:9" ht="15">
      <c r="A328" s="52" t="s">
        <v>11</v>
      </c>
      <c r="B328" s="111"/>
      <c r="C328" s="101" t="s">
        <v>114</v>
      </c>
      <c r="D328" s="101" t="s">
        <v>377</v>
      </c>
      <c r="E328" s="101" t="s">
        <v>548</v>
      </c>
      <c r="F328" s="112"/>
      <c r="G328" s="169">
        <f t="shared" si="18"/>
        <v>6277.2</v>
      </c>
      <c r="H328" s="169">
        <f t="shared" si="18"/>
        <v>6352.2</v>
      </c>
      <c r="I328" s="13"/>
    </row>
    <row r="329" spans="1:9" ht="28.5">
      <c r="A329" s="52" t="s">
        <v>189</v>
      </c>
      <c r="B329" s="111"/>
      <c r="C329" s="101" t="s">
        <v>114</v>
      </c>
      <c r="D329" s="101" t="s">
        <v>377</v>
      </c>
      <c r="E329" s="101" t="s">
        <v>549</v>
      </c>
      <c r="F329" s="112"/>
      <c r="G329" s="169">
        <f>G330</f>
        <v>6277.2</v>
      </c>
      <c r="H329" s="169">
        <f>H330</f>
        <v>6352.2</v>
      </c>
      <c r="I329" s="13"/>
    </row>
    <row r="330" spans="1:9" ht="28.5">
      <c r="A330" s="52" t="s">
        <v>484</v>
      </c>
      <c r="B330" s="111"/>
      <c r="C330" s="101" t="s">
        <v>114</v>
      </c>
      <c r="D330" s="101" t="s">
        <v>377</v>
      </c>
      <c r="E330" s="101" t="s">
        <v>549</v>
      </c>
      <c r="F330" s="112" t="s">
        <v>477</v>
      </c>
      <c r="G330" s="169">
        <v>6277.2</v>
      </c>
      <c r="H330" s="169">
        <v>6352.2</v>
      </c>
      <c r="I330" s="13"/>
    </row>
    <row r="331" spans="1:9" ht="15">
      <c r="A331" s="51" t="s">
        <v>108</v>
      </c>
      <c r="B331" s="36"/>
      <c r="C331" s="46" t="s">
        <v>109</v>
      </c>
      <c r="D331" s="46"/>
      <c r="E331" s="46"/>
      <c r="F331" s="107"/>
      <c r="G331" s="75">
        <f>SUM(G332+G351)</f>
        <v>62042</v>
      </c>
      <c r="H331" s="75">
        <f>SUM(H332+H351)</f>
        <v>62505</v>
      </c>
      <c r="I331" s="13"/>
    </row>
    <row r="332" spans="1:9" ht="15">
      <c r="A332" s="51" t="s">
        <v>323</v>
      </c>
      <c r="B332" s="36"/>
      <c r="C332" s="97" t="s">
        <v>109</v>
      </c>
      <c r="D332" s="97" t="s">
        <v>431</v>
      </c>
      <c r="E332" s="46"/>
      <c r="F332" s="107"/>
      <c r="G332" s="75">
        <f>SUM(G333+G336+G339+G348)</f>
        <v>62042</v>
      </c>
      <c r="H332" s="75">
        <f>SUM(H333+H336+H339+H348)</f>
        <v>62505</v>
      </c>
      <c r="I332" s="13"/>
    </row>
    <row r="333" spans="1:9" ht="15" hidden="1">
      <c r="A333" s="51" t="s">
        <v>324</v>
      </c>
      <c r="B333" s="128"/>
      <c r="C333" s="97" t="s">
        <v>109</v>
      </c>
      <c r="D333" s="97" t="s">
        <v>431</v>
      </c>
      <c r="E333" s="97" t="s">
        <v>325</v>
      </c>
      <c r="F333" s="108"/>
      <c r="G333" s="75">
        <f>SUM(G334)</f>
        <v>0</v>
      </c>
      <c r="H333" s="75">
        <f>SUM(H334)</f>
        <v>0</v>
      </c>
      <c r="I333" s="13"/>
    </row>
    <row r="334" spans="1:9" ht="28.5" hidden="1">
      <c r="A334" s="51" t="s">
        <v>47</v>
      </c>
      <c r="B334" s="128"/>
      <c r="C334" s="97" t="s">
        <v>109</v>
      </c>
      <c r="D334" s="97" t="s">
        <v>431</v>
      </c>
      <c r="E334" s="97" t="s">
        <v>326</v>
      </c>
      <c r="F334" s="108"/>
      <c r="G334" s="75">
        <f>SUM(G335)</f>
        <v>0</v>
      </c>
      <c r="H334" s="75">
        <f>SUM(H335)</f>
        <v>0</v>
      </c>
      <c r="I334" s="13"/>
    </row>
    <row r="335" spans="1:9" ht="15" hidden="1">
      <c r="A335" s="54" t="s">
        <v>48</v>
      </c>
      <c r="B335" s="130"/>
      <c r="C335" s="97" t="s">
        <v>109</v>
      </c>
      <c r="D335" s="97" t="s">
        <v>431</v>
      </c>
      <c r="E335" s="97" t="s">
        <v>326</v>
      </c>
      <c r="F335" s="124" t="s">
        <v>240</v>
      </c>
      <c r="G335" s="75"/>
      <c r="H335" s="75"/>
      <c r="I335" s="13"/>
    </row>
    <row r="336" spans="1:9" ht="15" hidden="1">
      <c r="A336" s="51" t="s">
        <v>305</v>
      </c>
      <c r="B336" s="36"/>
      <c r="C336" s="97" t="s">
        <v>109</v>
      </c>
      <c r="D336" s="97" t="s">
        <v>431</v>
      </c>
      <c r="E336" s="97" t="s">
        <v>306</v>
      </c>
      <c r="F336" s="108"/>
      <c r="G336" s="75">
        <f>SUM(G337)</f>
        <v>0</v>
      </c>
      <c r="H336" s="75">
        <f>SUM(H337)</f>
        <v>0</v>
      </c>
      <c r="I336" s="13"/>
    </row>
    <row r="337" spans="1:9" ht="28.5" hidden="1">
      <c r="A337" s="51" t="s">
        <v>47</v>
      </c>
      <c r="B337" s="128"/>
      <c r="C337" s="97" t="s">
        <v>109</v>
      </c>
      <c r="D337" s="97" t="s">
        <v>431</v>
      </c>
      <c r="E337" s="97" t="s">
        <v>307</v>
      </c>
      <c r="F337" s="108"/>
      <c r="G337" s="75">
        <f>SUM(G338)</f>
        <v>0</v>
      </c>
      <c r="H337" s="75">
        <f>SUM(H338)</f>
        <v>0</v>
      </c>
      <c r="I337" s="13"/>
    </row>
    <row r="338" spans="1:9" ht="15" hidden="1">
      <c r="A338" s="54" t="s">
        <v>48</v>
      </c>
      <c r="B338" s="130"/>
      <c r="C338" s="97" t="s">
        <v>109</v>
      </c>
      <c r="D338" s="97" t="s">
        <v>431</v>
      </c>
      <c r="E338" s="97" t="s">
        <v>307</v>
      </c>
      <c r="F338" s="124" t="s">
        <v>240</v>
      </c>
      <c r="G338" s="75"/>
      <c r="H338" s="75"/>
      <c r="I338" s="13" t="e">
        <f aca="true" t="shared" si="19" ref="I338:I349">SUM(H338/G341*100)</f>
        <v>#DIV/0!</v>
      </c>
    </row>
    <row r="339" spans="1:9" ht="28.5">
      <c r="A339" s="51" t="s">
        <v>601</v>
      </c>
      <c r="B339" s="36"/>
      <c r="C339" s="97" t="s">
        <v>109</v>
      </c>
      <c r="D339" s="97" t="s">
        <v>431</v>
      </c>
      <c r="E339" s="97" t="s">
        <v>602</v>
      </c>
      <c r="F339" s="107"/>
      <c r="G339" s="75">
        <f>SUM(G340)</f>
        <v>62042</v>
      </c>
      <c r="H339" s="75">
        <f>SUM(H340)</f>
        <v>62505</v>
      </c>
      <c r="I339" s="13" t="e">
        <f t="shared" si="19"/>
        <v>#DIV/0!</v>
      </c>
    </row>
    <row r="340" spans="1:9" ht="28.5">
      <c r="A340" s="51" t="s">
        <v>47</v>
      </c>
      <c r="B340" s="36"/>
      <c r="C340" s="97" t="s">
        <v>109</v>
      </c>
      <c r="D340" s="97" t="s">
        <v>431</v>
      </c>
      <c r="E340" s="97" t="s">
        <v>603</v>
      </c>
      <c r="F340" s="107"/>
      <c r="G340" s="75">
        <f>SUM(G344+G342+G341)</f>
        <v>62042</v>
      </c>
      <c r="H340" s="75">
        <f>SUM(H344+H342+H341)</f>
        <v>62505</v>
      </c>
      <c r="I340" s="13" t="e">
        <f t="shared" si="19"/>
        <v>#DIV/0!</v>
      </c>
    </row>
    <row r="341" spans="1:9" ht="15" hidden="1">
      <c r="A341" s="54" t="s">
        <v>48</v>
      </c>
      <c r="B341" s="36"/>
      <c r="C341" s="97" t="s">
        <v>109</v>
      </c>
      <c r="D341" s="97" t="s">
        <v>431</v>
      </c>
      <c r="E341" s="46" t="s">
        <v>308</v>
      </c>
      <c r="F341" s="108" t="s">
        <v>240</v>
      </c>
      <c r="G341" s="75"/>
      <c r="H341" s="75"/>
      <c r="I341" s="13">
        <f t="shared" si="19"/>
        <v>0</v>
      </c>
    </row>
    <row r="342" spans="1:9" ht="42.75" hidden="1">
      <c r="A342" s="54" t="s">
        <v>53</v>
      </c>
      <c r="B342" s="130"/>
      <c r="C342" s="97" t="s">
        <v>109</v>
      </c>
      <c r="D342" s="97" t="s">
        <v>431</v>
      </c>
      <c r="E342" s="97" t="s">
        <v>309</v>
      </c>
      <c r="F342" s="124"/>
      <c r="G342" s="75">
        <f>SUM(G343)</f>
        <v>0</v>
      </c>
      <c r="H342" s="75">
        <f>SUM(H343)</f>
        <v>0</v>
      </c>
      <c r="I342" s="13">
        <f t="shared" si="19"/>
        <v>0</v>
      </c>
    </row>
    <row r="343" spans="1:9" ht="15" hidden="1">
      <c r="A343" s="54" t="s">
        <v>48</v>
      </c>
      <c r="B343" s="130"/>
      <c r="C343" s="97" t="s">
        <v>109</v>
      </c>
      <c r="D343" s="97" t="s">
        <v>431</v>
      </c>
      <c r="E343" s="97" t="s">
        <v>309</v>
      </c>
      <c r="F343" s="124" t="s">
        <v>240</v>
      </c>
      <c r="G343" s="75"/>
      <c r="H343" s="75"/>
      <c r="I343" s="13">
        <f t="shared" si="19"/>
        <v>0</v>
      </c>
    </row>
    <row r="344" spans="1:9" s="14" customFormat="1" ht="57">
      <c r="A344" s="51" t="s">
        <v>437</v>
      </c>
      <c r="B344" s="36"/>
      <c r="C344" s="97" t="s">
        <v>109</v>
      </c>
      <c r="D344" s="97" t="s">
        <v>431</v>
      </c>
      <c r="E344" s="97" t="s">
        <v>604</v>
      </c>
      <c r="F344" s="107"/>
      <c r="G344" s="75">
        <f>SUM(G345:G347)</f>
        <v>62042</v>
      </c>
      <c r="H344" s="75">
        <f>SUM(H345:H347)</f>
        <v>62505</v>
      </c>
      <c r="I344" s="13" t="e">
        <f t="shared" si="19"/>
        <v>#DIV/0!</v>
      </c>
    </row>
    <row r="345" spans="1:9" s="14" customFormat="1" ht="28.5">
      <c r="A345" s="51" t="s">
        <v>461</v>
      </c>
      <c r="B345" s="36"/>
      <c r="C345" s="97" t="s">
        <v>109</v>
      </c>
      <c r="D345" s="97" t="s">
        <v>431</v>
      </c>
      <c r="E345" s="97" t="s">
        <v>604</v>
      </c>
      <c r="F345" s="107" t="s">
        <v>462</v>
      </c>
      <c r="G345" s="75">
        <v>42660.2</v>
      </c>
      <c r="H345" s="75">
        <v>42660.2</v>
      </c>
      <c r="I345" s="13" t="e">
        <f t="shared" si="19"/>
        <v>#DIV/0!</v>
      </c>
    </row>
    <row r="346" spans="1:9" s="14" customFormat="1" ht="14.25" customHeight="1">
      <c r="A346" s="51" t="s">
        <v>463</v>
      </c>
      <c r="B346" s="36"/>
      <c r="C346" s="97" t="s">
        <v>109</v>
      </c>
      <c r="D346" s="97" t="s">
        <v>431</v>
      </c>
      <c r="E346" s="97" t="s">
        <v>604</v>
      </c>
      <c r="F346" s="107" t="s">
        <v>112</v>
      </c>
      <c r="G346" s="75">
        <v>19381.8</v>
      </c>
      <c r="H346" s="75">
        <v>19844.8</v>
      </c>
      <c r="I346" s="13" t="e">
        <f t="shared" si="19"/>
        <v>#DIV/0!</v>
      </c>
    </row>
    <row r="347" spans="1:9" s="14" customFormat="1" ht="15" hidden="1">
      <c r="A347" s="51" t="s">
        <v>467</v>
      </c>
      <c r="B347" s="36"/>
      <c r="C347" s="97" t="s">
        <v>109</v>
      </c>
      <c r="D347" s="97" t="s">
        <v>431</v>
      </c>
      <c r="E347" s="97" t="s">
        <v>313</v>
      </c>
      <c r="F347" s="107" t="s">
        <v>161</v>
      </c>
      <c r="G347" s="75"/>
      <c r="H347" s="75"/>
      <c r="I347" s="13" t="e">
        <f t="shared" si="19"/>
        <v>#DIV/0!</v>
      </c>
    </row>
    <row r="348" spans="1:9" ht="15" hidden="1">
      <c r="A348" s="51" t="s">
        <v>314</v>
      </c>
      <c r="B348" s="47"/>
      <c r="C348" s="97" t="s">
        <v>109</v>
      </c>
      <c r="D348" s="97" t="s">
        <v>431</v>
      </c>
      <c r="E348" s="97" t="s">
        <v>315</v>
      </c>
      <c r="F348" s="108"/>
      <c r="G348" s="75">
        <f>SUM(G349)</f>
        <v>0</v>
      </c>
      <c r="H348" s="75">
        <f>SUM(H349)</f>
        <v>0</v>
      </c>
      <c r="I348" s="13" t="e">
        <f t="shared" si="19"/>
        <v>#DIV/0!</v>
      </c>
    </row>
    <row r="349" spans="1:9" ht="28.5" hidden="1">
      <c r="A349" s="51" t="s">
        <v>47</v>
      </c>
      <c r="B349" s="128"/>
      <c r="C349" s="97" t="s">
        <v>109</v>
      </c>
      <c r="D349" s="97" t="s">
        <v>431</v>
      </c>
      <c r="E349" s="97" t="s">
        <v>316</v>
      </c>
      <c r="F349" s="108"/>
      <c r="G349" s="75">
        <f>SUM(G350)</f>
        <v>0</v>
      </c>
      <c r="H349" s="75">
        <f>SUM(H350)</f>
        <v>0</v>
      </c>
      <c r="I349" s="13" t="e">
        <f t="shared" si="19"/>
        <v>#DIV/0!</v>
      </c>
    </row>
    <row r="350" spans="1:9" ht="15" hidden="1">
      <c r="A350" s="54" t="s">
        <v>48</v>
      </c>
      <c r="B350" s="36"/>
      <c r="C350" s="97" t="s">
        <v>109</v>
      </c>
      <c r="D350" s="97" t="s">
        <v>431</v>
      </c>
      <c r="E350" s="97" t="s">
        <v>316</v>
      </c>
      <c r="F350" s="107" t="s">
        <v>240</v>
      </c>
      <c r="G350" s="75"/>
      <c r="H350" s="75"/>
      <c r="I350" s="13"/>
    </row>
    <row r="351" spans="1:9" ht="15" hidden="1">
      <c r="A351" s="51" t="s">
        <v>110</v>
      </c>
      <c r="B351" s="36"/>
      <c r="C351" s="46" t="s">
        <v>109</v>
      </c>
      <c r="D351" s="46" t="s">
        <v>109</v>
      </c>
      <c r="E351" s="97"/>
      <c r="F351" s="107"/>
      <c r="G351" s="75">
        <f>SUM(G352+G355)</f>
        <v>0</v>
      </c>
      <c r="H351" s="75">
        <f>SUM(H352+H355)</f>
        <v>0</v>
      </c>
      <c r="I351" s="13"/>
    </row>
    <row r="352" spans="1:9" ht="15" hidden="1">
      <c r="A352" s="52" t="s">
        <v>209</v>
      </c>
      <c r="B352" s="47"/>
      <c r="C352" s="97" t="s">
        <v>109</v>
      </c>
      <c r="D352" s="97" t="s">
        <v>109</v>
      </c>
      <c r="E352" s="97" t="s">
        <v>210</v>
      </c>
      <c r="F352" s="108"/>
      <c r="G352" s="75">
        <f>SUM(G353)</f>
        <v>0</v>
      </c>
      <c r="H352" s="75">
        <f>SUM(H353)</f>
        <v>0</v>
      </c>
      <c r="I352" s="13" t="e">
        <f aca="true" t="shared" si="20" ref="I352:I379">SUM(H352/G355*100)</f>
        <v>#DIV/0!</v>
      </c>
    </row>
    <row r="353" spans="1:9" ht="28.5" hidden="1">
      <c r="A353" s="51" t="s">
        <v>47</v>
      </c>
      <c r="B353" s="47"/>
      <c r="C353" s="97" t="s">
        <v>109</v>
      </c>
      <c r="D353" s="97" t="s">
        <v>109</v>
      </c>
      <c r="E353" s="97" t="s">
        <v>213</v>
      </c>
      <c r="F353" s="108"/>
      <c r="G353" s="75">
        <f>SUM(G354)</f>
        <v>0</v>
      </c>
      <c r="H353" s="75">
        <f>SUM(H354)</f>
        <v>0</v>
      </c>
      <c r="I353" s="13" t="e">
        <f t="shared" si="20"/>
        <v>#DIV/0!</v>
      </c>
    </row>
    <row r="354" spans="1:9" ht="15" hidden="1">
      <c r="A354" s="54" t="s">
        <v>48</v>
      </c>
      <c r="B354" s="47"/>
      <c r="C354" s="97" t="s">
        <v>109</v>
      </c>
      <c r="D354" s="97" t="s">
        <v>109</v>
      </c>
      <c r="E354" s="97" t="s">
        <v>213</v>
      </c>
      <c r="F354" s="108" t="s">
        <v>240</v>
      </c>
      <c r="G354" s="75"/>
      <c r="H354" s="75"/>
      <c r="I354" s="13" t="e">
        <f t="shared" si="20"/>
        <v>#DIV/0!</v>
      </c>
    </row>
    <row r="355" spans="1:9" ht="15" hidden="1">
      <c r="A355" s="54" t="s">
        <v>121</v>
      </c>
      <c r="B355" s="131"/>
      <c r="C355" s="97" t="s">
        <v>109</v>
      </c>
      <c r="D355" s="97" t="s">
        <v>109</v>
      </c>
      <c r="E355" s="97" t="s">
        <v>122</v>
      </c>
      <c r="F355" s="124"/>
      <c r="G355" s="75">
        <f>SUM(G356)</f>
        <v>0</v>
      </c>
      <c r="H355" s="75">
        <f>SUM(H356)</f>
        <v>0</v>
      </c>
      <c r="I355" s="13">
        <f t="shared" si="20"/>
        <v>0</v>
      </c>
    </row>
    <row r="356" spans="1:9" ht="42.75" hidden="1">
      <c r="A356" s="57" t="s">
        <v>339</v>
      </c>
      <c r="B356" s="131"/>
      <c r="C356" s="97" t="s">
        <v>109</v>
      </c>
      <c r="D356" s="97" t="s">
        <v>109</v>
      </c>
      <c r="E356" s="97" t="s">
        <v>338</v>
      </c>
      <c r="F356" s="124"/>
      <c r="G356" s="75">
        <f>SUM(G357)</f>
        <v>0</v>
      </c>
      <c r="H356" s="75">
        <f>SUM(H357)</f>
        <v>0</v>
      </c>
      <c r="I356" s="13">
        <f t="shared" si="20"/>
        <v>0</v>
      </c>
    </row>
    <row r="357" spans="1:9" ht="15" hidden="1">
      <c r="A357" s="54" t="s">
        <v>207</v>
      </c>
      <c r="B357" s="131"/>
      <c r="C357" s="97" t="s">
        <v>109</v>
      </c>
      <c r="D357" s="97" t="s">
        <v>109</v>
      </c>
      <c r="E357" s="97" t="s">
        <v>338</v>
      </c>
      <c r="F357" s="124" t="s">
        <v>208</v>
      </c>
      <c r="G357" s="75"/>
      <c r="H357" s="75"/>
      <c r="I357" s="13">
        <f t="shared" si="20"/>
        <v>0</v>
      </c>
    </row>
    <row r="358" spans="1:9" ht="15">
      <c r="A358" s="51" t="s">
        <v>173</v>
      </c>
      <c r="B358" s="36"/>
      <c r="C358" s="46" t="s">
        <v>5</v>
      </c>
      <c r="D358" s="46"/>
      <c r="E358" s="46"/>
      <c r="F358" s="107"/>
      <c r="G358" s="75">
        <f>SUM(G359+G363+G377+G463+G475)</f>
        <v>875636.3</v>
      </c>
      <c r="H358" s="75">
        <f>SUM(H359+H363+H377+H463+H475)</f>
        <v>893373.9000000001</v>
      </c>
      <c r="I358" s="13">
        <f t="shared" si="20"/>
        <v>43653.74541900807</v>
      </c>
    </row>
    <row r="359" spans="1:9" ht="15">
      <c r="A359" s="51" t="s">
        <v>175</v>
      </c>
      <c r="B359" s="36"/>
      <c r="C359" s="46" t="s">
        <v>5</v>
      </c>
      <c r="D359" s="46" t="s">
        <v>429</v>
      </c>
      <c r="E359" s="46"/>
      <c r="F359" s="107"/>
      <c r="G359" s="75">
        <f aca="true" t="shared" si="21" ref="G359:H361">SUM(G360)</f>
        <v>2046.5</v>
      </c>
      <c r="H359" s="75">
        <f t="shared" si="21"/>
        <v>2046.5</v>
      </c>
      <c r="I359" s="13">
        <f t="shared" si="20"/>
        <v>100</v>
      </c>
    </row>
    <row r="360" spans="1:9" ht="15">
      <c r="A360" s="51" t="s">
        <v>176</v>
      </c>
      <c r="B360" s="36"/>
      <c r="C360" s="46" t="s">
        <v>5</v>
      </c>
      <c r="D360" s="46" t="s">
        <v>429</v>
      </c>
      <c r="E360" s="46" t="s">
        <v>177</v>
      </c>
      <c r="F360" s="107"/>
      <c r="G360" s="75">
        <f t="shared" si="21"/>
        <v>2046.5</v>
      </c>
      <c r="H360" s="75">
        <f t="shared" si="21"/>
        <v>2046.5</v>
      </c>
      <c r="I360" s="13">
        <f t="shared" si="20"/>
        <v>4.052707977289785</v>
      </c>
    </row>
    <row r="361" spans="1:9" ht="28.5">
      <c r="A361" s="51" t="s">
        <v>178</v>
      </c>
      <c r="B361" s="36"/>
      <c r="C361" s="46" t="s">
        <v>5</v>
      </c>
      <c r="D361" s="46" t="s">
        <v>429</v>
      </c>
      <c r="E361" s="46" t="s">
        <v>179</v>
      </c>
      <c r="F361" s="107"/>
      <c r="G361" s="75">
        <f t="shared" si="21"/>
        <v>2046.5</v>
      </c>
      <c r="H361" s="75">
        <f t="shared" si="21"/>
        <v>2046.5</v>
      </c>
      <c r="I361" s="13" t="e">
        <f t="shared" si="20"/>
        <v>#DIV/0!</v>
      </c>
    </row>
    <row r="362" spans="1:9" ht="15">
      <c r="A362" s="51" t="s">
        <v>471</v>
      </c>
      <c r="B362" s="36"/>
      <c r="C362" s="46" t="s">
        <v>5</v>
      </c>
      <c r="D362" s="46" t="s">
        <v>429</v>
      </c>
      <c r="E362" s="46" t="s">
        <v>179</v>
      </c>
      <c r="F362" s="107" t="s">
        <v>472</v>
      </c>
      <c r="G362" s="75">
        <v>2046.5</v>
      </c>
      <c r="H362" s="75">
        <v>2046.5</v>
      </c>
      <c r="I362" s="13" t="e">
        <f t="shared" si="20"/>
        <v>#DIV/0!</v>
      </c>
    </row>
    <row r="363" spans="1:9" s="18" customFormat="1" ht="15">
      <c r="A363" s="51" t="s">
        <v>180</v>
      </c>
      <c r="B363" s="36"/>
      <c r="C363" s="97" t="s">
        <v>5</v>
      </c>
      <c r="D363" s="97" t="s">
        <v>431</v>
      </c>
      <c r="E363" s="46"/>
      <c r="F363" s="107"/>
      <c r="G363" s="75">
        <f>SUM(G364+G369)</f>
        <v>50497.1</v>
      </c>
      <c r="H363" s="75">
        <f>SUM(H364+H369)</f>
        <v>50672.299999999996</v>
      </c>
      <c r="I363" s="13" t="e">
        <f t="shared" si="20"/>
        <v>#DIV/0!</v>
      </c>
    </row>
    <row r="364" spans="1:9" ht="15" hidden="1">
      <c r="A364" s="59" t="s">
        <v>67</v>
      </c>
      <c r="B364" s="36"/>
      <c r="C364" s="97" t="s">
        <v>5</v>
      </c>
      <c r="D364" s="97" t="s">
        <v>431</v>
      </c>
      <c r="E364" s="97" t="s">
        <v>68</v>
      </c>
      <c r="F364" s="108"/>
      <c r="G364" s="75"/>
      <c r="H364" s="75"/>
      <c r="I364" s="13" t="e">
        <f t="shared" si="20"/>
        <v>#DIV/0!</v>
      </c>
    </row>
    <row r="365" spans="1:9" s="15" customFormat="1" ht="28.5" hidden="1">
      <c r="A365" s="59" t="s">
        <v>14</v>
      </c>
      <c r="B365" s="36"/>
      <c r="C365" s="97" t="s">
        <v>5</v>
      </c>
      <c r="D365" s="97" t="s">
        <v>431</v>
      </c>
      <c r="E365" s="97" t="s">
        <v>15</v>
      </c>
      <c r="F365" s="108"/>
      <c r="G365" s="75">
        <f>SUM(G366+G367)</f>
        <v>0</v>
      </c>
      <c r="H365" s="75">
        <f>SUM(H366+H367)</f>
        <v>0</v>
      </c>
      <c r="I365" s="13" t="e">
        <f t="shared" si="20"/>
        <v>#DIV/0!</v>
      </c>
    </row>
    <row r="366" spans="1:9" s="15" customFormat="1" ht="15" hidden="1">
      <c r="A366" s="52" t="s">
        <v>239</v>
      </c>
      <c r="B366" s="36"/>
      <c r="C366" s="97" t="s">
        <v>5</v>
      </c>
      <c r="D366" s="97" t="s">
        <v>431</v>
      </c>
      <c r="E366" s="97" t="s">
        <v>15</v>
      </c>
      <c r="F366" s="108" t="s">
        <v>240</v>
      </c>
      <c r="G366" s="75"/>
      <c r="H366" s="75"/>
      <c r="I366" s="13">
        <f t="shared" si="20"/>
        <v>0</v>
      </c>
    </row>
    <row r="367" spans="1:9" s="15" customFormat="1" ht="28.5" hidden="1">
      <c r="A367" s="59" t="s">
        <v>16</v>
      </c>
      <c r="B367" s="36"/>
      <c r="C367" s="97" t="s">
        <v>5</v>
      </c>
      <c r="D367" s="97" t="s">
        <v>431</v>
      </c>
      <c r="E367" s="97" t="s">
        <v>17</v>
      </c>
      <c r="F367" s="108"/>
      <c r="G367" s="75">
        <f>SUM(G368)</f>
        <v>0</v>
      </c>
      <c r="H367" s="75">
        <f>SUM(H368)</f>
        <v>0</v>
      </c>
      <c r="I367" s="13">
        <f t="shared" si="20"/>
        <v>0</v>
      </c>
    </row>
    <row r="368" spans="1:9" ht="15" hidden="1">
      <c r="A368" s="52" t="s">
        <v>239</v>
      </c>
      <c r="B368" s="36"/>
      <c r="C368" s="97" t="s">
        <v>5</v>
      </c>
      <c r="D368" s="97" t="s">
        <v>431</v>
      </c>
      <c r="E368" s="97" t="s">
        <v>17</v>
      </c>
      <c r="F368" s="108" t="s">
        <v>240</v>
      </c>
      <c r="G368" s="75"/>
      <c r="H368" s="75"/>
      <c r="I368" s="13">
        <f t="shared" si="20"/>
        <v>0</v>
      </c>
    </row>
    <row r="369" spans="1:9" ht="15">
      <c r="A369" s="59" t="s">
        <v>67</v>
      </c>
      <c r="B369" s="36"/>
      <c r="C369" s="97" t="s">
        <v>5</v>
      </c>
      <c r="D369" s="97" t="s">
        <v>431</v>
      </c>
      <c r="E369" s="97" t="s">
        <v>18</v>
      </c>
      <c r="F369" s="108"/>
      <c r="G369" s="75">
        <f>SUM(G370+G373)</f>
        <v>50497.1</v>
      </c>
      <c r="H369" s="75">
        <f>SUM(H370+H373)</f>
        <v>50672.299999999996</v>
      </c>
      <c r="I369" s="13">
        <f t="shared" si="20"/>
        <v>4408.97067780388</v>
      </c>
    </row>
    <row r="370" spans="1:9" ht="28.5">
      <c r="A370" s="52" t="s">
        <v>47</v>
      </c>
      <c r="B370" s="36"/>
      <c r="C370" s="97" t="s">
        <v>5</v>
      </c>
      <c r="D370" s="97" t="s">
        <v>431</v>
      </c>
      <c r="E370" s="97" t="s">
        <v>19</v>
      </c>
      <c r="F370" s="108"/>
      <c r="G370" s="75">
        <f>SUM(G371:G372)</f>
        <v>1783</v>
      </c>
      <c r="H370" s="75">
        <f>SUM(H371:H372)</f>
        <v>1783</v>
      </c>
      <c r="I370" s="13">
        <f t="shared" si="20"/>
        <v>3.6601312556323533</v>
      </c>
    </row>
    <row r="371" spans="1:9" ht="28.5">
      <c r="A371" s="51" t="s">
        <v>461</v>
      </c>
      <c r="B371" s="36"/>
      <c r="C371" s="97" t="s">
        <v>5</v>
      </c>
      <c r="D371" s="97" t="s">
        <v>431</v>
      </c>
      <c r="E371" s="97" t="s">
        <v>19</v>
      </c>
      <c r="F371" s="107" t="s">
        <v>462</v>
      </c>
      <c r="G371" s="75">
        <v>633.7</v>
      </c>
      <c r="H371" s="75">
        <v>633.7</v>
      </c>
      <c r="I371" s="13">
        <f t="shared" si="20"/>
        <v>1.553883236843977</v>
      </c>
    </row>
    <row r="372" spans="1:9" ht="15">
      <c r="A372" s="51" t="s">
        <v>463</v>
      </c>
      <c r="B372" s="36"/>
      <c r="C372" s="97" t="s">
        <v>5</v>
      </c>
      <c r="D372" s="97" t="s">
        <v>431</v>
      </c>
      <c r="E372" s="97" t="s">
        <v>19</v>
      </c>
      <c r="F372" s="107" t="s">
        <v>112</v>
      </c>
      <c r="G372" s="75">
        <v>1149.3</v>
      </c>
      <c r="H372" s="75">
        <v>1149.3</v>
      </c>
      <c r="I372" s="13">
        <f t="shared" si="20"/>
        <v>14.488679340426605</v>
      </c>
    </row>
    <row r="373" spans="1:9" ht="28.5">
      <c r="A373" s="52" t="s">
        <v>20</v>
      </c>
      <c r="B373" s="36"/>
      <c r="C373" s="97" t="s">
        <v>5</v>
      </c>
      <c r="D373" s="97" t="s">
        <v>431</v>
      </c>
      <c r="E373" s="97" t="s">
        <v>21</v>
      </c>
      <c r="F373" s="108"/>
      <c r="G373" s="75">
        <f>SUM(G374:G376)</f>
        <v>48714.1</v>
      </c>
      <c r="H373" s="75">
        <f>SUM(H374:H376)</f>
        <v>48889.299999999996</v>
      </c>
      <c r="I373" s="13" t="e">
        <f t="shared" si="20"/>
        <v>#DIV/0!</v>
      </c>
    </row>
    <row r="374" spans="1:9" ht="28.5">
      <c r="A374" s="51" t="s">
        <v>461</v>
      </c>
      <c r="B374" s="36"/>
      <c r="C374" s="97" t="s">
        <v>5</v>
      </c>
      <c r="D374" s="97" t="s">
        <v>431</v>
      </c>
      <c r="E374" s="97" t="s">
        <v>21</v>
      </c>
      <c r="F374" s="107" t="s">
        <v>462</v>
      </c>
      <c r="G374" s="75">
        <v>40781.7</v>
      </c>
      <c r="H374" s="75">
        <v>40781.7</v>
      </c>
      <c r="I374" s="13">
        <f t="shared" si="20"/>
        <v>5.346218081996397</v>
      </c>
    </row>
    <row r="375" spans="1:9" ht="15">
      <c r="A375" s="51" t="s">
        <v>463</v>
      </c>
      <c r="B375" s="36"/>
      <c r="C375" s="97" t="s">
        <v>5</v>
      </c>
      <c r="D375" s="97" t="s">
        <v>431</v>
      </c>
      <c r="E375" s="97" t="s">
        <v>21</v>
      </c>
      <c r="F375" s="107" t="s">
        <v>112</v>
      </c>
      <c r="G375" s="75">
        <v>7932.4</v>
      </c>
      <c r="H375" s="75">
        <v>8107.6</v>
      </c>
      <c r="I375" s="13" t="e">
        <f t="shared" si="20"/>
        <v>#DIV/0!</v>
      </c>
    </row>
    <row r="376" spans="1:9" ht="15">
      <c r="A376" s="51" t="s">
        <v>467</v>
      </c>
      <c r="B376" s="36"/>
      <c r="C376" s="97" t="s">
        <v>5</v>
      </c>
      <c r="D376" s="97" t="s">
        <v>431</v>
      </c>
      <c r="E376" s="97" t="s">
        <v>21</v>
      </c>
      <c r="F376" s="107" t="s">
        <v>161</v>
      </c>
      <c r="G376" s="75"/>
      <c r="H376" s="75"/>
      <c r="I376" s="13" t="e">
        <f t="shared" si="20"/>
        <v>#DIV/0!</v>
      </c>
    </row>
    <row r="377" spans="1:9" ht="15">
      <c r="A377" s="51" t="s">
        <v>22</v>
      </c>
      <c r="B377" s="36"/>
      <c r="C377" s="46" t="s">
        <v>5</v>
      </c>
      <c r="D377" s="46" t="s">
        <v>98</v>
      </c>
      <c r="E377" s="46"/>
      <c r="F377" s="107"/>
      <c r="G377" s="75">
        <f>SUM(G381+G417+G460)+G421+G444</f>
        <v>762814.0000000001</v>
      </c>
      <c r="H377" s="75">
        <f>SUM(H381+H417+H460)+H421+H444</f>
        <v>780341.1000000001</v>
      </c>
      <c r="I377" s="13" t="e">
        <f t="shared" si="20"/>
        <v>#DIV/0!</v>
      </c>
    </row>
    <row r="378" spans="1:9" ht="15" hidden="1">
      <c r="A378" s="51" t="s">
        <v>376</v>
      </c>
      <c r="B378" s="36"/>
      <c r="C378" s="46" t="s">
        <v>5</v>
      </c>
      <c r="D378" s="46" t="s">
        <v>98</v>
      </c>
      <c r="E378" s="46" t="s">
        <v>378</v>
      </c>
      <c r="F378" s="107"/>
      <c r="G378" s="75">
        <f>SUM(G380)</f>
        <v>0</v>
      </c>
      <c r="H378" s="75">
        <f>SUM(H380)</f>
        <v>0</v>
      </c>
      <c r="I378" s="13">
        <f t="shared" si="20"/>
        <v>0</v>
      </c>
    </row>
    <row r="379" spans="1:9" ht="15" hidden="1">
      <c r="A379" s="51" t="s">
        <v>357</v>
      </c>
      <c r="B379" s="36"/>
      <c r="C379" s="46" t="s">
        <v>5</v>
      </c>
      <c r="D379" s="46" t="s">
        <v>98</v>
      </c>
      <c r="E379" s="46" t="s">
        <v>358</v>
      </c>
      <c r="F379" s="107"/>
      <c r="G379" s="75">
        <f>SUM(G380)</f>
        <v>0</v>
      </c>
      <c r="H379" s="75">
        <f>SUM(H380)</f>
        <v>0</v>
      </c>
      <c r="I379" s="13">
        <f t="shared" si="20"/>
        <v>0</v>
      </c>
    </row>
    <row r="380" spans="1:9" ht="15" hidden="1">
      <c r="A380" s="51" t="s">
        <v>289</v>
      </c>
      <c r="B380" s="47"/>
      <c r="C380" s="46" t="s">
        <v>5</v>
      </c>
      <c r="D380" s="46" t="s">
        <v>98</v>
      </c>
      <c r="E380" s="46" t="s">
        <v>358</v>
      </c>
      <c r="F380" s="108" t="s">
        <v>290</v>
      </c>
      <c r="G380" s="75"/>
      <c r="H380" s="75"/>
      <c r="I380" s="13">
        <f>SUM(H380/G384*100)</f>
        <v>0</v>
      </c>
    </row>
    <row r="381" spans="1:9" ht="15">
      <c r="A381" s="51" t="s">
        <v>23</v>
      </c>
      <c r="B381" s="36"/>
      <c r="C381" s="46" t="s">
        <v>5</v>
      </c>
      <c r="D381" s="46" t="s">
        <v>98</v>
      </c>
      <c r="E381" s="46" t="s">
        <v>24</v>
      </c>
      <c r="F381" s="107"/>
      <c r="G381" s="75">
        <f>SUM(G382+G391+G394+G397+G400+G403)+G385+G388</f>
        <v>295391.30000000005</v>
      </c>
      <c r="H381" s="75">
        <f>SUM(H382+H391+H394+H397+H400+H403)+H385+H388</f>
        <v>300556.2</v>
      </c>
      <c r="I381" s="13">
        <f>SUM(H381/G391*100)</f>
        <v>182.88659743629375</v>
      </c>
    </row>
    <row r="382" spans="1:9" ht="28.5">
      <c r="A382" s="51" t="s">
        <v>279</v>
      </c>
      <c r="B382" s="36"/>
      <c r="C382" s="97" t="s">
        <v>5</v>
      </c>
      <c r="D382" s="97" t="s">
        <v>98</v>
      </c>
      <c r="E382" s="97" t="s">
        <v>280</v>
      </c>
      <c r="F382" s="108"/>
      <c r="G382" s="75">
        <f>SUM(G383:G384)</f>
        <v>106002.1</v>
      </c>
      <c r="H382" s="75">
        <f>SUM(H383:H384)</f>
        <v>104708.70000000001</v>
      </c>
      <c r="I382" s="13">
        <f>SUM(H382/G393*100)</f>
        <v>64.67032916130108</v>
      </c>
    </row>
    <row r="383" spans="1:9" ht="15">
      <c r="A383" s="51" t="s">
        <v>463</v>
      </c>
      <c r="B383" s="36"/>
      <c r="C383" s="97" t="s">
        <v>5</v>
      </c>
      <c r="D383" s="97" t="s">
        <v>98</v>
      </c>
      <c r="E383" s="97" t="s">
        <v>280</v>
      </c>
      <c r="F383" s="108" t="s">
        <v>112</v>
      </c>
      <c r="G383" s="75">
        <v>2078.5</v>
      </c>
      <c r="H383" s="75">
        <v>2053.1</v>
      </c>
      <c r="I383" s="13"/>
    </row>
    <row r="384" spans="1:9" ht="15">
      <c r="A384" s="51" t="s">
        <v>471</v>
      </c>
      <c r="B384" s="36"/>
      <c r="C384" s="97" t="s">
        <v>5</v>
      </c>
      <c r="D384" s="97" t="s">
        <v>98</v>
      </c>
      <c r="E384" s="97" t="s">
        <v>280</v>
      </c>
      <c r="F384" s="108" t="s">
        <v>472</v>
      </c>
      <c r="G384" s="75">
        <v>103923.6</v>
      </c>
      <c r="H384" s="75">
        <v>102655.6</v>
      </c>
      <c r="I384" s="13" t="e">
        <f>SUM(H384/G394*100)</f>
        <v>#DIV/0!</v>
      </c>
    </row>
    <row r="385" spans="1:9" ht="42.75">
      <c r="A385" s="193" t="s">
        <v>606</v>
      </c>
      <c r="B385" s="194"/>
      <c r="C385" s="195" t="s">
        <v>5</v>
      </c>
      <c r="D385" s="195" t="s">
        <v>98</v>
      </c>
      <c r="E385" s="195" t="s">
        <v>607</v>
      </c>
      <c r="F385" s="195"/>
      <c r="G385" s="199">
        <f>G386+G387</f>
        <v>2149.8</v>
      </c>
      <c r="H385" s="200">
        <f>H386+H387</f>
        <v>2235.8</v>
      </c>
      <c r="I385" s="13"/>
    </row>
    <row r="386" spans="1:9" ht="15">
      <c r="A386" s="196" t="s">
        <v>463</v>
      </c>
      <c r="B386" s="194"/>
      <c r="C386" s="195" t="s">
        <v>5</v>
      </c>
      <c r="D386" s="195" t="s">
        <v>98</v>
      </c>
      <c r="E386" s="195" t="s">
        <v>607</v>
      </c>
      <c r="F386" s="195" t="s">
        <v>112</v>
      </c>
      <c r="G386" s="199">
        <v>31.8</v>
      </c>
      <c r="H386" s="200">
        <v>33</v>
      </c>
      <c r="I386" s="13"/>
    </row>
    <row r="387" spans="1:9" ht="15">
      <c r="A387" s="193" t="s">
        <v>471</v>
      </c>
      <c r="B387" s="194"/>
      <c r="C387" s="195" t="s">
        <v>5</v>
      </c>
      <c r="D387" s="195" t="s">
        <v>98</v>
      </c>
      <c r="E387" s="195" t="s">
        <v>607</v>
      </c>
      <c r="F387" s="195" t="s">
        <v>472</v>
      </c>
      <c r="G387" s="199">
        <v>2118</v>
      </c>
      <c r="H387" s="200">
        <v>2202.8</v>
      </c>
      <c r="I387" s="13"/>
    </row>
    <row r="388" spans="1:9" ht="42.75">
      <c r="A388" s="193" t="s">
        <v>608</v>
      </c>
      <c r="B388" s="194"/>
      <c r="C388" s="195" t="s">
        <v>5</v>
      </c>
      <c r="D388" s="195" t="s">
        <v>98</v>
      </c>
      <c r="E388" s="195" t="s">
        <v>609</v>
      </c>
      <c r="F388" s="195"/>
      <c r="G388" s="199">
        <f>G389+G390</f>
        <v>12081.4</v>
      </c>
      <c r="H388" s="200">
        <f>H389+H390</f>
        <v>12605.699999999999</v>
      </c>
      <c r="I388" s="13"/>
    </row>
    <row r="389" spans="1:9" ht="15">
      <c r="A389" s="196" t="s">
        <v>463</v>
      </c>
      <c r="B389" s="194"/>
      <c r="C389" s="195" t="s">
        <v>5</v>
      </c>
      <c r="D389" s="195" t="s">
        <v>98</v>
      </c>
      <c r="E389" s="195" t="s">
        <v>609</v>
      </c>
      <c r="F389" s="195" t="s">
        <v>112</v>
      </c>
      <c r="G389" s="199">
        <v>178.5</v>
      </c>
      <c r="H389" s="200">
        <v>186.3</v>
      </c>
      <c r="I389" s="13"/>
    </row>
    <row r="390" spans="1:9" ht="15">
      <c r="A390" s="193" t="s">
        <v>471</v>
      </c>
      <c r="B390" s="194"/>
      <c r="C390" s="195" t="s">
        <v>5</v>
      </c>
      <c r="D390" s="195" t="s">
        <v>98</v>
      </c>
      <c r="E390" s="195" t="s">
        <v>609</v>
      </c>
      <c r="F390" s="195" t="s">
        <v>472</v>
      </c>
      <c r="G390" s="199">
        <v>11902.9</v>
      </c>
      <c r="H390" s="200">
        <v>12419.4</v>
      </c>
      <c r="I390" s="13"/>
    </row>
    <row r="391" spans="1:9" ht="15">
      <c r="A391" s="51" t="s">
        <v>278</v>
      </c>
      <c r="B391" s="36"/>
      <c r="C391" s="97" t="s">
        <v>5</v>
      </c>
      <c r="D391" s="97" t="s">
        <v>98</v>
      </c>
      <c r="E391" s="97" t="s">
        <v>550</v>
      </c>
      <c r="F391" s="108"/>
      <c r="G391" s="75">
        <f>SUM(G392:G393)</f>
        <v>164340.2</v>
      </c>
      <c r="H391" s="75">
        <f>SUM(H392:H393)</f>
        <v>169763.5</v>
      </c>
      <c r="I391" s="13" t="e">
        <f>SUM(H391/G396*100)</f>
        <v>#DIV/0!</v>
      </c>
    </row>
    <row r="392" spans="1:9" ht="15">
      <c r="A392" s="51" t="s">
        <v>463</v>
      </c>
      <c r="B392" s="36"/>
      <c r="C392" s="97" t="s">
        <v>5</v>
      </c>
      <c r="D392" s="97" t="s">
        <v>98</v>
      </c>
      <c r="E392" s="97" t="s">
        <v>550</v>
      </c>
      <c r="F392" s="108" t="s">
        <v>112</v>
      </c>
      <c r="G392" s="75">
        <v>2428.7</v>
      </c>
      <c r="H392" s="75">
        <v>2508.8</v>
      </c>
      <c r="I392" s="13"/>
    </row>
    <row r="393" spans="1:9" ht="15">
      <c r="A393" s="51" t="s">
        <v>471</v>
      </c>
      <c r="B393" s="47"/>
      <c r="C393" s="97" t="s">
        <v>5</v>
      </c>
      <c r="D393" s="97" t="s">
        <v>98</v>
      </c>
      <c r="E393" s="97" t="s">
        <v>550</v>
      </c>
      <c r="F393" s="108" t="s">
        <v>472</v>
      </c>
      <c r="G393" s="75">
        <v>161911.5</v>
      </c>
      <c r="H393" s="75">
        <v>167254.7</v>
      </c>
      <c r="I393" s="13" t="e">
        <f>SUM(H393/G397*100)</f>
        <v>#DIV/0!</v>
      </c>
    </row>
    <row r="394" spans="1:9" ht="42.75">
      <c r="A394" s="53" t="s">
        <v>277</v>
      </c>
      <c r="B394" s="36"/>
      <c r="C394" s="97" t="s">
        <v>5</v>
      </c>
      <c r="D394" s="97" t="s">
        <v>98</v>
      </c>
      <c r="E394" s="97" t="s">
        <v>551</v>
      </c>
      <c r="F394" s="108"/>
      <c r="G394" s="75">
        <f>SUM(G395:G396)</f>
        <v>0</v>
      </c>
      <c r="H394" s="75">
        <f>SUM(H395:H396)</f>
        <v>0</v>
      </c>
      <c r="I394" s="13" t="e">
        <f>SUM(H394/G399*100)</f>
        <v>#DIV/0!</v>
      </c>
    </row>
    <row r="395" spans="1:9" ht="15">
      <c r="A395" s="51" t="s">
        <v>463</v>
      </c>
      <c r="B395" s="36"/>
      <c r="C395" s="97" t="s">
        <v>5</v>
      </c>
      <c r="D395" s="97" t="s">
        <v>98</v>
      </c>
      <c r="E395" s="97" t="s">
        <v>551</v>
      </c>
      <c r="F395" s="108" t="s">
        <v>112</v>
      </c>
      <c r="G395" s="75"/>
      <c r="H395" s="75"/>
      <c r="I395" s="13"/>
    </row>
    <row r="396" spans="1:9" ht="15">
      <c r="A396" s="51" t="s">
        <v>471</v>
      </c>
      <c r="B396" s="36"/>
      <c r="C396" s="97" t="s">
        <v>5</v>
      </c>
      <c r="D396" s="97" t="s">
        <v>98</v>
      </c>
      <c r="E396" s="97" t="s">
        <v>551</v>
      </c>
      <c r="F396" s="108" t="s">
        <v>472</v>
      </c>
      <c r="G396" s="75"/>
      <c r="H396" s="75"/>
      <c r="I396" s="13">
        <f>SUM(H396/G400*100)</f>
        <v>0</v>
      </c>
    </row>
    <row r="397" spans="1:9" ht="71.25">
      <c r="A397" s="132" t="s">
        <v>552</v>
      </c>
      <c r="B397" s="114"/>
      <c r="C397" s="115" t="s">
        <v>5</v>
      </c>
      <c r="D397" s="115" t="s">
        <v>98</v>
      </c>
      <c r="E397" s="115" t="s">
        <v>553</v>
      </c>
      <c r="F397" s="116"/>
      <c r="G397" s="173">
        <f>SUM(G398:G399)</f>
        <v>0</v>
      </c>
      <c r="H397" s="173">
        <f>SUM(H398:H399)</f>
        <v>0</v>
      </c>
      <c r="I397" s="13">
        <f>SUM(H397/G401*100)</f>
        <v>0</v>
      </c>
    </row>
    <row r="398" spans="1:9" ht="15">
      <c r="A398" s="51" t="s">
        <v>463</v>
      </c>
      <c r="B398" s="36"/>
      <c r="C398" s="97" t="s">
        <v>5</v>
      </c>
      <c r="D398" s="97" t="s">
        <v>98</v>
      </c>
      <c r="E398" s="115" t="s">
        <v>553</v>
      </c>
      <c r="F398" s="108" t="s">
        <v>112</v>
      </c>
      <c r="G398" s="173"/>
      <c r="H398" s="173"/>
      <c r="I398" s="13"/>
    </row>
    <row r="399" spans="1:9" ht="15">
      <c r="A399" s="54" t="s">
        <v>471</v>
      </c>
      <c r="B399" s="114"/>
      <c r="C399" s="115" t="s">
        <v>5</v>
      </c>
      <c r="D399" s="115" t="s">
        <v>98</v>
      </c>
      <c r="E399" s="115" t="s">
        <v>553</v>
      </c>
      <c r="F399" s="116" t="s">
        <v>472</v>
      </c>
      <c r="G399" s="173"/>
      <c r="H399" s="173"/>
      <c r="I399" s="13">
        <f>SUM(H399/G402*100)</f>
        <v>0</v>
      </c>
    </row>
    <row r="400" spans="1:9" ht="15">
      <c r="A400" s="54" t="s">
        <v>205</v>
      </c>
      <c r="B400" s="114"/>
      <c r="C400" s="115" t="s">
        <v>5</v>
      </c>
      <c r="D400" s="115" t="s">
        <v>98</v>
      </c>
      <c r="E400" s="115" t="s">
        <v>554</v>
      </c>
      <c r="F400" s="116"/>
      <c r="G400" s="173">
        <f>G401+G402</f>
        <v>1931.3</v>
      </c>
      <c r="H400" s="173">
        <f>H401+H402</f>
        <v>1931.3</v>
      </c>
      <c r="I400" s="13">
        <f>SUM(H400/G403*100)</f>
        <v>21.732965734541157</v>
      </c>
    </row>
    <row r="401" spans="1:9" ht="15">
      <c r="A401" s="54" t="s">
        <v>471</v>
      </c>
      <c r="B401" s="114"/>
      <c r="C401" s="115" t="s">
        <v>5</v>
      </c>
      <c r="D401" s="115" t="s">
        <v>98</v>
      </c>
      <c r="E401" s="115" t="s">
        <v>554</v>
      </c>
      <c r="F401" s="116" t="s">
        <v>472</v>
      </c>
      <c r="G401" s="173">
        <v>1631.3</v>
      </c>
      <c r="H401" s="173">
        <v>1631.3</v>
      </c>
      <c r="I401" s="13" t="e">
        <f>SUM(H401/#REF!*100)</f>
        <v>#REF!</v>
      </c>
    </row>
    <row r="402" spans="1:9" ht="28.5">
      <c r="A402" s="54" t="s">
        <v>561</v>
      </c>
      <c r="B402" s="114"/>
      <c r="C402" s="115" t="s">
        <v>5</v>
      </c>
      <c r="D402" s="115" t="s">
        <v>98</v>
      </c>
      <c r="E402" s="115" t="s">
        <v>554</v>
      </c>
      <c r="F402" s="116" t="s">
        <v>477</v>
      </c>
      <c r="G402" s="173">
        <v>300</v>
      </c>
      <c r="H402" s="173">
        <v>300</v>
      </c>
      <c r="I402" s="13" t="e">
        <f>SUM(H402/#REF!*100)</f>
        <v>#REF!</v>
      </c>
    </row>
    <row r="403" spans="1:9" ht="15">
      <c r="A403" s="54" t="s">
        <v>282</v>
      </c>
      <c r="B403" s="114"/>
      <c r="C403" s="115" t="s">
        <v>5</v>
      </c>
      <c r="D403" s="115" t="s">
        <v>98</v>
      </c>
      <c r="E403" s="115" t="s">
        <v>555</v>
      </c>
      <c r="F403" s="116"/>
      <c r="G403" s="173">
        <f>G404+G407+G410+G414</f>
        <v>8886.5</v>
      </c>
      <c r="H403" s="173">
        <f>H404+H407+H410+H414</f>
        <v>9311.2</v>
      </c>
      <c r="I403" s="13" t="e">
        <f>SUM(H403/#REF!*100)</f>
        <v>#REF!</v>
      </c>
    </row>
    <row r="404" spans="1:9" s="40" customFormat="1" ht="42.75">
      <c r="A404" s="54" t="s">
        <v>445</v>
      </c>
      <c r="B404" s="114"/>
      <c r="C404" s="115" t="s">
        <v>5</v>
      </c>
      <c r="D404" s="115" t="s">
        <v>98</v>
      </c>
      <c r="E404" s="115" t="s">
        <v>558</v>
      </c>
      <c r="F404" s="116"/>
      <c r="G404" s="173">
        <f>SUM(G405:G406)</f>
        <v>7087.9</v>
      </c>
      <c r="H404" s="173">
        <f>SUM(H405:H406)</f>
        <v>7435.200000000001</v>
      </c>
      <c r="I404" s="17" t="e">
        <f>SUM(H404/G409*100)</f>
        <v>#DIV/0!</v>
      </c>
    </row>
    <row r="405" spans="1:9" s="40" customFormat="1" ht="15">
      <c r="A405" s="51" t="s">
        <v>463</v>
      </c>
      <c r="B405" s="114"/>
      <c r="C405" s="115" t="s">
        <v>5</v>
      </c>
      <c r="D405" s="115" t="s">
        <v>98</v>
      </c>
      <c r="E405" s="115" t="s">
        <v>558</v>
      </c>
      <c r="F405" s="116" t="s">
        <v>112</v>
      </c>
      <c r="G405" s="173">
        <v>257.5</v>
      </c>
      <c r="H405" s="173">
        <v>270.1</v>
      </c>
      <c r="I405" s="17"/>
    </row>
    <row r="406" spans="1:9" ht="15">
      <c r="A406" s="54" t="s">
        <v>471</v>
      </c>
      <c r="B406" s="114"/>
      <c r="C406" s="115" t="s">
        <v>5</v>
      </c>
      <c r="D406" s="115" t="s">
        <v>98</v>
      </c>
      <c r="E406" s="115" t="s">
        <v>558</v>
      </c>
      <c r="F406" s="116" t="s">
        <v>472</v>
      </c>
      <c r="G406" s="173">
        <v>6830.4</v>
      </c>
      <c r="H406" s="173">
        <v>7165.1</v>
      </c>
      <c r="I406" s="13">
        <f>SUM(H406/G410*100)</f>
        <v>398.370955187368</v>
      </c>
    </row>
    <row r="407" spans="1:9" ht="28.5">
      <c r="A407" s="54" t="s">
        <v>446</v>
      </c>
      <c r="B407" s="114"/>
      <c r="C407" s="115" t="s">
        <v>5</v>
      </c>
      <c r="D407" s="115" t="s">
        <v>98</v>
      </c>
      <c r="E407" s="115" t="s">
        <v>559</v>
      </c>
      <c r="F407" s="116"/>
      <c r="G407" s="173">
        <f>SUM(G408:G409)</f>
        <v>0</v>
      </c>
      <c r="H407" s="173">
        <f>SUM(H408:H409)</f>
        <v>0</v>
      </c>
      <c r="I407" s="13">
        <f>SUM(H407/G412*100)</f>
        <v>0</v>
      </c>
    </row>
    <row r="408" spans="1:9" ht="15">
      <c r="A408" s="51" t="s">
        <v>463</v>
      </c>
      <c r="B408" s="114"/>
      <c r="C408" s="115" t="s">
        <v>5</v>
      </c>
      <c r="D408" s="115" t="s">
        <v>98</v>
      </c>
      <c r="E408" s="115" t="s">
        <v>559</v>
      </c>
      <c r="F408" s="116" t="s">
        <v>112</v>
      </c>
      <c r="G408" s="173"/>
      <c r="H408" s="173"/>
      <c r="I408" s="13"/>
    </row>
    <row r="409" spans="1:9" ht="15">
      <c r="A409" s="54" t="s">
        <v>471</v>
      </c>
      <c r="B409" s="114"/>
      <c r="C409" s="115" t="s">
        <v>5</v>
      </c>
      <c r="D409" s="115" t="s">
        <v>98</v>
      </c>
      <c r="E409" s="115" t="s">
        <v>559</v>
      </c>
      <c r="F409" s="116" t="s">
        <v>472</v>
      </c>
      <c r="G409" s="173"/>
      <c r="H409" s="173"/>
      <c r="I409" s="13">
        <f>SUM(H409/G413*100)</f>
        <v>0</v>
      </c>
    </row>
    <row r="410" spans="1:9" ht="42.75">
      <c r="A410" s="63" t="s">
        <v>447</v>
      </c>
      <c r="B410" s="114"/>
      <c r="C410" s="115" t="s">
        <v>5</v>
      </c>
      <c r="D410" s="115" t="s">
        <v>98</v>
      </c>
      <c r="E410" s="115" t="s">
        <v>560</v>
      </c>
      <c r="F410" s="116"/>
      <c r="G410" s="173">
        <f>SUM(G411:G413)</f>
        <v>1798.6</v>
      </c>
      <c r="H410" s="173">
        <f>SUM(H411:H413)</f>
        <v>1876</v>
      </c>
      <c r="I410" s="13" t="e">
        <f>SUM(H410/G414*100)</f>
        <v>#DIV/0!</v>
      </c>
    </row>
    <row r="411" spans="1:9" ht="15">
      <c r="A411" s="51" t="s">
        <v>463</v>
      </c>
      <c r="B411" s="114"/>
      <c r="C411" s="115" t="s">
        <v>5</v>
      </c>
      <c r="D411" s="115" t="s">
        <v>98</v>
      </c>
      <c r="E411" s="115" t="s">
        <v>560</v>
      </c>
      <c r="F411" s="116" t="s">
        <v>112</v>
      </c>
      <c r="G411" s="173">
        <v>25.3</v>
      </c>
      <c r="H411" s="173">
        <v>26.7</v>
      </c>
      <c r="I411" s="13"/>
    </row>
    <row r="412" spans="1:9" ht="15">
      <c r="A412" s="54" t="s">
        <v>471</v>
      </c>
      <c r="B412" s="114"/>
      <c r="C412" s="115" t="s">
        <v>5</v>
      </c>
      <c r="D412" s="115" t="s">
        <v>98</v>
      </c>
      <c r="E412" s="115" t="s">
        <v>560</v>
      </c>
      <c r="F412" s="116" t="s">
        <v>472</v>
      </c>
      <c r="G412" s="173">
        <v>1485.7</v>
      </c>
      <c r="H412" s="173">
        <v>1561.7</v>
      </c>
      <c r="I412" s="13" t="e">
        <f>SUM(H412/G416*100)</f>
        <v>#DIV/0!</v>
      </c>
    </row>
    <row r="413" spans="1:9" ht="28.5">
      <c r="A413" s="54" t="s">
        <v>561</v>
      </c>
      <c r="B413" s="114"/>
      <c r="C413" s="115" t="s">
        <v>5</v>
      </c>
      <c r="D413" s="115" t="s">
        <v>98</v>
      </c>
      <c r="E413" s="115" t="s">
        <v>560</v>
      </c>
      <c r="F413" s="116" t="s">
        <v>477</v>
      </c>
      <c r="G413" s="173">
        <v>287.6</v>
      </c>
      <c r="H413" s="173">
        <v>287.6</v>
      </c>
      <c r="I413" s="13">
        <f>SUM(H413/G417*100)</f>
        <v>45.078369905956116</v>
      </c>
    </row>
    <row r="414" spans="1:9" ht="42.75">
      <c r="A414" s="54" t="s">
        <v>448</v>
      </c>
      <c r="B414" s="114"/>
      <c r="C414" s="115" t="s">
        <v>5</v>
      </c>
      <c r="D414" s="115" t="s">
        <v>98</v>
      </c>
      <c r="E414" s="115" t="s">
        <v>562</v>
      </c>
      <c r="F414" s="116"/>
      <c r="G414" s="173">
        <f>SUM(G415:G416)</f>
        <v>0</v>
      </c>
      <c r="H414" s="173">
        <f>SUM(H415:H416)</f>
        <v>0</v>
      </c>
      <c r="I414" s="13">
        <f>SUM(H414/G418*100)</f>
        <v>0</v>
      </c>
    </row>
    <row r="415" spans="1:9" ht="15">
      <c r="A415" s="51" t="s">
        <v>463</v>
      </c>
      <c r="B415" s="114"/>
      <c r="C415" s="115" t="s">
        <v>5</v>
      </c>
      <c r="D415" s="115" t="s">
        <v>98</v>
      </c>
      <c r="E415" s="115" t="s">
        <v>562</v>
      </c>
      <c r="F415" s="116" t="s">
        <v>112</v>
      </c>
      <c r="G415" s="173"/>
      <c r="H415" s="173"/>
      <c r="I415" s="13"/>
    </row>
    <row r="416" spans="1:9" ht="15">
      <c r="A416" s="54" t="s">
        <v>471</v>
      </c>
      <c r="B416" s="114"/>
      <c r="C416" s="115" t="s">
        <v>5</v>
      </c>
      <c r="D416" s="115" t="s">
        <v>98</v>
      </c>
      <c r="E416" s="115" t="s">
        <v>562</v>
      </c>
      <c r="F416" s="116" t="s">
        <v>472</v>
      </c>
      <c r="G416" s="173"/>
      <c r="H416" s="173"/>
      <c r="I416" s="13">
        <f>SUM(H416/G420*100)</f>
        <v>0</v>
      </c>
    </row>
    <row r="417" spans="1:9" ht="15">
      <c r="A417" s="54" t="s">
        <v>167</v>
      </c>
      <c r="B417" s="114"/>
      <c r="C417" s="115" t="s">
        <v>5</v>
      </c>
      <c r="D417" s="115" t="s">
        <v>98</v>
      </c>
      <c r="E417" s="115" t="s">
        <v>168</v>
      </c>
      <c r="F417" s="116"/>
      <c r="G417" s="173">
        <f>SUM(G418)</f>
        <v>638</v>
      </c>
      <c r="H417" s="173">
        <f>SUM(H418)</f>
        <v>638</v>
      </c>
      <c r="I417" s="13" t="e">
        <f>SUM(H417/G460*100)</f>
        <v>#DIV/0!</v>
      </c>
    </row>
    <row r="418" spans="1:9" ht="15">
      <c r="A418" s="54" t="s">
        <v>169</v>
      </c>
      <c r="B418" s="114"/>
      <c r="C418" s="115" t="s">
        <v>5</v>
      </c>
      <c r="D418" s="115" t="s">
        <v>98</v>
      </c>
      <c r="E418" s="115" t="s">
        <v>170</v>
      </c>
      <c r="F418" s="116"/>
      <c r="G418" s="173">
        <f>SUM(G419:G420)</f>
        <v>638</v>
      </c>
      <c r="H418" s="173">
        <f>SUM(H419:H420)</f>
        <v>638</v>
      </c>
      <c r="I418" s="13" t="e">
        <f>SUM(H418/G461*100)</f>
        <v>#DIV/0!</v>
      </c>
    </row>
    <row r="419" spans="1:9" ht="15">
      <c r="A419" s="51" t="s">
        <v>463</v>
      </c>
      <c r="B419" s="114"/>
      <c r="C419" s="115" t="s">
        <v>5</v>
      </c>
      <c r="D419" s="115" t="s">
        <v>98</v>
      </c>
      <c r="E419" s="115" t="s">
        <v>170</v>
      </c>
      <c r="F419" s="116" t="s">
        <v>112</v>
      </c>
      <c r="G419" s="173">
        <v>556</v>
      </c>
      <c r="H419" s="173">
        <v>556</v>
      </c>
      <c r="I419" s="13"/>
    </row>
    <row r="420" spans="1:9" ht="15">
      <c r="A420" s="54" t="s">
        <v>471</v>
      </c>
      <c r="B420" s="114"/>
      <c r="C420" s="115" t="s">
        <v>5</v>
      </c>
      <c r="D420" s="115" t="s">
        <v>98</v>
      </c>
      <c r="E420" s="115" t="s">
        <v>170</v>
      </c>
      <c r="F420" s="116" t="s">
        <v>472</v>
      </c>
      <c r="G420" s="173">
        <v>82</v>
      </c>
      <c r="H420" s="173">
        <v>82</v>
      </c>
      <c r="I420" s="13" t="e">
        <f>SUM(H420/G462*100)</f>
        <v>#DIV/0!</v>
      </c>
    </row>
    <row r="421" spans="1:9" ht="42.75">
      <c r="A421" s="193" t="s">
        <v>610</v>
      </c>
      <c r="B421" s="194"/>
      <c r="C421" s="202" t="s">
        <v>5</v>
      </c>
      <c r="D421" s="202" t="s">
        <v>98</v>
      </c>
      <c r="E421" s="195" t="s">
        <v>611</v>
      </c>
      <c r="F421" s="195"/>
      <c r="G421" s="199">
        <f>G422</f>
        <v>325182.70000000007</v>
      </c>
      <c r="H421" s="200">
        <f>H422</f>
        <v>332781.9</v>
      </c>
      <c r="I421" s="13"/>
    </row>
    <row r="422" spans="1:9" ht="99.75">
      <c r="A422" s="193" t="s">
        <v>612</v>
      </c>
      <c r="B422" s="194"/>
      <c r="C422" s="202" t="s">
        <v>5</v>
      </c>
      <c r="D422" s="202" t="s">
        <v>98</v>
      </c>
      <c r="E422" s="195" t="s">
        <v>613</v>
      </c>
      <c r="F422" s="195"/>
      <c r="G422" s="199">
        <f>G423+G426+G429+G432+G435+G438+G441</f>
        <v>325182.70000000007</v>
      </c>
      <c r="H422" s="200">
        <f>H423+H426+H429+H432+H435+H438+H441</f>
        <v>332781.9</v>
      </c>
      <c r="I422" s="13"/>
    </row>
    <row r="423" spans="1:9" ht="57">
      <c r="A423" s="201" t="s">
        <v>440</v>
      </c>
      <c r="B423" s="194"/>
      <c r="C423" s="202" t="s">
        <v>5</v>
      </c>
      <c r="D423" s="202" t="s">
        <v>98</v>
      </c>
      <c r="E423" s="195" t="s">
        <v>614</v>
      </c>
      <c r="F423" s="195"/>
      <c r="G423" s="199">
        <f>G424+G425</f>
        <v>51210.700000000004</v>
      </c>
      <c r="H423" s="200">
        <f>H424+H425</f>
        <v>51210.700000000004</v>
      </c>
      <c r="I423" s="13"/>
    </row>
    <row r="424" spans="1:9" ht="15">
      <c r="A424" s="196" t="s">
        <v>463</v>
      </c>
      <c r="B424" s="194"/>
      <c r="C424" s="202" t="s">
        <v>5</v>
      </c>
      <c r="D424" s="202" t="s">
        <v>98</v>
      </c>
      <c r="E424" s="195" t="s">
        <v>614</v>
      </c>
      <c r="F424" s="195" t="s">
        <v>112</v>
      </c>
      <c r="G424" s="199">
        <v>756.8</v>
      </c>
      <c r="H424" s="200">
        <v>756.8</v>
      </c>
      <c r="I424" s="13"/>
    </row>
    <row r="425" spans="1:9" ht="15">
      <c r="A425" s="193" t="s">
        <v>471</v>
      </c>
      <c r="B425" s="194"/>
      <c r="C425" s="202" t="s">
        <v>5</v>
      </c>
      <c r="D425" s="202" t="s">
        <v>98</v>
      </c>
      <c r="E425" s="195" t="s">
        <v>614</v>
      </c>
      <c r="F425" s="195" t="s">
        <v>472</v>
      </c>
      <c r="G425" s="199">
        <v>50453.9</v>
      </c>
      <c r="H425" s="200">
        <v>50453.9</v>
      </c>
      <c r="I425" s="13"/>
    </row>
    <row r="426" spans="1:9" ht="71.25">
      <c r="A426" s="201" t="s">
        <v>556</v>
      </c>
      <c r="B426" s="202"/>
      <c r="C426" s="202" t="s">
        <v>5</v>
      </c>
      <c r="D426" s="202" t="s">
        <v>98</v>
      </c>
      <c r="E426" s="195" t="s">
        <v>615</v>
      </c>
      <c r="F426" s="195"/>
      <c r="G426" s="199">
        <f>G427+G428</f>
        <v>146930.6</v>
      </c>
      <c r="H426" s="200">
        <f>H427+H428</f>
        <v>154130.2</v>
      </c>
      <c r="I426" s="13"/>
    </row>
    <row r="427" spans="1:9" ht="15">
      <c r="A427" s="196" t="s">
        <v>463</v>
      </c>
      <c r="B427" s="202"/>
      <c r="C427" s="202" t="s">
        <v>5</v>
      </c>
      <c r="D427" s="202" t="s">
        <v>98</v>
      </c>
      <c r="E427" s="195" t="s">
        <v>615</v>
      </c>
      <c r="F427" s="195" t="s">
        <v>112</v>
      </c>
      <c r="G427" s="199">
        <v>5338</v>
      </c>
      <c r="H427" s="200">
        <v>5599.6</v>
      </c>
      <c r="I427" s="13"/>
    </row>
    <row r="428" spans="1:9" ht="15">
      <c r="A428" s="193" t="s">
        <v>471</v>
      </c>
      <c r="B428" s="202"/>
      <c r="C428" s="202" t="s">
        <v>5</v>
      </c>
      <c r="D428" s="202" t="s">
        <v>98</v>
      </c>
      <c r="E428" s="195" t="s">
        <v>615</v>
      </c>
      <c r="F428" s="195" t="s">
        <v>472</v>
      </c>
      <c r="G428" s="199">
        <v>141592.6</v>
      </c>
      <c r="H428" s="200">
        <v>148530.6</v>
      </c>
      <c r="I428" s="13"/>
    </row>
    <row r="429" spans="1:9" ht="71.25">
      <c r="A429" s="203" t="s">
        <v>441</v>
      </c>
      <c r="B429" s="194"/>
      <c r="C429" s="202" t="s">
        <v>5</v>
      </c>
      <c r="D429" s="202" t="s">
        <v>98</v>
      </c>
      <c r="E429" s="195" t="s">
        <v>616</v>
      </c>
      <c r="F429" s="195"/>
      <c r="G429" s="199">
        <f>SUM(G430)+G431</f>
        <v>1521.7</v>
      </c>
      <c r="H429" s="200">
        <f>SUM(H430)+H431</f>
        <v>1521.7</v>
      </c>
      <c r="I429" s="13"/>
    </row>
    <row r="430" spans="1:9" ht="15">
      <c r="A430" s="196" t="s">
        <v>463</v>
      </c>
      <c r="B430" s="194"/>
      <c r="C430" s="202" t="s">
        <v>5</v>
      </c>
      <c r="D430" s="202" t="s">
        <v>98</v>
      </c>
      <c r="E430" s="195" t="s">
        <v>616</v>
      </c>
      <c r="F430" s="195" t="s">
        <v>112</v>
      </c>
      <c r="G430" s="199">
        <v>22.5</v>
      </c>
      <c r="H430" s="200">
        <v>22.5</v>
      </c>
      <c r="I430" s="13"/>
    </row>
    <row r="431" spans="1:9" ht="15">
      <c r="A431" s="193" t="s">
        <v>471</v>
      </c>
      <c r="B431" s="194"/>
      <c r="C431" s="202" t="s">
        <v>5</v>
      </c>
      <c r="D431" s="202" t="s">
        <v>98</v>
      </c>
      <c r="E431" s="195" t="s">
        <v>616</v>
      </c>
      <c r="F431" s="195" t="s">
        <v>472</v>
      </c>
      <c r="G431" s="199">
        <v>1499.2</v>
      </c>
      <c r="H431" s="200">
        <v>1499.2</v>
      </c>
      <c r="I431" s="13"/>
    </row>
    <row r="432" spans="1:9" ht="85.5">
      <c r="A432" s="203" t="s">
        <v>442</v>
      </c>
      <c r="B432" s="194"/>
      <c r="C432" s="202" t="s">
        <v>5</v>
      </c>
      <c r="D432" s="202" t="s">
        <v>98</v>
      </c>
      <c r="E432" s="195" t="s">
        <v>617</v>
      </c>
      <c r="F432" s="195"/>
      <c r="G432" s="199">
        <f>G433+G434</f>
        <v>7338.6</v>
      </c>
      <c r="H432" s="200">
        <f>H433+H434</f>
        <v>7698.2</v>
      </c>
      <c r="I432" s="13"/>
    </row>
    <row r="433" spans="1:9" ht="15">
      <c r="A433" s="196" t="s">
        <v>463</v>
      </c>
      <c r="B433" s="194"/>
      <c r="C433" s="202" t="s">
        <v>5</v>
      </c>
      <c r="D433" s="202" t="s">
        <v>98</v>
      </c>
      <c r="E433" s="195" t="s">
        <v>617</v>
      </c>
      <c r="F433" s="195" t="s">
        <v>112</v>
      </c>
      <c r="G433" s="199">
        <v>266.6</v>
      </c>
      <c r="H433" s="200">
        <v>279.7</v>
      </c>
      <c r="I433" s="13"/>
    </row>
    <row r="434" spans="1:9" ht="15">
      <c r="A434" s="193" t="s">
        <v>471</v>
      </c>
      <c r="B434" s="194"/>
      <c r="C434" s="202" t="s">
        <v>5</v>
      </c>
      <c r="D434" s="202" t="s">
        <v>98</v>
      </c>
      <c r="E434" s="195" t="s">
        <v>617</v>
      </c>
      <c r="F434" s="195" t="s">
        <v>472</v>
      </c>
      <c r="G434" s="199">
        <v>7072</v>
      </c>
      <c r="H434" s="200">
        <v>7418.5</v>
      </c>
      <c r="I434" s="13"/>
    </row>
    <row r="435" spans="1:9" ht="42.75">
      <c r="A435" s="193" t="s">
        <v>443</v>
      </c>
      <c r="B435" s="194"/>
      <c r="C435" s="202" t="s">
        <v>5</v>
      </c>
      <c r="D435" s="202" t="s">
        <v>98</v>
      </c>
      <c r="E435" s="195" t="s">
        <v>618</v>
      </c>
      <c r="F435" s="195"/>
      <c r="G435" s="199">
        <f>SUM(G437)+G436</f>
        <v>117203.1</v>
      </c>
      <c r="H435" s="200">
        <f>SUM(H437)+H436</f>
        <v>117203.1</v>
      </c>
      <c r="I435" s="13"/>
    </row>
    <row r="436" spans="1:9" ht="15">
      <c r="A436" s="196" t="s">
        <v>463</v>
      </c>
      <c r="B436" s="194"/>
      <c r="C436" s="202" t="s">
        <v>5</v>
      </c>
      <c r="D436" s="202" t="s">
        <v>98</v>
      </c>
      <c r="E436" s="195" t="s">
        <v>618</v>
      </c>
      <c r="F436" s="195" t="s">
        <v>112</v>
      </c>
      <c r="G436" s="199">
        <v>1732.1</v>
      </c>
      <c r="H436" s="200">
        <v>1732.1</v>
      </c>
      <c r="I436" s="13"/>
    </row>
    <row r="437" spans="1:9" ht="15">
      <c r="A437" s="193" t="s">
        <v>471</v>
      </c>
      <c r="B437" s="194"/>
      <c r="C437" s="202" t="s">
        <v>5</v>
      </c>
      <c r="D437" s="202" t="s">
        <v>98</v>
      </c>
      <c r="E437" s="195" t="s">
        <v>618</v>
      </c>
      <c r="F437" s="195" t="s">
        <v>472</v>
      </c>
      <c r="G437" s="199">
        <v>115471</v>
      </c>
      <c r="H437" s="200">
        <v>115471</v>
      </c>
      <c r="I437" s="13"/>
    </row>
    <row r="438" spans="1:9" ht="71.25">
      <c r="A438" s="193" t="s">
        <v>444</v>
      </c>
      <c r="B438" s="202"/>
      <c r="C438" s="202" t="s">
        <v>5</v>
      </c>
      <c r="D438" s="202" t="s">
        <v>98</v>
      </c>
      <c r="E438" s="195" t="s">
        <v>619</v>
      </c>
      <c r="F438" s="195"/>
      <c r="G438" s="199">
        <f>G440+G439</f>
        <v>816.8000000000001</v>
      </c>
      <c r="H438" s="200">
        <f>H440+H439</f>
        <v>856.8000000000001</v>
      </c>
      <c r="I438" s="13"/>
    </row>
    <row r="439" spans="1:9" ht="15">
      <c r="A439" s="196" t="s">
        <v>463</v>
      </c>
      <c r="B439" s="202"/>
      <c r="C439" s="202" t="s">
        <v>5</v>
      </c>
      <c r="D439" s="202" t="s">
        <v>98</v>
      </c>
      <c r="E439" s="195" t="s">
        <v>619</v>
      </c>
      <c r="F439" s="195" t="s">
        <v>112</v>
      </c>
      <c r="G439" s="199">
        <v>29.7</v>
      </c>
      <c r="H439" s="200">
        <v>31.1</v>
      </c>
      <c r="I439" s="13"/>
    </row>
    <row r="440" spans="1:9" ht="15">
      <c r="A440" s="193" t="s">
        <v>471</v>
      </c>
      <c r="B440" s="202"/>
      <c r="C440" s="202" t="s">
        <v>5</v>
      </c>
      <c r="D440" s="202" t="s">
        <v>98</v>
      </c>
      <c r="E440" s="195" t="s">
        <v>619</v>
      </c>
      <c r="F440" s="195" t="s">
        <v>472</v>
      </c>
      <c r="G440" s="199">
        <v>787.1</v>
      </c>
      <c r="H440" s="200">
        <v>825.7</v>
      </c>
      <c r="I440" s="13"/>
    </row>
    <row r="441" spans="1:9" ht="71.25">
      <c r="A441" s="193" t="s">
        <v>557</v>
      </c>
      <c r="B441" s="202"/>
      <c r="C441" s="202" t="s">
        <v>5</v>
      </c>
      <c r="D441" s="202" t="s">
        <v>98</v>
      </c>
      <c r="E441" s="195" t="s">
        <v>620</v>
      </c>
      <c r="F441" s="195"/>
      <c r="G441" s="199">
        <f>SUM(G443)+G442</f>
        <v>161.20000000000002</v>
      </c>
      <c r="H441" s="200">
        <f>SUM(H443)+H442</f>
        <v>161.20000000000002</v>
      </c>
      <c r="I441" s="13"/>
    </row>
    <row r="442" spans="1:9" ht="15">
      <c r="A442" s="196" t="s">
        <v>463</v>
      </c>
      <c r="B442" s="202"/>
      <c r="C442" s="202" t="s">
        <v>5</v>
      </c>
      <c r="D442" s="202" t="s">
        <v>98</v>
      </c>
      <c r="E442" s="195" t="s">
        <v>620</v>
      </c>
      <c r="F442" s="195" t="s">
        <v>112</v>
      </c>
      <c r="G442" s="199">
        <v>2.4</v>
      </c>
      <c r="H442" s="200">
        <v>2.4</v>
      </c>
      <c r="I442" s="13"/>
    </row>
    <row r="443" spans="1:9" ht="15">
      <c r="A443" s="193" t="s">
        <v>471</v>
      </c>
      <c r="B443" s="202"/>
      <c r="C443" s="202" t="s">
        <v>5</v>
      </c>
      <c r="D443" s="202" t="s">
        <v>98</v>
      </c>
      <c r="E443" s="195" t="s">
        <v>620</v>
      </c>
      <c r="F443" s="195" t="s">
        <v>472</v>
      </c>
      <c r="G443" s="199">
        <v>158.8</v>
      </c>
      <c r="H443" s="200">
        <v>158.8</v>
      </c>
      <c r="I443" s="13"/>
    </row>
    <row r="444" spans="1:9" ht="28.5">
      <c r="A444" s="193" t="s">
        <v>621</v>
      </c>
      <c r="B444" s="194"/>
      <c r="C444" s="202" t="s">
        <v>5</v>
      </c>
      <c r="D444" s="202" t="s">
        <v>98</v>
      </c>
      <c r="E444" s="195" t="s">
        <v>602</v>
      </c>
      <c r="F444" s="195"/>
      <c r="G444" s="199">
        <f>G445+G458</f>
        <v>141602</v>
      </c>
      <c r="H444" s="200">
        <f>H445+H458</f>
        <v>146365</v>
      </c>
      <c r="I444" s="13"/>
    </row>
    <row r="445" spans="1:9" ht="85.5">
      <c r="A445" s="193" t="s">
        <v>622</v>
      </c>
      <c r="B445" s="194"/>
      <c r="C445" s="202" t="s">
        <v>5</v>
      </c>
      <c r="D445" s="202" t="s">
        <v>98</v>
      </c>
      <c r="E445" s="195" t="s">
        <v>623</v>
      </c>
      <c r="F445" s="195"/>
      <c r="G445" s="199">
        <f>G446+G449+G452+G455</f>
        <v>54988.3</v>
      </c>
      <c r="H445" s="200">
        <f>H446+H449+H452+H455</f>
        <v>56610.99999999999</v>
      </c>
      <c r="I445" s="13"/>
    </row>
    <row r="446" spans="1:9" ht="42.75">
      <c r="A446" s="193" t="s">
        <v>438</v>
      </c>
      <c r="B446" s="194"/>
      <c r="C446" s="202" t="s">
        <v>5</v>
      </c>
      <c r="D446" s="202" t="s">
        <v>98</v>
      </c>
      <c r="E446" s="195" t="s">
        <v>624</v>
      </c>
      <c r="F446" s="195"/>
      <c r="G446" s="199">
        <f>G447+G448</f>
        <v>1000.1999999999999</v>
      </c>
      <c r="H446" s="200">
        <f>H447+H448</f>
        <v>1000.1999999999999</v>
      </c>
      <c r="I446" s="13"/>
    </row>
    <row r="447" spans="1:9" ht="15">
      <c r="A447" s="196" t="s">
        <v>463</v>
      </c>
      <c r="B447" s="194"/>
      <c r="C447" s="202" t="s">
        <v>5</v>
      </c>
      <c r="D447" s="202" t="s">
        <v>98</v>
      </c>
      <c r="E447" s="195" t="s">
        <v>624</v>
      </c>
      <c r="F447" s="195" t="s">
        <v>112</v>
      </c>
      <c r="G447" s="199">
        <v>14.8</v>
      </c>
      <c r="H447" s="200">
        <v>14.8</v>
      </c>
      <c r="I447" s="13"/>
    </row>
    <row r="448" spans="1:9" ht="15">
      <c r="A448" s="193" t="s">
        <v>471</v>
      </c>
      <c r="B448" s="194"/>
      <c r="C448" s="202" t="s">
        <v>5</v>
      </c>
      <c r="D448" s="202" t="s">
        <v>98</v>
      </c>
      <c r="E448" s="195" t="s">
        <v>624</v>
      </c>
      <c r="F448" s="195" t="s">
        <v>472</v>
      </c>
      <c r="G448" s="199">
        <v>985.4</v>
      </c>
      <c r="H448" s="200">
        <v>985.4</v>
      </c>
      <c r="I448" s="13"/>
    </row>
    <row r="449" spans="1:9" ht="28.5">
      <c r="A449" s="203" t="s">
        <v>439</v>
      </c>
      <c r="B449" s="194"/>
      <c r="C449" s="202" t="s">
        <v>5</v>
      </c>
      <c r="D449" s="202" t="s">
        <v>98</v>
      </c>
      <c r="E449" s="195" t="s">
        <v>625</v>
      </c>
      <c r="F449" s="195"/>
      <c r="G449" s="199">
        <f>SUM(G450)+G451</f>
        <v>43697.600000000006</v>
      </c>
      <c r="H449" s="200">
        <f>SUM(H450)+H451</f>
        <v>45454.6</v>
      </c>
      <c r="I449" s="13"/>
    </row>
    <row r="450" spans="1:9" ht="15">
      <c r="A450" s="196" t="s">
        <v>463</v>
      </c>
      <c r="B450" s="194"/>
      <c r="C450" s="202" t="s">
        <v>5</v>
      </c>
      <c r="D450" s="202" t="s">
        <v>98</v>
      </c>
      <c r="E450" s="195" t="s">
        <v>625</v>
      </c>
      <c r="F450" s="195" t="s">
        <v>112</v>
      </c>
      <c r="G450" s="199">
        <v>645.8</v>
      </c>
      <c r="H450" s="200">
        <v>671.7</v>
      </c>
      <c r="I450" s="13"/>
    </row>
    <row r="451" spans="1:9" ht="15">
      <c r="A451" s="193" t="s">
        <v>471</v>
      </c>
      <c r="B451" s="194"/>
      <c r="C451" s="202" t="s">
        <v>5</v>
      </c>
      <c r="D451" s="202" t="s">
        <v>98</v>
      </c>
      <c r="E451" s="195" t="s">
        <v>625</v>
      </c>
      <c r="F451" s="195" t="s">
        <v>472</v>
      </c>
      <c r="G451" s="199">
        <v>43051.8</v>
      </c>
      <c r="H451" s="200">
        <v>44782.9</v>
      </c>
      <c r="I451" s="13"/>
    </row>
    <row r="452" spans="1:9" ht="28.5">
      <c r="A452" s="193" t="s">
        <v>446</v>
      </c>
      <c r="B452" s="194"/>
      <c r="C452" s="202" t="s">
        <v>5</v>
      </c>
      <c r="D452" s="202" t="s">
        <v>98</v>
      </c>
      <c r="E452" s="195" t="s">
        <v>626</v>
      </c>
      <c r="F452" s="195"/>
      <c r="G452" s="199">
        <f>SUM(G454)+G453</f>
        <v>5357.2</v>
      </c>
      <c r="H452" s="200">
        <f>SUM(H454)+H453</f>
        <v>5357.2</v>
      </c>
      <c r="I452" s="13"/>
    </row>
    <row r="453" spans="1:9" ht="15">
      <c r="A453" s="196" t="s">
        <v>463</v>
      </c>
      <c r="B453" s="194"/>
      <c r="C453" s="202" t="s">
        <v>5</v>
      </c>
      <c r="D453" s="202" t="s">
        <v>98</v>
      </c>
      <c r="E453" s="195" t="s">
        <v>626</v>
      </c>
      <c r="F453" s="195" t="s">
        <v>112</v>
      </c>
      <c r="G453" s="199">
        <v>79.2</v>
      </c>
      <c r="H453" s="200">
        <v>79.2</v>
      </c>
      <c r="I453" s="13"/>
    </row>
    <row r="454" spans="1:9" ht="15">
      <c r="A454" s="193" t="s">
        <v>471</v>
      </c>
      <c r="B454" s="194"/>
      <c r="C454" s="202" t="s">
        <v>5</v>
      </c>
      <c r="D454" s="202" t="s">
        <v>98</v>
      </c>
      <c r="E454" s="195" t="s">
        <v>626</v>
      </c>
      <c r="F454" s="195" t="s">
        <v>472</v>
      </c>
      <c r="G454" s="199">
        <v>5278</v>
      </c>
      <c r="H454" s="200">
        <v>5278</v>
      </c>
      <c r="I454" s="13"/>
    </row>
    <row r="455" spans="1:9" ht="42.75">
      <c r="A455" s="193" t="s">
        <v>448</v>
      </c>
      <c r="B455" s="194"/>
      <c r="C455" s="202" t="s">
        <v>5</v>
      </c>
      <c r="D455" s="202" t="s">
        <v>98</v>
      </c>
      <c r="E455" s="195" t="s">
        <v>627</v>
      </c>
      <c r="F455" s="195"/>
      <c r="G455" s="199">
        <f>SUM(G457)+G456</f>
        <v>4933.299999999999</v>
      </c>
      <c r="H455" s="200">
        <f>SUM(H457)+H456</f>
        <v>4799</v>
      </c>
      <c r="I455" s="13"/>
    </row>
    <row r="456" spans="1:9" ht="15">
      <c r="A456" s="196" t="s">
        <v>463</v>
      </c>
      <c r="B456" s="194"/>
      <c r="C456" s="202" t="s">
        <v>5</v>
      </c>
      <c r="D456" s="202" t="s">
        <v>98</v>
      </c>
      <c r="E456" s="195" t="s">
        <v>627</v>
      </c>
      <c r="F456" s="195" t="s">
        <v>112</v>
      </c>
      <c r="G456" s="199">
        <v>72.9</v>
      </c>
      <c r="H456" s="200">
        <v>70.9</v>
      </c>
      <c r="I456" s="13"/>
    </row>
    <row r="457" spans="1:9" ht="15">
      <c r="A457" s="193" t="s">
        <v>471</v>
      </c>
      <c r="B457" s="194"/>
      <c r="C457" s="202" t="s">
        <v>5</v>
      </c>
      <c r="D457" s="202" t="s">
        <v>98</v>
      </c>
      <c r="E457" s="195" t="s">
        <v>627</v>
      </c>
      <c r="F457" s="195" t="s">
        <v>472</v>
      </c>
      <c r="G457" s="199">
        <v>4860.4</v>
      </c>
      <c r="H457" s="200">
        <v>4728.1</v>
      </c>
      <c r="I457" s="13"/>
    </row>
    <row r="458" spans="1:9" ht="99.75">
      <c r="A458" s="204" t="s">
        <v>628</v>
      </c>
      <c r="B458" s="194"/>
      <c r="C458" s="202" t="s">
        <v>5</v>
      </c>
      <c r="D458" s="202" t="s">
        <v>98</v>
      </c>
      <c r="E458" s="195" t="s">
        <v>629</v>
      </c>
      <c r="F458" s="195"/>
      <c r="G458" s="199">
        <f>G459</f>
        <v>86613.7</v>
      </c>
      <c r="H458" s="200">
        <f>H459</f>
        <v>89754</v>
      </c>
      <c r="I458" s="13"/>
    </row>
    <row r="459" spans="1:9" ht="15">
      <c r="A459" s="193" t="s">
        <v>471</v>
      </c>
      <c r="B459" s="194"/>
      <c r="C459" s="202" t="s">
        <v>5</v>
      </c>
      <c r="D459" s="202" t="s">
        <v>98</v>
      </c>
      <c r="E459" s="195" t="s">
        <v>629</v>
      </c>
      <c r="F459" s="195" t="s">
        <v>472</v>
      </c>
      <c r="G459" s="199">
        <v>86613.7</v>
      </c>
      <c r="H459" s="200">
        <v>89754</v>
      </c>
      <c r="I459" s="13"/>
    </row>
    <row r="460" spans="1:9" ht="15">
      <c r="A460" s="54" t="s">
        <v>563</v>
      </c>
      <c r="B460" s="114"/>
      <c r="C460" s="115" t="s">
        <v>5</v>
      </c>
      <c r="D460" s="115" t="s">
        <v>98</v>
      </c>
      <c r="E460" s="115" t="s">
        <v>122</v>
      </c>
      <c r="F460" s="116"/>
      <c r="G460" s="173">
        <f>G461</f>
        <v>0</v>
      </c>
      <c r="H460" s="173">
        <f>H461</f>
        <v>0</v>
      </c>
      <c r="I460" s="13">
        <f>SUM(H460/G463*100)</f>
        <v>0</v>
      </c>
    </row>
    <row r="461" spans="1:9" ht="42.75">
      <c r="A461" s="54" t="s">
        <v>564</v>
      </c>
      <c r="B461" s="114"/>
      <c r="C461" s="115" t="s">
        <v>5</v>
      </c>
      <c r="D461" s="115" t="s">
        <v>98</v>
      </c>
      <c r="E461" s="115" t="s">
        <v>565</v>
      </c>
      <c r="F461" s="116"/>
      <c r="G461" s="173">
        <f>G462</f>
        <v>0</v>
      </c>
      <c r="H461" s="173">
        <f>H462</f>
        <v>0</v>
      </c>
      <c r="I461" s="13">
        <f>SUM(H461/G464*100)</f>
        <v>0</v>
      </c>
    </row>
    <row r="462" spans="1:9" ht="15">
      <c r="A462" s="54" t="s">
        <v>471</v>
      </c>
      <c r="B462" s="114"/>
      <c r="C462" s="115" t="s">
        <v>5</v>
      </c>
      <c r="D462" s="115" t="s">
        <v>98</v>
      </c>
      <c r="E462" s="115" t="s">
        <v>565</v>
      </c>
      <c r="F462" s="116" t="s">
        <v>472</v>
      </c>
      <c r="G462" s="173"/>
      <c r="H462" s="173"/>
      <c r="I462" s="13">
        <f>SUM(H462/G465*100)</f>
        <v>0</v>
      </c>
    </row>
    <row r="463" spans="1:9" s="40" customFormat="1" ht="15">
      <c r="A463" s="63" t="s">
        <v>152</v>
      </c>
      <c r="B463" s="114"/>
      <c r="C463" s="115" t="s">
        <v>5</v>
      </c>
      <c r="D463" s="115" t="s">
        <v>114</v>
      </c>
      <c r="E463" s="115"/>
      <c r="F463" s="116"/>
      <c r="G463" s="173">
        <f>SUM(G464)</f>
        <v>31075.7</v>
      </c>
      <c r="H463" s="173">
        <f>SUM(H464)</f>
        <v>31186</v>
      </c>
      <c r="I463" s="17">
        <f>SUM(H463/G466*100)</f>
        <v>536.9305464687855</v>
      </c>
    </row>
    <row r="464" spans="1:9" ht="28.5">
      <c r="A464" s="193" t="s">
        <v>601</v>
      </c>
      <c r="B464" s="194"/>
      <c r="C464" s="331" t="s">
        <v>5</v>
      </c>
      <c r="D464" s="331" t="s">
        <v>114</v>
      </c>
      <c r="E464" s="205" t="s">
        <v>602</v>
      </c>
      <c r="F464" s="205"/>
      <c r="G464" s="206">
        <f>G465</f>
        <v>31075.7</v>
      </c>
      <c r="H464" s="207">
        <f>H465</f>
        <v>31186</v>
      </c>
      <c r="I464" s="13">
        <f>SUM(H464/G468*100)</f>
        <v>545.0192240475358</v>
      </c>
    </row>
    <row r="465" spans="1:9" ht="85.5">
      <c r="A465" s="193" t="s">
        <v>622</v>
      </c>
      <c r="B465" s="194"/>
      <c r="C465" s="331" t="s">
        <v>5</v>
      </c>
      <c r="D465" s="331" t="s">
        <v>114</v>
      </c>
      <c r="E465" s="205" t="s">
        <v>623</v>
      </c>
      <c r="F465" s="205"/>
      <c r="G465" s="206">
        <f>G466+G469+G472</f>
        <v>31075.7</v>
      </c>
      <c r="H465" s="207">
        <f>H466+H469+H472</f>
        <v>31186</v>
      </c>
      <c r="I465" s="13">
        <f>SUM(H465/G469*100)</f>
        <v>648.5868186261256</v>
      </c>
    </row>
    <row r="466" spans="1:9" ht="15">
      <c r="A466" s="193" t="s">
        <v>153</v>
      </c>
      <c r="B466" s="194"/>
      <c r="C466" s="331" t="s">
        <v>5</v>
      </c>
      <c r="D466" s="331" t="s">
        <v>114</v>
      </c>
      <c r="E466" s="205" t="s">
        <v>630</v>
      </c>
      <c r="F466" s="205"/>
      <c r="G466" s="197">
        <f>G467+G468</f>
        <v>5808.2</v>
      </c>
      <c r="H466" s="198">
        <f>H467+H468</f>
        <v>5828.9</v>
      </c>
      <c r="I466" s="13">
        <f>SUM(H466/G470*100)</f>
        <v>11611.354581673306</v>
      </c>
    </row>
    <row r="467" spans="1:9" ht="15">
      <c r="A467" s="196" t="s">
        <v>463</v>
      </c>
      <c r="B467" s="194"/>
      <c r="C467" s="331" t="s">
        <v>5</v>
      </c>
      <c r="D467" s="331" t="s">
        <v>114</v>
      </c>
      <c r="E467" s="205" t="s">
        <v>630</v>
      </c>
      <c r="F467" s="205" t="s">
        <v>112</v>
      </c>
      <c r="G467" s="197">
        <v>86.2</v>
      </c>
      <c r="H467" s="198">
        <v>86.5</v>
      </c>
      <c r="I467" s="13"/>
    </row>
    <row r="468" spans="1:9" ht="15">
      <c r="A468" s="193" t="s">
        <v>471</v>
      </c>
      <c r="B468" s="194"/>
      <c r="C468" s="331" t="s">
        <v>5</v>
      </c>
      <c r="D468" s="331" t="s">
        <v>114</v>
      </c>
      <c r="E468" s="205" t="s">
        <v>630</v>
      </c>
      <c r="F468" s="205" t="s">
        <v>472</v>
      </c>
      <c r="G468" s="197">
        <v>5722</v>
      </c>
      <c r="H468" s="198">
        <v>5742.4</v>
      </c>
      <c r="I468" s="13">
        <f>SUM(H468/G471*100)</f>
        <v>120.68682877619217</v>
      </c>
    </row>
    <row r="469" spans="1:9" ht="15">
      <c r="A469" s="193" t="s">
        <v>449</v>
      </c>
      <c r="B469" s="194"/>
      <c r="C469" s="331" t="s">
        <v>5</v>
      </c>
      <c r="D469" s="331" t="s">
        <v>114</v>
      </c>
      <c r="E469" s="205" t="s">
        <v>631</v>
      </c>
      <c r="F469" s="205"/>
      <c r="G469" s="197">
        <f>G470+G471</f>
        <v>4808.3</v>
      </c>
      <c r="H469" s="198">
        <f>H470+H471</f>
        <v>4825.299999999999</v>
      </c>
      <c r="I469" s="13">
        <f>SUM(H469/G473*100)</f>
        <v>1519.779527559055</v>
      </c>
    </row>
    <row r="470" spans="1:9" ht="15">
      <c r="A470" s="196" t="s">
        <v>463</v>
      </c>
      <c r="B470" s="194"/>
      <c r="C470" s="331" t="s">
        <v>5</v>
      </c>
      <c r="D470" s="331" t="s">
        <v>114</v>
      </c>
      <c r="E470" s="205" t="s">
        <v>631</v>
      </c>
      <c r="F470" s="205" t="s">
        <v>112</v>
      </c>
      <c r="G470" s="197">
        <v>50.2</v>
      </c>
      <c r="H470" s="198">
        <v>50.4</v>
      </c>
      <c r="I470" s="13">
        <f>SUM(H470/G475*100)</f>
        <v>0.17258500838954902</v>
      </c>
    </row>
    <row r="471" spans="1:9" ht="15">
      <c r="A471" s="193" t="s">
        <v>471</v>
      </c>
      <c r="B471" s="194"/>
      <c r="C471" s="331" t="s">
        <v>5</v>
      </c>
      <c r="D471" s="331" t="s">
        <v>114</v>
      </c>
      <c r="E471" s="205" t="s">
        <v>631</v>
      </c>
      <c r="F471" s="205" t="s">
        <v>472</v>
      </c>
      <c r="G471" s="206">
        <v>4758.1</v>
      </c>
      <c r="H471" s="207">
        <v>4774.9</v>
      </c>
      <c r="I471" s="13">
        <f>SUM(H471/G476*100)</f>
        <v>22.758101338823987</v>
      </c>
    </row>
    <row r="472" spans="1:9" ht="15">
      <c r="A472" s="193" t="s">
        <v>450</v>
      </c>
      <c r="B472" s="194"/>
      <c r="C472" s="331" t="s">
        <v>5</v>
      </c>
      <c r="D472" s="331" t="s">
        <v>114</v>
      </c>
      <c r="E472" s="205" t="s">
        <v>632</v>
      </c>
      <c r="F472" s="205"/>
      <c r="G472" s="197">
        <f>SUM(G474)+G473</f>
        <v>20459.2</v>
      </c>
      <c r="H472" s="198">
        <f>SUM(H474)+H473</f>
        <v>20531.8</v>
      </c>
      <c r="I472" s="13"/>
    </row>
    <row r="473" spans="1:9" ht="15">
      <c r="A473" s="196" t="s">
        <v>463</v>
      </c>
      <c r="B473" s="194"/>
      <c r="C473" s="331" t="s">
        <v>5</v>
      </c>
      <c r="D473" s="331" t="s">
        <v>114</v>
      </c>
      <c r="E473" s="205" t="s">
        <v>632</v>
      </c>
      <c r="F473" s="205" t="s">
        <v>112</v>
      </c>
      <c r="G473" s="197">
        <v>317.5</v>
      </c>
      <c r="H473" s="198">
        <v>318.6</v>
      </c>
      <c r="I473" s="13">
        <f>SUM(H473/G477*100)</f>
        <v>14.648275862068965</v>
      </c>
    </row>
    <row r="474" spans="1:9" ht="15">
      <c r="A474" s="193" t="s">
        <v>471</v>
      </c>
      <c r="B474" s="194"/>
      <c r="C474" s="331" t="s">
        <v>5</v>
      </c>
      <c r="D474" s="331" t="s">
        <v>114</v>
      </c>
      <c r="E474" s="205" t="s">
        <v>632</v>
      </c>
      <c r="F474" s="205" t="s">
        <v>472</v>
      </c>
      <c r="G474" s="197">
        <v>20141.7</v>
      </c>
      <c r="H474" s="198">
        <v>20213.2</v>
      </c>
      <c r="I474" s="13"/>
    </row>
    <row r="475" spans="1:9" ht="15">
      <c r="A475" s="54" t="s">
        <v>154</v>
      </c>
      <c r="B475" s="114"/>
      <c r="C475" s="115" t="s">
        <v>5</v>
      </c>
      <c r="D475" s="115" t="s">
        <v>360</v>
      </c>
      <c r="E475" s="115"/>
      <c r="F475" s="116"/>
      <c r="G475" s="173">
        <f>G476+G485+G493+G498</f>
        <v>29202.999999999996</v>
      </c>
      <c r="H475" s="173">
        <f>H476+H485+H493</f>
        <v>29127.999999999996</v>
      </c>
      <c r="I475" s="13">
        <f aca="true" t="shared" si="22" ref="I475:I481">SUM(H475/G478*100)</f>
        <v>1346.6481738326397</v>
      </c>
    </row>
    <row r="476" spans="1:9" ht="42.75">
      <c r="A476" s="54" t="s">
        <v>91</v>
      </c>
      <c r="B476" s="114"/>
      <c r="C476" s="115" t="s">
        <v>5</v>
      </c>
      <c r="D476" s="115" t="s">
        <v>360</v>
      </c>
      <c r="E476" s="115" t="s">
        <v>92</v>
      </c>
      <c r="F476" s="116"/>
      <c r="G476" s="173">
        <f>G477+G480+G483</f>
        <v>20981.1</v>
      </c>
      <c r="H476" s="173">
        <f>H477+H480+H483</f>
        <v>20981.1</v>
      </c>
      <c r="I476" s="13">
        <f t="shared" si="22"/>
        <v>174842.5</v>
      </c>
    </row>
    <row r="477" spans="1:9" ht="15">
      <c r="A477" s="54" t="s">
        <v>99</v>
      </c>
      <c r="B477" s="114"/>
      <c r="C477" s="115" t="s">
        <v>5</v>
      </c>
      <c r="D477" s="115" t="s">
        <v>360</v>
      </c>
      <c r="E477" s="115" t="s">
        <v>101</v>
      </c>
      <c r="F477" s="116"/>
      <c r="G477" s="173">
        <f>G478+G479</f>
        <v>2175</v>
      </c>
      <c r="H477" s="173">
        <f>H478+H479</f>
        <v>2175</v>
      </c>
      <c r="I477" s="13">
        <f t="shared" si="22"/>
        <v>51.37957101011056</v>
      </c>
    </row>
    <row r="478" spans="1:9" ht="42.75">
      <c r="A478" s="54" t="s">
        <v>566</v>
      </c>
      <c r="B478" s="114"/>
      <c r="C478" s="115" t="s">
        <v>5</v>
      </c>
      <c r="D478" s="115" t="s">
        <v>360</v>
      </c>
      <c r="E478" s="115" t="s">
        <v>101</v>
      </c>
      <c r="F478" s="116" t="s">
        <v>462</v>
      </c>
      <c r="G478" s="173">
        <v>2163</v>
      </c>
      <c r="H478" s="173">
        <v>2163</v>
      </c>
      <c r="I478" s="13">
        <f t="shared" si="22"/>
        <v>60.04330446369087</v>
      </c>
    </row>
    <row r="479" spans="1:9" ht="15">
      <c r="A479" s="54" t="s">
        <v>463</v>
      </c>
      <c r="B479" s="114"/>
      <c r="C479" s="115" t="s">
        <v>5</v>
      </c>
      <c r="D479" s="115" t="s">
        <v>360</v>
      </c>
      <c r="E479" s="115" t="s">
        <v>101</v>
      </c>
      <c r="F479" s="116" t="s">
        <v>112</v>
      </c>
      <c r="G479" s="173">
        <v>12</v>
      </c>
      <c r="H479" s="173">
        <v>12</v>
      </c>
      <c r="I479" s="13">
        <f t="shared" si="22"/>
        <v>1.9023462270133167</v>
      </c>
    </row>
    <row r="480" spans="1:9" ht="42.75">
      <c r="A480" s="54" t="s">
        <v>567</v>
      </c>
      <c r="B480" s="114"/>
      <c r="C480" s="115" t="s">
        <v>5</v>
      </c>
      <c r="D480" s="115" t="s">
        <v>360</v>
      </c>
      <c r="E480" s="115" t="s">
        <v>157</v>
      </c>
      <c r="F480" s="116"/>
      <c r="G480" s="173">
        <f>G481+G482</f>
        <v>4233.2</v>
      </c>
      <c r="H480" s="173">
        <f>H481+H482</f>
        <v>4233.2</v>
      </c>
      <c r="I480" s="13">
        <f t="shared" si="22"/>
        <v>29.048439226234997</v>
      </c>
    </row>
    <row r="481" spans="1:9" ht="42.75">
      <c r="A481" s="54" t="s">
        <v>566</v>
      </c>
      <c r="B481" s="114"/>
      <c r="C481" s="115" t="s">
        <v>5</v>
      </c>
      <c r="D481" s="115" t="s">
        <v>360</v>
      </c>
      <c r="E481" s="115" t="s">
        <v>157</v>
      </c>
      <c r="F481" s="116" t="s">
        <v>462</v>
      </c>
      <c r="G481" s="173">
        <v>3602.4</v>
      </c>
      <c r="H481" s="173">
        <v>3602.4</v>
      </c>
      <c r="I481" s="13">
        <f t="shared" si="22"/>
        <v>24.719856720350787</v>
      </c>
    </row>
    <row r="482" spans="1:9" ht="15">
      <c r="A482" s="54" t="s">
        <v>463</v>
      </c>
      <c r="B482" s="133"/>
      <c r="C482" s="115" t="s">
        <v>5</v>
      </c>
      <c r="D482" s="115" t="s">
        <v>360</v>
      </c>
      <c r="E482" s="115" t="s">
        <v>157</v>
      </c>
      <c r="F482" s="116" t="s">
        <v>112</v>
      </c>
      <c r="G482" s="173">
        <v>630.8</v>
      </c>
      <c r="H482" s="173">
        <v>630.8</v>
      </c>
      <c r="I482" s="13" t="e">
        <f>SUM(H482/#REF!*100)</f>
        <v>#REF!</v>
      </c>
    </row>
    <row r="483" spans="1:9" ht="28.5">
      <c r="A483" s="54" t="s">
        <v>155</v>
      </c>
      <c r="B483" s="114"/>
      <c r="C483" s="115" t="s">
        <v>5</v>
      </c>
      <c r="D483" s="115" t="s">
        <v>360</v>
      </c>
      <c r="E483" s="115" t="s">
        <v>156</v>
      </c>
      <c r="F483" s="116"/>
      <c r="G483" s="173">
        <f>SUM(G484)</f>
        <v>14572.9</v>
      </c>
      <c r="H483" s="173">
        <f>SUM(H484)</f>
        <v>14572.9</v>
      </c>
      <c r="I483" s="13" t="e">
        <f>SUM(H483/#REF!*100)</f>
        <v>#REF!</v>
      </c>
    </row>
    <row r="484" spans="1:9" ht="42.75">
      <c r="A484" s="54" t="s">
        <v>566</v>
      </c>
      <c r="B484" s="114"/>
      <c r="C484" s="115" t="s">
        <v>5</v>
      </c>
      <c r="D484" s="115" t="s">
        <v>360</v>
      </c>
      <c r="E484" s="115" t="s">
        <v>156</v>
      </c>
      <c r="F484" s="116" t="s">
        <v>462</v>
      </c>
      <c r="G484" s="173">
        <v>14572.9</v>
      </c>
      <c r="H484" s="173">
        <v>14572.9</v>
      </c>
      <c r="I484" s="13" t="e">
        <f>SUM(H484/#REF!*100)</f>
        <v>#REF!</v>
      </c>
    </row>
    <row r="485" spans="1:9" ht="28.5">
      <c r="A485" s="54" t="s">
        <v>464</v>
      </c>
      <c r="B485" s="114"/>
      <c r="C485" s="115" t="s">
        <v>5</v>
      </c>
      <c r="D485" s="115" t="s">
        <v>360</v>
      </c>
      <c r="E485" s="115" t="s">
        <v>465</v>
      </c>
      <c r="F485" s="116"/>
      <c r="G485" s="173">
        <f>G486+G488+G490</f>
        <v>2625.1</v>
      </c>
      <c r="H485" s="173">
        <f>H486+H488+H490</f>
        <v>2625.1</v>
      </c>
      <c r="I485" s="13">
        <f aca="true" t="shared" si="23" ref="I485:I491">SUM(H485/G488*100)</f>
        <v>214.29387755102042</v>
      </c>
    </row>
    <row r="486" spans="1:9" ht="15">
      <c r="A486" s="54" t="s">
        <v>455</v>
      </c>
      <c r="B486" s="133"/>
      <c r="C486" s="115" t="s">
        <v>5</v>
      </c>
      <c r="D486" s="115" t="s">
        <v>360</v>
      </c>
      <c r="E486" s="115" t="s">
        <v>466</v>
      </c>
      <c r="F486" s="116"/>
      <c r="G486" s="173">
        <f>SUM(G487)</f>
        <v>230</v>
      </c>
      <c r="H486" s="173">
        <f>SUM(H487)</f>
        <v>230</v>
      </c>
      <c r="I486" s="13">
        <f t="shared" si="23"/>
        <v>18.775510204081634</v>
      </c>
    </row>
    <row r="487" spans="1:9" ht="15">
      <c r="A487" s="54" t="s">
        <v>463</v>
      </c>
      <c r="B487" s="114"/>
      <c r="C487" s="115" t="s">
        <v>5</v>
      </c>
      <c r="D487" s="115" t="s">
        <v>360</v>
      </c>
      <c r="E487" s="115" t="s">
        <v>466</v>
      </c>
      <c r="F487" s="116" t="s">
        <v>112</v>
      </c>
      <c r="G487" s="173">
        <v>230</v>
      </c>
      <c r="H487" s="173">
        <v>230</v>
      </c>
      <c r="I487" s="13">
        <f t="shared" si="23"/>
        <v>19.656439620545253</v>
      </c>
    </row>
    <row r="488" spans="1:9" ht="28.5">
      <c r="A488" s="54" t="s">
        <v>456</v>
      </c>
      <c r="B488" s="133"/>
      <c r="C488" s="115" t="s">
        <v>5</v>
      </c>
      <c r="D488" s="115" t="s">
        <v>360</v>
      </c>
      <c r="E488" s="115" t="s">
        <v>468</v>
      </c>
      <c r="F488" s="116"/>
      <c r="G488" s="173">
        <f>SUM(G489)</f>
        <v>1225</v>
      </c>
      <c r="H488" s="173">
        <f>SUM(H489)</f>
        <v>1225</v>
      </c>
      <c r="I488" s="13" t="e">
        <f t="shared" si="23"/>
        <v>#DIV/0!</v>
      </c>
    </row>
    <row r="489" spans="1:9" ht="15">
      <c r="A489" s="54" t="s">
        <v>463</v>
      </c>
      <c r="B489" s="114"/>
      <c r="C489" s="115" t="s">
        <v>5</v>
      </c>
      <c r="D489" s="115" t="s">
        <v>360</v>
      </c>
      <c r="E489" s="115" t="s">
        <v>468</v>
      </c>
      <c r="F489" s="116" t="s">
        <v>112</v>
      </c>
      <c r="G489" s="173">
        <v>1225</v>
      </c>
      <c r="H489" s="173">
        <v>1225</v>
      </c>
      <c r="I489" s="13">
        <f t="shared" si="23"/>
        <v>104.6919066746432</v>
      </c>
    </row>
    <row r="490" spans="1:9" ht="28.5">
      <c r="A490" s="54" t="s">
        <v>469</v>
      </c>
      <c r="B490" s="133"/>
      <c r="C490" s="115" t="s">
        <v>5</v>
      </c>
      <c r="D490" s="115" t="s">
        <v>360</v>
      </c>
      <c r="E490" s="115" t="s">
        <v>470</v>
      </c>
      <c r="F490" s="116"/>
      <c r="G490" s="173">
        <f>G491+G492</f>
        <v>1170.1</v>
      </c>
      <c r="H490" s="173">
        <f>H491+H492</f>
        <v>1170.1</v>
      </c>
      <c r="I490" s="13">
        <f t="shared" si="23"/>
        <v>21.190553804918682</v>
      </c>
    </row>
    <row r="491" spans="1:9" ht="42.75">
      <c r="A491" s="54" t="s">
        <v>566</v>
      </c>
      <c r="B491" s="114"/>
      <c r="C491" s="115" t="s">
        <v>5</v>
      </c>
      <c r="D491" s="115" t="s">
        <v>360</v>
      </c>
      <c r="E491" s="115" t="s">
        <v>470</v>
      </c>
      <c r="F491" s="116" t="s">
        <v>462</v>
      </c>
      <c r="G491" s="173"/>
      <c r="H491" s="173"/>
      <c r="I491" s="13">
        <f t="shared" si="23"/>
        <v>0</v>
      </c>
    </row>
    <row r="492" spans="1:9" ht="15">
      <c r="A492" s="54" t="s">
        <v>463</v>
      </c>
      <c r="B492" s="114"/>
      <c r="C492" s="115" t="s">
        <v>5</v>
      </c>
      <c r="D492" s="115" t="s">
        <v>360</v>
      </c>
      <c r="E492" s="115" t="s">
        <v>470</v>
      </c>
      <c r="F492" s="116" t="s">
        <v>112</v>
      </c>
      <c r="G492" s="173">
        <v>1170.1</v>
      </c>
      <c r="H492" s="173">
        <v>1170.1</v>
      </c>
      <c r="I492" s="13"/>
    </row>
    <row r="493" spans="1:9" ht="28.5">
      <c r="A493" s="193" t="s">
        <v>601</v>
      </c>
      <c r="B493" s="208"/>
      <c r="C493" s="202" t="s">
        <v>5</v>
      </c>
      <c r="D493" s="202" t="s">
        <v>360</v>
      </c>
      <c r="E493" s="195" t="s">
        <v>602</v>
      </c>
      <c r="F493" s="209"/>
      <c r="G493" s="197">
        <f>G494</f>
        <v>5521.8</v>
      </c>
      <c r="H493" s="198">
        <f>H494</f>
        <v>5521.8</v>
      </c>
      <c r="I493" s="13"/>
    </row>
    <row r="494" spans="1:9" ht="85.5">
      <c r="A494" s="193" t="s">
        <v>622</v>
      </c>
      <c r="B494" s="208"/>
      <c r="C494" s="202" t="s">
        <v>5</v>
      </c>
      <c r="D494" s="202" t="s">
        <v>360</v>
      </c>
      <c r="E494" s="195" t="s">
        <v>623</v>
      </c>
      <c r="F494" s="209"/>
      <c r="G494" s="197">
        <f>G495</f>
        <v>5521.8</v>
      </c>
      <c r="H494" s="198">
        <f>H495</f>
        <v>5521.8</v>
      </c>
      <c r="I494" s="13"/>
    </row>
    <row r="495" spans="1:9" ht="28.5">
      <c r="A495" s="210" t="s">
        <v>158</v>
      </c>
      <c r="B495" s="208"/>
      <c r="C495" s="202" t="s">
        <v>5</v>
      </c>
      <c r="D495" s="202" t="s">
        <v>360</v>
      </c>
      <c r="E495" s="195" t="s">
        <v>633</v>
      </c>
      <c r="F495" s="209"/>
      <c r="G495" s="197">
        <f>G496+G497</f>
        <v>5521.8</v>
      </c>
      <c r="H495" s="198">
        <f>H496+H497</f>
        <v>5521.8</v>
      </c>
      <c r="I495" s="13"/>
    </row>
    <row r="496" spans="1:9" ht="42.75">
      <c r="A496" s="196" t="s">
        <v>566</v>
      </c>
      <c r="B496" s="208"/>
      <c r="C496" s="202" t="s">
        <v>5</v>
      </c>
      <c r="D496" s="202" t="s">
        <v>360</v>
      </c>
      <c r="E496" s="195" t="s">
        <v>633</v>
      </c>
      <c r="F496" s="209" t="s">
        <v>462</v>
      </c>
      <c r="G496" s="197">
        <v>4948.6</v>
      </c>
      <c r="H496" s="198">
        <v>4948.6</v>
      </c>
      <c r="I496" s="13"/>
    </row>
    <row r="497" spans="1:9" ht="15">
      <c r="A497" s="196" t="s">
        <v>463</v>
      </c>
      <c r="B497" s="208"/>
      <c r="C497" s="202" t="s">
        <v>5</v>
      </c>
      <c r="D497" s="202" t="s">
        <v>360</v>
      </c>
      <c r="E497" s="195" t="s">
        <v>633</v>
      </c>
      <c r="F497" s="209" t="s">
        <v>112</v>
      </c>
      <c r="G497" s="197">
        <v>573.2</v>
      </c>
      <c r="H497" s="198">
        <v>573.2</v>
      </c>
      <c r="I497" s="13"/>
    </row>
    <row r="498" spans="1:9" ht="15">
      <c r="A498" s="196" t="s">
        <v>563</v>
      </c>
      <c r="B498" s="208"/>
      <c r="C498" s="202" t="s">
        <v>5</v>
      </c>
      <c r="D498" s="202" t="s">
        <v>360</v>
      </c>
      <c r="E498" s="195" t="s">
        <v>122</v>
      </c>
      <c r="F498" s="209"/>
      <c r="G498" s="197">
        <f>G499</f>
        <v>75</v>
      </c>
      <c r="H498" s="197">
        <f>H499</f>
        <v>0</v>
      </c>
      <c r="I498" s="13"/>
    </row>
    <row r="499" spans="1:9" ht="71.25">
      <c r="A499" s="210" t="s">
        <v>634</v>
      </c>
      <c r="B499" s="208"/>
      <c r="C499" s="202" t="s">
        <v>5</v>
      </c>
      <c r="D499" s="202" t="s">
        <v>360</v>
      </c>
      <c r="E499" s="195" t="s">
        <v>330</v>
      </c>
      <c r="F499" s="209"/>
      <c r="G499" s="197">
        <f>G500</f>
        <v>75</v>
      </c>
      <c r="H499" s="197">
        <f>H500</f>
        <v>0</v>
      </c>
      <c r="I499" s="13"/>
    </row>
    <row r="500" spans="1:9" ht="37.5" customHeight="1">
      <c r="A500" s="193" t="s">
        <v>635</v>
      </c>
      <c r="B500" s="211"/>
      <c r="C500" s="202" t="s">
        <v>5</v>
      </c>
      <c r="D500" s="202" t="s">
        <v>360</v>
      </c>
      <c r="E500" s="195" t="s">
        <v>330</v>
      </c>
      <c r="F500" s="209" t="s">
        <v>477</v>
      </c>
      <c r="G500" s="197">
        <v>75</v>
      </c>
      <c r="H500" s="197"/>
      <c r="I500" s="13"/>
    </row>
    <row r="501" spans="1:9" ht="15">
      <c r="A501" s="62" t="s">
        <v>457</v>
      </c>
      <c r="B501" s="134" t="s">
        <v>187</v>
      </c>
      <c r="C501" s="135"/>
      <c r="D501" s="135"/>
      <c r="E501" s="135"/>
      <c r="F501" s="136"/>
      <c r="G501" s="174">
        <f>SUM(G502+G508)</f>
        <v>65812.2</v>
      </c>
      <c r="H501" s="174">
        <f>SUM(H502+H508)</f>
        <v>65812.2</v>
      </c>
      <c r="I501" s="13"/>
    </row>
    <row r="502" spans="1:9" ht="15">
      <c r="A502" s="51" t="s">
        <v>108</v>
      </c>
      <c r="B502" s="36"/>
      <c r="C502" s="97" t="s">
        <v>109</v>
      </c>
      <c r="D502" s="97"/>
      <c r="E502" s="97"/>
      <c r="F502" s="108"/>
      <c r="G502" s="75">
        <f aca="true" t="shared" si="24" ref="G502:H506">SUM(G503)</f>
        <v>59206.2</v>
      </c>
      <c r="H502" s="75">
        <f t="shared" si="24"/>
        <v>59206.2</v>
      </c>
      <c r="I502" s="13"/>
    </row>
    <row r="503" spans="1:9" ht="15">
      <c r="A503" s="51" t="s">
        <v>323</v>
      </c>
      <c r="B503" s="128"/>
      <c r="C503" s="97" t="s">
        <v>109</v>
      </c>
      <c r="D503" s="97" t="s">
        <v>431</v>
      </c>
      <c r="E503" s="97"/>
      <c r="F503" s="108"/>
      <c r="G503" s="75">
        <f t="shared" si="24"/>
        <v>59206.2</v>
      </c>
      <c r="H503" s="75">
        <f t="shared" si="24"/>
        <v>59206.2</v>
      </c>
      <c r="I503" s="13"/>
    </row>
    <row r="504" spans="1:9" ht="15">
      <c r="A504" s="51" t="s">
        <v>583</v>
      </c>
      <c r="B504" s="36"/>
      <c r="C504" s="97" t="s">
        <v>109</v>
      </c>
      <c r="D504" s="97" t="s">
        <v>431</v>
      </c>
      <c r="E504" s="97" t="s">
        <v>306</v>
      </c>
      <c r="F504" s="108"/>
      <c r="G504" s="75">
        <f t="shared" si="24"/>
        <v>59206.2</v>
      </c>
      <c r="H504" s="75">
        <f t="shared" si="24"/>
        <v>59206.2</v>
      </c>
      <c r="I504" s="13">
        <f aca="true" t="shared" si="25" ref="I504:I511">SUM(H504/G507*100)</f>
        <v>100</v>
      </c>
    </row>
    <row r="505" spans="1:9" ht="15">
      <c r="A505" s="51" t="s">
        <v>570</v>
      </c>
      <c r="B505" s="128"/>
      <c r="C505" s="97" t="s">
        <v>109</v>
      </c>
      <c r="D505" s="97" t="s">
        <v>431</v>
      </c>
      <c r="E505" s="97" t="s">
        <v>71</v>
      </c>
      <c r="F505" s="108"/>
      <c r="G505" s="75">
        <f t="shared" si="24"/>
        <v>59206.2</v>
      </c>
      <c r="H505" s="75">
        <f t="shared" si="24"/>
        <v>59206.2</v>
      </c>
      <c r="I505" s="13">
        <f t="shared" si="25"/>
        <v>896.2488646684833</v>
      </c>
    </row>
    <row r="506" spans="1:9" ht="28.5">
      <c r="A506" s="51" t="s">
        <v>86</v>
      </c>
      <c r="B506" s="128"/>
      <c r="C506" s="97" t="s">
        <v>109</v>
      </c>
      <c r="D506" s="97" t="s">
        <v>431</v>
      </c>
      <c r="E506" s="97" t="s">
        <v>72</v>
      </c>
      <c r="F506" s="108"/>
      <c r="G506" s="75">
        <f t="shared" si="24"/>
        <v>59206.2</v>
      </c>
      <c r="H506" s="75">
        <f t="shared" si="24"/>
        <v>59206.2</v>
      </c>
      <c r="I506" s="13">
        <f t="shared" si="25"/>
        <v>896.2488646684833</v>
      </c>
    </row>
    <row r="507" spans="1:9" ht="28.5">
      <c r="A507" s="54" t="s">
        <v>480</v>
      </c>
      <c r="B507" s="130"/>
      <c r="C507" s="97" t="s">
        <v>109</v>
      </c>
      <c r="D507" s="97" t="s">
        <v>431</v>
      </c>
      <c r="E507" s="97" t="s">
        <v>72</v>
      </c>
      <c r="F507" s="124" t="s">
        <v>477</v>
      </c>
      <c r="G507" s="75">
        <v>59206.2</v>
      </c>
      <c r="H507" s="75">
        <v>59206.2</v>
      </c>
      <c r="I507" s="13" t="e">
        <f t="shared" si="25"/>
        <v>#DIV/0!</v>
      </c>
    </row>
    <row r="508" spans="1:9" s="39" customFormat="1" ht="15">
      <c r="A508" s="51" t="s">
        <v>237</v>
      </c>
      <c r="B508" s="36"/>
      <c r="C508" s="97" t="s">
        <v>389</v>
      </c>
      <c r="D508" s="97"/>
      <c r="E508" s="97"/>
      <c r="F508" s="108"/>
      <c r="G508" s="75">
        <f>SUM(G509+G534+G530)</f>
        <v>6606</v>
      </c>
      <c r="H508" s="75">
        <f>SUM(H509+H534+H530)</f>
        <v>6606</v>
      </c>
      <c r="I508" s="17" t="e">
        <f t="shared" si="25"/>
        <v>#DIV/0!</v>
      </c>
    </row>
    <row r="509" spans="1:9" s="22" customFormat="1" ht="14.25" customHeight="1">
      <c r="A509" s="51" t="s">
        <v>223</v>
      </c>
      <c r="B509" s="36"/>
      <c r="C509" s="46" t="s">
        <v>389</v>
      </c>
      <c r="D509" s="46" t="s">
        <v>429</v>
      </c>
      <c r="E509" s="46"/>
      <c r="F509" s="107"/>
      <c r="G509" s="75">
        <f>SUM(G510,G512,G523)</f>
        <v>6606</v>
      </c>
      <c r="H509" s="75">
        <f>SUM(H510,H512,H523)+H518</f>
        <v>6606</v>
      </c>
      <c r="I509" s="13">
        <f t="shared" si="25"/>
        <v>171.39298964792567</v>
      </c>
    </row>
    <row r="510" spans="1:9" ht="15" hidden="1">
      <c r="A510" s="54" t="s">
        <v>357</v>
      </c>
      <c r="B510" s="36"/>
      <c r="C510" s="46" t="s">
        <v>294</v>
      </c>
      <c r="D510" s="46" t="s">
        <v>116</v>
      </c>
      <c r="E510" s="97" t="s">
        <v>358</v>
      </c>
      <c r="F510" s="108"/>
      <c r="G510" s="75">
        <f>SUM(G511)</f>
        <v>0</v>
      </c>
      <c r="H510" s="75">
        <f>SUM(H511)</f>
        <v>0</v>
      </c>
      <c r="I510" s="13">
        <f t="shared" si="25"/>
        <v>0</v>
      </c>
    </row>
    <row r="511" spans="1:9" ht="15" hidden="1">
      <c r="A511" s="51" t="s">
        <v>95</v>
      </c>
      <c r="B511" s="36"/>
      <c r="C511" s="46" t="s">
        <v>294</v>
      </c>
      <c r="D511" s="46" t="s">
        <v>116</v>
      </c>
      <c r="E511" s="97" t="s">
        <v>358</v>
      </c>
      <c r="F511" s="108" t="s">
        <v>96</v>
      </c>
      <c r="G511" s="75">
        <f>50.3-50.3</f>
        <v>0</v>
      </c>
      <c r="H511" s="75">
        <f>50.3-50.3</f>
        <v>0</v>
      </c>
      <c r="I511" s="13">
        <f t="shared" si="25"/>
        <v>0</v>
      </c>
    </row>
    <row r="512" spans="1:9" ht="28.5">
      <c r="A512" s="51" t="s">
        <v>458</v>
      </c>
      <c r="B512" s="36"/>
      <c r="C512" s="46" t="s">
        <v>389</v>
      </c>
      <c r="D512" s="46" t="s">
        <v>429</v>
      </c>
      <c r="E512" s="46" t="s">
        <v>459</v>
      </c>
      <c r="F512" s="108"/>
      <c r="G512" s="75">
        <f>SUM(G513)</f>
        <v>3854.3</v>
      </c>
      <c r="H512" s="75">
        <f>SUM(H513)</f>
        <v>3854.3</v>
      </c>
      <c r="I512" s="13"/>
    </row>
    <row r="513" spans="1:9" ht="28.5">
      <c r="A513" s="51" t="s">
        <v>47</v>
      </c>
      <c r="B513" s="36"/>
      <c r="C513" s="46" t="s">
        <v>389</v>
      </c>
      <c r="D513" s="46" t="s">
        <v>429</v>
      </c>
      <c r="E513" s="46" t="s">
        <v>460</v>
      </c>
      <c r="F513" s="108"/>
      <c r="G513" s="75">
        <f>SUM(G514)</f>
        <v>3854.3</v>
      </c>
      <c r="H513" s="75">
        <f>SUM(H514)</f>
        <v>3854.3</v>
      </c>
      <c r="I513" s="13">
        <f>SUM(H513/G516*100)</f>
        <v>622.2634807878593</v>
      </c>
    </row>
    <row r="514" spans="1:9" ht="28.5">
      <c r="A514" s="51" t="s">
        <v>582</v>
      </c>
      <c r="B514" s="36"/>
      <c r="C514" s="46" t="s">
        <v>389</v>
      </c>
      <c r="D514" s="46" t="s">
        <v>429</v>
      </c>
      <c r="E514" s="46" t="s">
        <v>568</v>
      </c>
      <c r="F514" s="108"/>
      <c r="G514" s="75">
        <f>SUM(G515:G517)</f>
        <v>3854.3</v>
      </c>
      <c r="H514" s="75">
        <f>SUM(H515:H517)</f>
        <v>3854.3</v>
      </c>
      <c r="I514" s="13"/>
    </row>
    <row r="515" spans="1:9" ht="28.5">
      <c r="A515" s="51" t="s">
        <v>461</v>
      </c>
      <c r="B515" s="36"/>
      <c r="C515" s="46" t="s">
        <v>389</v>
      </c>
      <c r="D515" s="46" t="s">
        <v>429</v>
      </c>
      <c r="E515" s="46" t="s">
        <v>568</v>
      </c>
      <c r="F515" s="107" t="s">
        <v>462</v>
      </c>
      <c r="G515" s="75">
        <v>3228.9</v>
      </c>
      <c r="H515" s="75">
        <v>3228.9</v>
      </c>
      <c r="I515" s="13"/>
    </row>
    <row r="516" spans="1:9" ht="15">
      <c r="A516" s="51" t="s">
        <v>463</v>
      </c>
      <c r="B516" s="36"/>
      <c r="C516" s="46" t="s">
        <v>389</v>
      </c>
      <c r="D516" s="46" t="s">
        <v>429</v>
      </c>
      <c r="E516" s="46" t="s">
        <v>568</v>
      </c>
      <c r="F516" s="107" t="s">
        <v>112</v>
      </c>
      <c r="G516" s="167">
        <v>619.4</v>
      </c>
      <c r="H516" s="167">
        <v>619.4</v>
      </c>
      <c r="I516" s="13"/>
    </row>
    <row r="517" spans="1:9" ht="15">
      <c r="A517" s="51" t="s">
        <v>467</v>
      </c>
      <c r="B517" s="36"/>
      <c r="C517" s="46" t="s">
        <v>389</v>
      </c>
      <c r="D517" s="46" t="s">
        <v>429</v>
      </c>
      <c r="E517" s="46" t="s">
        <v>568</v>
      </c>
      <c r="F517" s="108" t="s">
        <v>161</v>
      </c>
      <c r="G517" s="75">
        <v>6</v>
      </c>
      <c r="H517" s="75">
        <v>6</v>
      </c>
      <c r="I517" s="13"/>
    </row>
    <row r="518" spans="1:9" ht="15">
      <c r="A518" s="190" t="s">
        <v>590</v>
      </c>
      <c r="B518" s="181"/>
      <c r="C518" s="183" t="s">
        <v>389</v>
      </c>
      <c r="D518" s="183" t="s">
        <v>429</v>
      </c>
      <c r="E518" s="184">
        <v>5120000</v>
      </c>
      <c r="F518" s="185"/>
      <c r="G518" s="192">
        <f>SUM(G519)</f>
        <v>0</v>
      </c>
      <c r="H518" s="192">
        <f>SUM(H519)</f>
        <v>2751.7</v>
      </c>
      <c r="I518" s="13"/>
    </row>
    <row r="519" spans="1:9" ht="15">
      <c r="A519" s="190" t="s">
        <v>591</v>
      </c>
      <c r="B519" s="181"/>
      <c r="C519" s="183" t="s">
        <v>389</v>
      </c>
      <c r="D519" s="183" t="s">
        <v>429</v>
      </c>
      <c r="E519" s="184">
        <v>5129700</v>
      </c>
      <c r="F519" s="185"/>
      <c r="G519" s="188">
        <v>0</v>
      </c>
      <c r="H519" s="188">
        <f>SUM(H520:H522)</f>
        <v>2751.7</v>
      </c>
      <c r="I519" s="13"/>
    </row>
    <row r="520" spans="1:10" ht="28.5">
      <c r="A520" s="186" t="s">
        <v>592</v>
      </c>
      <c r="B520" s="182"/>
      <c r="C520" s="183" t="s">
        <v>389</v>
      </c>
      <c r="D520" s="183" t="s">
        <v>429</v>
      </c>
      <c r="E520" s="184">
        <v>5129700</v>
      </c>
      <c r="F520" s="187" t="s">
        <v>462</v>
      </c>
      <c r="G520" s="188">
        <v>0</v>
      </c>
      <c r="H520" s="188">
        <v>700</v>
      </c>
      <c r="I520" s="189"/>
      <c r="J520" s="23"/>
    </row>
    <row r="521" spans="1:10" ht="14.25">
      <c r="A521" s="190" t="s">
        <v>463</v>
      </c>
      <c r="B521" s="181"/>
      <c r="C521" s="183" t="s">
        <v>389</v>
      </c>
      <c r="D521" s="183" t="s">
        <v>429</v>
      </c>
      <c r="E521" s="184">
        <v>5129700</v>
      </c>
      <c r="F521" s="185" t="s">
        <v>112</v>
      </c>
      <c r="G521" s="188">
        <v>0</v>
      </c>
      <c r="H521" s="188">
        <v>1555.7</v>
      </c>
      <c r="I521" s="189"/>
      <c r="J521" s="23"/>
    </row>
    <row r="522" spans="1:10" ht="28.5">
      <c r="A522" s="190" t="s">
        <v>561</v>
      </c>
      <c r="B522" s="181"/>
      <c r="C522" s="183" t="s">
        <v>389</v>
      </c>
      <c r="D522" s="183" t="s">
        <v>429</v>
      </c>
      <c r="E522" s="184">
        <v>5129700</v>
      </c>
      <c r="F522" s="185" t="s">
        <v>477</v>
      </c>
      <c r="G522" s="188">
        <v>0</v>
      </c>
      <c r="H522" s="188">
        <v>496</v>
      </c>
      <c r="I522" s="189"/>
      <c r="J522" s="23"/>
    </row>
    <row r="523" spans="1:10" ht="14.25">
      <c r="A523" s="54" t="s">
        <v>121</v>
      </c>
      <c r="B523" s="36"/>
      <c r="C523" s="46" t="s">
        <v>389</v>
      </c>
      <c r="D523" s="46" t="s">
        <v>429</v>
      </c>
      <c r="E523" s="98" t="s">
        <v>122</v>
      </c>
      <c r="F523" s="107"/>
      <c r="G523" s="191">
        <f>SUM(G524)</f>
        <v>2751.7</v>
      </c>
      <c r="H523" s="191">
        <f>SUM(H524)</f>
        <v>0</v>
      </c>
      <c r="I523" s="189"/>
      <c r="J523" s="23"/>
    </row>
    <row r="524" spans="1:10" ht="36" customHeight="1">
      <c r="A524" s="51" t="s">
        <v>569</v>
      </c>
      <c r="B524" s="36"/>
      <c r="C524" s="46" t="s">
        <v>389</v>
      </c>
      <c r="D524" s="46" t="s">
        <v>429</v>
      </c>
      <c r="E524" s="98" t="s">
        <v>90</v>
      </c>
      <c r="F524" s="107"/>
      <c r="G524" s="191">
        <f>SUM(G525:G527)</f>
        <v>2751.7</v>
      </c>
      <c r="H524" s="191">
        <f>SUM(H525:H527)</f>
        <v>0</v>
      </c>
      <c r="I524" s="189" t="e">
        <f>SUM(H524/G528*100)</f>
        <v>#DIV/0!</v>
      </c>
      <c r="J524" s="23"/>
    </row>
    <row r="525" spans="1:10" ht="36" customHeight="1">
      <c r="A525" s="51" t="s">
        <v>461</v>
      </c>
      <c r="B525" s="36"/>
      <c r="C525" s="46" t="s">
        <v>389</v>
      </c>
      <c r="D525" s="46" t="s">
        <v>429</v>
      </c>
      <c r="E525" s="98" t="s">
        <v>90</v>
      </c>
      <c r="F525" s="107" t="s">
        <v>462</v>
      </c>
      <c r="G525" s="191">
        <v>700</v>
      </c>
      <c r="H525" s="191"/>
      <c r="I525" s="189"/>
      <c r="J525" s="23"/>
    </row>
    <row r="526" spans="1:10" ht="20.25" customHeight="1">
      <c r="A526" s="51" t="s">
        <v>463</v>
      </c>
      <c r="B526" s="36"/>
      <c r="C526" s="46" t="s">
        <v>389</v>
      </c>
      <c r="D526" s="46" t="s">
        <v>429</v>
      </c>
      <c r="E526" s="98" t="s">
        <v>90</v>
      </c>
      <c r="F526" s="107" t="s">
        <v>112</v>
      </c>
      <c r="G526" s="191">
        <v>1555.7</v>
      </c>
      <c r="H526" s="191"/>
      <c r="I526" s="189"/>
      <c r="J526" s="23"/>
    </row>
    <row r="527" spans="1:10" ht="28.5">
      <c r="A527" s="54" t="s">
        <v>480</v>
      </c>
      <c r="B527" s="36"/>
      <c r="C527" s="46" t="s">
        <v>389</v>
      </c>
      <c r="D527" s="46" t="s">
        <v>429</v>
      </c>
      <c r="E527" s="98" t="s">
        <v>90</v>
      </c>
      <c r="F527" s="107" t="s">
        <v>477</v>
      </c>
      <c r="G527" s="191">
        <v>496</v>
      </c>
      <c r="H527" s="191"/>
      <c r="I527" s="189"/>
      <c r="J527" s="23"/>
    </row>
    <row r="528" spans="1:9" ht="42.75" hidden="1">
      <c r="A528" s="51" t="s">
        <v>144</v>
      </c>
      <c r="B528" s="36"/>
      <c r="C528" s="46" t="s">
        <v>389</v>
      </c>
      <c r="D528" s="46" t="s">
        <v>429</v>
      </c>
      <c r="E528" s="98" t="s">
        <v>382</v>
      </c>
      <c r="F528" s="107"/>
      <c r="G528" s="75">
        <f>SUM(G529)</f>
        <v>0</v>
      </c>
      <c r="H528" s="75">
        <f>SUM(H529)</f>
        <v>0</v>
      </c>
      <c r="I528" s="13" t="e">
        <f aca="true" t="shared" si="26" ref="I528:I537">SUM(H528/G531*100)</f>
        <v>#DIV/0!</v>
      </c>
    </row>
    <row r="529" spans="1:9" ht="15" hidden="1">
      <c r="A529" s="54" t="s">
        <v>135</v>
      </c>
      <c r="B529" s="36"/>
      <c r="C529" s="46" t="s">
        <v>389</v>
      </c>
      <c r="D529" s="46" t="s">
        <v>429</v>
      </c>
      <c r="E529" s="98" t="s">
        <v>382</v>
      </c>
      <c r="F529" s="107" t="s">
        <v>76</v>
      </c>
      <c r="G529" s="75"/>
      <c r="H529" s="75"/>
      <c r="I529" s="13" t="e">
        <f t="shared" si="26"/>
        <v>#DIV/0!</v>
      </c>
    </row>
    <row r="530" spans="1:9" ht="15" hidden="1">
      <c r="A530" s="51" t="s">
        <v>148</v>
      </c>
      <c r="B530" s="36"/>
      <c r="C530" s="46" t="s">
        <v>389</v>
      </c>
      <c r="D530" s="46" t="s">
        <v>431</v>
      </c>
      <c r="E530" s="97"/>
      <c r="F530" s="108"/>
      <c r="G530" s="75">
        <f aca="true" t="shared" si="27" ref="G530:H532">SUM(G531)</f>
        <v>0</v>
      </c>
      <c r="H530" s="75">
        <f t="shared" si="27"/>
        <v>0</v>
      </c>
      <c r="I530" s="13" t="e">
        <f t="shared" si="26"/>
        <v>#DIV/0!</v>
      </c>
    </row>
    <row r="531" spans="1:9" ht="15" hidden="1">
      <c r="A531" s="51" t="s">
        <v>3</v>
      </c>
      <c r="B531" s="36"/>
      <c r="C531" s="46" t="s">
        <v>389</v>
      </c>
      <c r="D531" s="46" t="s">
        <v>431</v>
      </c>
      <c r="E531" s="46" t="s">
        <v>4</v>
      </c>
      <c r="F531" s="108"/>
      <c r="G531" s="75">
        <f t="shared" si="27"/>
        <v>0</v>
      </c>
      <c r="H531" s="75">
        <f t="shared" si="27"/>
        <v>0</v>
      </c>
      <c r="I531" s="13" t="e">
        <f t="shared" si="26"/>
        <v>#DIV/0!</v>
      </c>
    </row>
    <row r="532" spans="1:9" ht="28.5" hidden="1">
      <c r="A532" s="51" t="s">
        <v>149</v>
      </c>
      <c r="B532" s="36"/>
      <c r="C532" s="46" t="s">
        <v>389</v>
      </c>
      <c r="D532" s="46" t="s">
        <v>431</v>
      </c>
      <c r="E532" s="46" t="s">
        <v>286</v>
      </c>
      <c r="F532" s="108"/>
      <c r="G532" s="75">
        <f t="shared" si="27"/>
        <v>0</v>
      </c>
      <c r="H532" s="75">
        <f t="shared" si="27"/>
        <v>0</v>
      </c>
      <c r="I532" s="13" t="e">
        <f t="shared" si="26"/>
        <v>#DIV/0!</v>
      </c>
    </row>
    <row r="533" spans="1:9" ht="15" hidden="1">
      <c r="A533" s="54" t="s">
        <v>135</v>
      </c>
      <c r="B533" s="36"/>
      <c r="C533" s="46" t="s">
        <v>389</v>
      </c>
      <c r="D533" s="46" t="s">
        <v>431</v>
      </c>
      <c r="E533" s="46" t="s">
        <v>286</v>
      </c>
      <c r="F533" s="107" t="s">
        <v>76</v>
      </c>
      <c r="G533" s="75"/>
      <c r="H533" s="75"/>
      <c r="I533" s="13" t="e">
        <f t="shared" si="26"/>
        <v>#DIV/0!</v>
      </c>
    </row>
    <row r="534" spans="1:9" ht="15" hidden="1">
      <c r="A534" s="51" t="s">
        <v>224</v>
      </c>
      <c r="B534" s="36"/>
      <c r="C534" s="46" t="s">
        <v>389</v>
      </c>
      <c r="D534" s="46" t="s">
        <v>124</v>
      </c>
      <c r="E534" s="97"/>
      <c r="F534" s="108"/>
      <c r="G534" s="75">
        <f>SUM(G535+G541+G543)+G538</f>
        <v>0</v>
      </c>
      <c r="H534" s="75">
        <f>SUM(H535+H541+H543)+H538</f>
        <v>0</v>
      </c>
      <c r="I534" s="13" t="e">
        <f t="shared" si="26"/>
        <v>#DIV/0!</v>
      </c>
    </row>
    <row r="535" spans="1:9" ht="42.75" hidden="1">
      <c r="A535" s="51" t="s">
        <v>91</v>
      </c>
      <c r="B535" s="36"/>
      <c r="C535" s="46" t="s">
        <v>389</v>
      </c>
      <c r="D535" s="46" t="s">
        <v>124</v>
      </c>
      <c r="E535" s="46" t="s">
        <v>92</v>
      </c>
      <c r="F535" s="108"/>
      <c r="G535" s="75">
        <f>SUM(G536)</f>
        <v>0</v>
      </c>
      <c r="H535" s="75">
        <f>SUM(H536)</f>
        <v>0</v>
      </c>
      <c r="I535" s="13" t="e">
        <f t="shared" si="26"/>
        <v>#DIV/0!</v>
      </c>
    </row>
    <row r="536" spans="1:9" ht="15" hidden="1">
      <c r="A536" s="51" t="s">
        <v>99</v>
      </c>
      <c r="B536" s="36"/>
      <c r="C536" s="46" t="s">
        <v>389</v>
      </c>
      <c r="D536" s="46" t="s">
        <v>124</v>
      </c>
      <c r="E536" s="46" t="s">
        <v>101</v>
      </c>
      <c r="F536" s="108"/>
      <c r="G536" s="75">
        <f>SUM(G537)</f>
        <v>0</v>
      </c>
      <c r="H536" s="75">
        <f>SUM(H537)</f>
        <v>0</v>
      </c>
      <c r="I536" s="13" t="e">
        <f t="shared" si="26"/>
        <v>#DIV/0!</v>
      </c>
    </row>
    <row r="537" spans="1:9" ht="15" hidden="1">
      <c r="A537" s="51" t="s">
        <v>95</v>
      </c>
      <c r="B537" s="36"/>
      <c r="C537" s="46" t="s">
        <v>389</v>
      </c>
      <c r="D537" s="46" t="s">
        <v>124</v>
      </c>
      <c r="E537" s="46" t="s">
        <v>101</v>
      </c>
      <c r="F537" s="107" t="s">
        <v>96</v>
      </c>
      <c r="G537" s="75"/>
      <c r="H537" s="75"/>
      <c r="I537" s="13" t="e">
        <f t="shared" si="26"/>
        <v>#DIV/0!</v>
      </c>
    </row>
    <row r="538" spans="1:9" ht="15" hidden="1">
      <c r="A538" s="54" t="s">
        <v>121</v>
      </c>
      <c r="B538" s="36"/>
      <c r="C538" s="46" t="s">
        <v>389</v>
      </c>
      <c r="D538" s="46" t="s">
        <v>124</v>
      </c>
      <c r="E538" s="98" t="s">
        <v>122</v>
      </c>
      <c r="F538" s="107"/>
      <c r="G538" s="75">
        <f>SUM(G539)</f>
        <v>0</v>
      </c>
      <c r="H538" s="75">
        <f>SUM(H539)</f>
        <v>0</v>
      </c>
      <c r="I538" s="13"/>
    </row>
    <row r="539" spans="1:9" ht="42.75" hidden="1">
      <c r="A539" s="57" t="s">
        <v>191</v>
      </c>
      <c r="B539" s="36"/>
      <c r="C539" s="46" t="s">
        <v>389</v>
      </c>
      <c r="D539" s="46" t="s">
        <v>124</v>
      </c>
      <c r="E539" s="97" t="s">
        <v>292</v>
      </c>
      <c r="F539" s="107"/>
      <c r="G539" s="75">
        <f>SUM(G540)</f>
        <v>0</v>
      </c>
      <c r="H539" s="75">
        <f>SUM(H540)</f>
        <v>0</v>
      </c>
      <c r="I539" s="13"/>
    </row>
    <row r="540" spans="1:9" ht="15" hidden="1">
      <c r="A540" s="51" t="s">
        <v>95</v>
      </c>
      <c r="B540" s="36"/>
      <c r="C540" s="46" t="s">
        <v>389</v>
      </c>
      <c r="D540" s="46" t="s">
        <v>124</v>
      </c>
      <c r="E540" s="97" t="s">
        <v>292</v>
      </c>
      <c r="F540" s="107" t="s">
        <v>96</v>
      </c>
      <c r="G540" s="75"/>
      <c r="H540" s="75"/>
      <c r="I540" s="13" t="e">
        <f>SUM(H540/G543*100)</f>
        <v>#DIV/0!</v>
      </c>
    </row>
    <row r="541" spans="1:9" ht="15" hidden="1">
      <c r="A541" s="54" t="s">
        <v>357</v>
      </c>
      <c r="B541" s="36"/>
      <c r="C541" s="46" t="s">
        <v>389</v>
      </c>
      <c r="D541" s="46" t="s">
        <v>124</v>
      </c>
      <c r="E541" s="97" t="s">
        <v>358</v>
      </c>
      <c r="F541" s="108"/>
      <c r="G541" s="75">
        <f>SUM(G542)</f>
        <v>0</v>
      </c>
      <c r="H541" s="75">
        <f>SUM(H542)</f>
        <v>0</v>
      </c>
      <c r="I541" s="13" t="e">
        <f>SUM(H541/G544*100)</f>
        <v>#DIV/0!</v>
      </c>
    </row>
    <row r="542" spans="1:9" ht="15" hidden="1">
      <c r="A542" s="51" t="s">
        <v>95</v>
      </c>
      <c r="B542" s="36"/>
      <c r="C542" s="46" t="s">
        <v>389</v>
      </c>
      <c r="D542" s="46" t="s">
        <v>124</v>
      </c>
      <c r="E542" s="97" t="s">
        <v>358</v>
      </c>
      <c r="F542" s="108" t="s">
        <v>96</v>
      </c>
      <c r="G542" s="75"/>
      <c r="H542" s="75"/>
      <c r="I542" s="13" t="e">
        <f>SUM(H542/G545*100)</f>
        <v>#DIV/0!</v>
      </c>
    </row>
    <row r="543" spans="1:9" ht="28.5" hidden="1">
      <c r="A543" s="53" t="s">
        <v>105</v>
      </c>
      <c r="B543" s="36"/>
      <c r="C543" s="46" t="s">
        <v>389</v>
      </c>
      <c r="D543" s="46" t="s">
        <v>124</v>
      </c>
      <c r="E543" s="46" t="s">
        <v>106</v>
      </c>
      <c r="F543" s="124"/>
      <c r="G543" s="75">
        <f>SUM(G545)</f>
        <v>0</v>
      </c>
      <c r="H543" s="75">
        <f>SUM(H545)</f>
        <v>0</v>
      </c>
      <c r="I543" s="13" t="e">
        <f>SUM(H543/#REF!*100)</f>
        <v>#REF!</v>
      </c>
    </row>
    <row r="544" spans="1:9" ht="15" hidden="1">
      <c r="A544" s="53" t="s">
        <v>107</v>
      </c>
      <c r="B544" s="36"/>
      <c r="C544" s="46" t="s">
        <v>389</v>
      </c>
      <c r="D544" s="46" t="s">
        <v>124</v>
      </c>
      <c r="E544" s="46" t="s">
        <v>241</v>
      </c>
      <c r="F544" s="124"/>
      <c r="G544" s="75">
        <f>SUM(G545)</f>
        <v>0</v>
      </c>
      <c r="H544" s="75">
        <f>SUM(H545)</f>
        <v>0</v>
      </c>
      <c r="I544" s="13" t="e">
        <f>SUM(H544/#REF!*100)</f>
        <v>#REF!</v>
      </c>
    </row>
    <row r="545" spans="1:9" ht="15" hidden="1">
      <c r="A545" s="51" t="s">
        <v>95</v>
      </c>
      <c r="B545" s="36"/>
      <c r="C545" s="46" t="s">
        <v>389</v>
      </c>
      <c r="D545" s="46" t="s">
        <v>124</v>
      </c>
      <c r="E545" s="46" t="s">
        <v>241</v>
      </c>
      <c r="F545" s="124" t="s">
        <v>96</v>
      </c>
      <c r="G545" s="75"/>
      <c r="H545" s="75"/>
      <c r="I545" s="13" t="e">
        <f>SUM(H545/#REF!*100)</f>
        <v>#REF!</v>
      </c>
    </row>
    <row r="546" spans="1:9" ht="15">
      <c r="A546" s="58" t="s">
        <v>297</v>
      </c>
      <c r="B546" s="128" t="s">
        <v>257</v>
      </c>
      <c r="C546" s="96"/>
      <c r="D546" s="96"/>
      <c r="E546" s="96"/>
      <c r="F546" s="137"/>
      <c r="G546" s="172">
        <f>SUM(G547+G632)</f>
        <v>1586957.6</v>
      </c>
      <c r="H546" s="172">
        <f>SUM(H547+H632)</f>
        <v>1596967.6</v>
      </c>
      <c r="I546" s="13" t="e">
        <f>SUM(H546/#REF!*100)</f>
        <v>#REF!</v>
      </c>
    </row>
    <row r="547" spans="1:9" ht="15">
      <c r="A547" s="54" t="s">
        <v>108</v>
      </c>
      <c r="B547" s="64"/>
      <c r="C547" s="67" t="s">
        <v>109</v>
      </c>
      <c r="D547" s="67"/>
      <c r="E547" s="67"/>
      <c r="F547" s="138"/>
      <c r="G547" s="175">
        <f>SUM(G548+G570+G606+G626)</f>
        <v>1550111.9000000001</v>
      </c>
      <c r="H547" s="175">
        <f>SUM(H548+H570+H606+H626)</f>
        <v>1560121.9000000001</v>
      </c>
      <c r="I547" s="13"/>
    </row>
    <row r="548" spans="1:9" ht="15">
      <c r="A548" s="54" t="s">
        <v>319</v>
      </c>
      <c r="B548" s="139"/>
      <c r="C548" s="67" t="s">
        <v>109</v>
      </c>
      <c r="D548" s="67" t="s">
        <v>429</v>
      </c>
      <c r="E548" s="67"/>
      <c r="F548" s="138"/>
      <c r="G548" s="175">
        <f>SUM(G549+G568+G557)</f>
        <v>627690.4</v>
      </c>
      <c r="H548" s="175">
        <f>SUM(H549+H568+H557)</f>
        <v>628161.3</v>
      </c>
      <c r="I548" s="13"/>
    </row>
    <row r="549" spans="1:9" ht="15">
      <c r="A549" s="54" t="s">
        <v>320</v>
      </c>
      <c r="B549" s="139"/>
      <c r="C549" s="67" t="s">
        <v>109</v>
      </c>
      <c r="D549" s="67" t="s">
        <v>429</v>
      </c>
      <c r="E549" s="67" t="s">
        <v>321</v>
      </c>
      <c r="F549" s="138"/>
      <c r="G549" s="175">
        <f>SUM(G550+G553)</f>
        <v>189646.8</v>
      </c>
      <c r="H549" s="175">
        <f>SUM(H550+H553)</f>
        <v>190117.7</v>
      </c>
      <c r="I549" s="13"/>
    </row>
    <row r="550" spans="1:9" ht="15">
      <c r="A550" s="54" t="s">
        <v>570</v>
      </c>
      <c r="B550" s="139"/>
      <c r="C550" s="67" t="s">
        <v>109</v>
      </c>
      <c r="D550" s="67" t="s">
        <v>429</v>
      </c>
      <c r="E550" s="67" t="s">
        <v>78</v>
      </c>
      <c r="F550" s="138"/>
      <c r="G550" s="175">
        <f>SUM(G551)</f>
        <v>156433.8</v>
      </c>
      <c r="H550" s="175">
        <f>SUM(H551)</f>
        <v>156433.9</v>
      </c>
      <c r="I550" s="13"/>
    </row>
    <row r="551" spans="1:9" ht="28.5">
      <c r="A551" s="54" t="s">
        <v>189</v>
      </c>
      <c r="B551" s="139"/>
      <c r="C551" s="67" t="s">
        <v>109</v>
      </c>
      <c r="D551" s="67" t="s">
        <v>429</v>
      </c>
      <c r="E551" s="67" t="s">
        <v>79</v>
      </c>
      <c r="F551" s="138"/>
      <c r="G551" s="175">
        <f>SUM(G552)</f>
        <v>156433.8</v>
      </c>
      <c r="H551" s="175">
        <f>SUM(H552)</f>
        <v>156433.9</v>
      </c>
      <c r="I551" s="13"/>
    </row>
    <row r="552" spans="1:9" ht="28.5">
      <c r="A552" s="54" t="s">
        <v>484</v>
      </c>
      <c r="B552" s="139"/>
      <c r="C552" s="67" t="s">
        <v>109</v>
      </c>
      <c r="D552" s="67" t="s">
        <v>429</v>
      </c>
      <c r="E552" s="67" t="s">
        <v>79</v>
      </c>
      <c r="F552" s="138" t="s">
        <v>477</v>
      </c>
      <c r="G552" s="175">
        <v>156433.8</v>
      </c>
      <c r="H552" s="175">
        <v>156433.9</v>
      </c>
      <c r="I552" s="13"/>
    </row>
    <row r="553" spans="1:9" ht="28.5">
      <c r="A553" s="54" t="s">
        <v>47</v>
      </c>
      <c r="B553" s="139"/>
      <c r="C553" s="67" t="s">
        <v>109</v>
      </c>
      <c r="D553" s="67" t="s">
        <v>429</v>
      </c>
      <c r="E553" s="67" t="s">
        <v>322</v>
      </c>
      <c r="F553" s="138"/>
      <c r="G553" s="175">
        <f>SUM(G554+G555+G556)</f>
        <v>33213</v>
      </c>
      <c r="H553" s="175">
        <f>SUM(H554+H555+H556)</f>
        <v>33683.8</v>
      </c>
      <c r="I553" s="13"/>
    </row>
    <row r="554" spans="1:9" ht="28.5">
      <c r="A554" s="54" t="s">
        <v>461</v>
      </c>
      <c r="B554" s="139"/>
      <c r="C554" s="67" t="s">
        <v>109</v>
      </c>
      <c r="D554" s="67" t="s">
        <v>429</v>
      </c>
      <c r="E554" s="67" t="s">
        <v>322</v>
      </c>
      <c r="F554" s="138" t="s">
        <v>462</v>
      </c>
      <c r="G554" s="175">
        <v>10935.5</v>
      </c>
      <c r="H554" s="175">
        <v>10935.5</v>
      </c>
      <c r="I554" s="13"/>
    </row>
    <row r="555" spans="1:9" ht="15">
      <c r="A555" s="54" t="s">
        <v>463</v>
      </c>
      <c r="B555" s="64"/>
      <c r="C555" s="67" t="s">
        <v>109</v>
      </c>
      <c r="D555" s="67" t="s">
        <v>429</v>
      </c>
      <c r="E555" s="67" t="s">
        <v>322</v>
      </c>
      <c r="F555" s="138" t="s">
        <v>112</v>
      </c>
      <c r="G555" s="175">
        <v>20239.1</v>
      </c>
      <c r="H555" s="175">
        <v>20709.9</v>
      </c>
      <c r="I555" s="13"/>
    </row>
    <row r="556" spans="1:9" ht="15">
      <c r="A556" s="54" t="s">
        <v>467</v>
      </c>
      <c r="B556" s="139"/>
      <c r="C556" s="67" t="s">
        <v>109</v>
      </c>
      <c r="D556" s="67" t="s">
        <v>429</v>
      </c>
      <c r="E556" s="67" t="s">
        <v>322</v>
      </c>
      <c r="F556" s="138" t="s">
        <v>161</v>
      </c>
      <c r="G556" s="175">
        <v>2038.4</v>
      </c>
      <c r="H556" s="175">
        <v>2038.4</v>
      </c>
      <c r="I556" s="13"/>
    </row>
    <row r="557" spans="1:9" ht="42.75">
      <c r="A557" s="212" t="s">
        <v>636</v>
      </c>
      <c r="B557" s="84"/>
      <c r="C557" s="71" t="s">
        <v>109</v>
      </c>
      <c r="D557" s="71" t="s">
        <v>429</v>
      </c>
      <c r="E557" s="213" t="s">
        <v>637</v>
      </c>
      <c r="F557" s="214"/>
      <c r="G557" s="217">
        <f>SUM(G558+G564)</f>
        <v>438043.60000000003</v>
      </c>
      <c r="H557" s="217">
        <f>SUM(H558+H564)</f>
        <v>438043.60000000003</v>
      </c>
      <c r="I557" s="13"/>
    </row>
    <row r="558" spans="1:9" ht="15">
      <c r="A558" s="54" t="s">
        <v>570</v>
      </c>
      <c r="B558" s="84"/>
      <c r="C558" s="71" t="s">
        <v>109</v>
      </c>
      <c r="D558" s="71" t="s">
        <v>429</v>
      </c>
      <c r="E558" s="213" t="s">
        <v>638</v>
      </c>
      <c r="F558" s="214"/>
      <c r="G558" s="217">
        <f>SUM(G559+G561)</f>
        <v>380081.2</v>
      </c>
      <c r="H558" s="217">
        <f>SUM(H559+H561)</f>
        <v>380081.2</v>
      </c>
      <c r="I558" s="13"/>
    </row>
    <row r="559" spans="1:9" ht="28.5">
      <c r="A559" s="60" t="s">
        <v>189</v>
      </c>
      <c r="B559" s="84"/>
      <c r="C559" s="71" t="s">
        <v>109</v>
      </c>
      <c r="D559" s="71" t="s">
        <v>429</v>
      </c>
      <c r="E559" s="215" t="s">
        <v>639</v>
      </c>
      <c r="F559" s="66"/>
      <c r="G559" s="217">
        <f>SUM(G560)</f>
        <v>373530</v>
      </c>
      <c r="H559" s="217">
        <f>SUM(H560)</f>
        <v>373530</v>
      </c>
      <c r="I559" s="13"/>
    </row>
    <row r="560" spans="1:9" ht="28.5">
      <c r="A560" s="83" t="s">
        <v>484</v>
      </c>
      <c r="B560" s="84"/>
      <c r="C560" s="71" t="s">
        <v>109</v>
      </c>
      <c r="D560" s="71" t="s">
        <v>429</v>
      </c>
      <c r="E560" s="215" t="s">
        <v>639</v>
      </c>
      <c r="F560" s="66" t="s">
        <v>477</v>
      </c>
      <c r="G560" s="217">
        <v>373530</v>
      </c>
      <c r="H560" s="217">
        <v>373530</v>
      </c>
      <c r="I560" s="13"/>
    </row>
    <row r="561" spans="1:9" ht="15">
      <c r="A561" s="216" t="s">
        <v>151</v>
      </c>
      <c r="B561" s="84"/>
      <c r="C561" s="71" t="s">
        <v>109</v>
      </c>
      <c r="D561" s="71" t="s">
        <v>429</v>
      </c>
      <c r="E561" s="215" t="s">
        <v>640</v>
      </c>
      <c r="F561" s="66"/>
      <c r="G561" s="217">
        <f>SUM(G562)</f>
        <v>6551.2</v>
      </c>
      <c r="H561" s="217">
        <f>SUM(H562)</f>
        <v>6551.2</v>
      </c>
      <c r="I561" s="13"/>
    </row>
    <row r="562" spans="1:9" ht="28.5">
      <c r="A562" s="83" t="s">
        <v>384</v>
      </c>
      <c r="B562" s="84"/>
      <c r="C562" s="71" t="s">
        <v>109</v>
      </c>
      <c r="D562" s="71" t="s">
        <v>429</v>
      </c>
      <c r="E562" s="215" t="s">
        <v>641</v>
      </c>
      <c r="F562" s="66"/>
      <c r="G562" s="217">
        <f>SUM(G563)</f>
        <v>6551.2</v>
      </c>
      <c r="H562" s="217">
        <f>SUM(H563)</f>
        <v>6551.2</v>
      </c>
      <c r="I562" s="13"/>
    </row>
    <row r="563" spans="1:9" ht="28.5">
      <c r="A563" s="83" t="s">
        <v>484</v>
      </c>
      <c r="B563" s="84"/>
      <c r="C563" s="71" t="s">
        <v>109</v>
      </c>
      <c r="D563" s="71" t="s">
        <v>429</v>
      </c>
      <c r="E563" s="215" t="s">
        <v>641</v>
      </c>
      <c r="F563" s="66" t="s">
        <v>477</v>
      </c>
      <c r="G563" s="217">
        <v>6551.2</v>
      </c>
      <c r="H563" s="217">
        <v>6551.2</v>
      </c>
      <c r="I563" s="13"/>
    </row>
    <row r="564" spans="1:9" ht="28.5">
      <c r="A564" s="60" t="s">
        <v>47</v>
      </c>
      <c r="B564" s="84"/>
      <c r="C564" s="71" t="s">
        <v>109</v>
      </c>
      <c r="D564" s="71" t="s">
        <v>429</v>
      </c>
      <c r="E564" s="215" t="s">
        <v>642</v>
      </c>
      <c r="F564" s="214"/>
      <c r="G564" s="217">
        <f>SUM(G565:G566)</f>
        <v>57962.4</v>
      </c>
      <c r="H564" s="217">
        <f>SUM(H565:H566)</f>
        <v>57962.4</v>
      </c>
      <c r="I564" s="13"/>
    </row>
    <row r="565" spans="1:9" ht="28.5">
      <c r="A565" s="83" t="s">
        <v>461</v>
      </c>
      <c r="B565" s="84"/>
      <c r="C565" s="71" t="s">
        <v>109</v>
      </c>
      <c r="D565" s="71" t="s">
        <v>429</v>
      </c>
      <c r="E565" s="215" t="s">
        <v>642</v>
      </c>
      <c r="F565" s="66" t="s">
        <v>462</v>
      </c>
      <c r="G565" s="217">
        <v>56442.3</v>
      </c>
      <c r="H565" s="217">
        <v>56442.3</v>
      </c>
      <c r="I565" s="13"/>
    </row>
    <row r="566" spans="1:9" ht="15">
      <c r="A566" s="83" t="s">
        <v>463</v>
      </c>
      <c r="B566" s="84"/>
      <c r="C566" s="71" t="s">
        <v>109</v>
      </c>
      <c r="D566" s="71" t="s">
        <v>429</v>
      </c>
      <c r="E566" s="215" t="s">
        <v>642</v>
      </c>
      <c r="F566" s="66" t="s">
        <v>112</v>
      </c>
      <c r="G566" s="217">
        <v>1520.1</v>
      </c>
      <c r="H566" s="217">
        <v>1520.1</v>
      </c>
      <c r="I566" s="13"/>
    </row>
    <row r="567" spans="1:9" ht="15" hidden="1">
      <c r="A567" s="54" t="s">
        <v>563</v>
      </c>
      <c r="B567" s="141"/>
      <c r="C567" s="67" t="s">
        <v>109</v>
      </c>
      <c r="D567" s="67" t="s">
        <v>429</v>
      </c>
      <c r="E567" s="67" t="s">
        <v>122</v>
      </c>
      <c r="F567" s="138"/>
      <c r="G567" s="175">
        <f>G568</f>
        <v>0</v>
      </c>
      <c r="H567" s="175">
        <f>H568</f>
        <v>0</v>
      </c>
      <c r="I567" s="13">
        <f>SUM(H567/G570*100)</f>
        <v>0</v>
      </c>
    </row>
    <row r="568" spans="1:9" ht="28.5" hidden="1">
      <c r="A568" s="54" t="s">
        <v>571</v>
      </c>
      <c r="B568" s="139"/>
      <c r="C568" s="67" t="s">
        <v>109</v>
      </c>
      <c r="D568" s="67" t="s">
        <v>429</v>
      </c>
      <c r="E568" s="67" t="s">
        <v>336</v>
      </c>
      <c r="F568" s="138"/>
      <c r="G568" s="175">
        <f>G569</f>
        <v>0</v>
      </c>
      <c r="H568" s="175">
        <f>H569</f>
        <v>0</v>
      </c>
      <c r="I568" s="13">
        <f>SUM(H568/G571*100)</f>
        <v>0</v>
      </c>
    </row>
    <row r="569" spans="1:9" ht="15" hidden="1">
      <c r="A569" s="56" t="s">
        <v>471</v>
      </c>
      <c r="B569" s="142"/>
      <c r="C569" s="67" t="s">
        <v>109</v>
      </c>
      <c r="D569" s="67" t="s">
        <v>429</v>
      </c>
      <c r="E569" s="67" t="s">
        <v>336</v>
      </c>
      <c r="F569" s="138" t="s">
        <v>472</v>
      </c>
      <c r="G569" s="175"/>
      <c r="H569" s="175"/>
      <c r="I569" s="13"/>
    </row>
    <row r="570" spans="1:9" ht="15">
      <c r="A570" s="54" t="s">
        <v>323</v>
      </c>
      <c r="B570" s="139"/>
      <c r="C570" s="67" t="s">
        <v>109</v>
      </c>
      <c r="D570" s="67" t="s">
        <v>431</v>
      </c>
      <c r="E570" s="67"/>
      <c r="F570" s="138"/>
      <c r="G570" s="175">
        <f>SUM(G571+G579+G585+G590)</f>
        <v>882428.0000000001</v>
      </c>
      <c r="H570" s="175">
        <f>SUM(H571+H579+H585+H590)</f>
        <v>891967.1000000001</v>
      </c>
      <c r="I570" s="13"/>
    </row>
    <row r="571" spans="1:9" ht="15">
      <c r="A571" s="54" t="s">
        <v>324</v>
      </c>
      <c r="B571" s="139"/>
      <c r="C571" s="67" t="s">
        <v>109</v>
      </c>
      <c r="D571" s="67" t="s">
        <v>431</v>
      </c>
      <c r="E571" s="67" t="s">
        <v>325</v>
      </c>
      <c r="F571" s="138"/>
      <c r="G571" s="175">
        <f>G572+G575</f>
        <v>176244.2</v>
      </c>
      <c r="H571" s="175">
        <f>H572+H575</f>
        <v>185783.40000000002</v>
      </c>
      <c r="I571" s="13"/>
    </row>
    <row r="572" spans="1:9" ht="15">
      <c r="A572" s="54" t="s">
        <v>11</v>
      </c>
      <c r="B572" s="139"/>
      <c r="C572" s="67" t="s">
        <v>109</v>
      </c>
      <c r="D572" s="67" t="s">
        <v>431</v>
      </c>
      <c r="E572" s="67" t="s">
        <v>80</v>
      </c>
      <c r="F572" s="138"/>
      <c r="G572" s="175">
        <f>G573</f>
        <v>90171</v>
      </c>
      <c r="H572" s="175">
        <f>H573</f>
        <v>90171</v>
      </c>
      <c r="I572" s="13" t="e">
        <f>SUM(H572/#REF!*100)</f>
        <v>#REF!</v>
      </c>
    </row>
    <row r="573" spans="1:9" ht="28.5">
      <c r="A573" s="54" t="s">
        <v>189</v>
      </c>
      <c r="B573" s="139"/>
      <c r="C573" s="67" t="s">
        <v>109</v>
      </c>
      <c r="D573" s="67" t="s">
        <v>431</v>
      </c>
      <c r="E573" s="67" t="s">
        <v>81</v>
      </c>
      <c r="F573" s="138"/>
      <c r="G573" s="175">
        <f>SUM(G574)</f>
        <v>90171</v>
      </c>
      <c r="H573" s="175">
        <f>SUM(H574)</f>
        <v>90171</v>
      </c>
      <c r="I573" s="13"/>
    </row>
    <row r="574" spans="1:9" ht="28.5">
      <c r="A574" s="54" t="s">
        <v>480</v>
      </c>
      <c r="B574" s="139"/>
      <c r="C574" s="67" t="s">
        <v>109</v>
      </c>
      <c r="D574" s="67" t="s">
        <v>431</v>
      </c>
      <c r="E574" s="67" t="s">
        <v>81</v>
      </c>
      <c r="F574" s="138" t="s">
        <v>477</v>
      </c>
      <c r="G574" s="175">
        <v>90171</v>
      </c>
      <c r="H574" s="175">
        <v>90171</v>
      </c>
      <c r="I574" s="13"/>
    </row>
    <row r="575" spans="1:9" ht="28.5">
      <c r="A575" s="54" t="s">
        <v>47</v>
      </c>
      <c r="B575" s="139"/>
      <c r="C575" s="67" t="s">
        <v>109</v>
      </c>
      <c r="D575" s="67" t="s">
        <v>431</v>
      </c>
      <c r="E575" s="67" t="s">
        <v>326</v>
      </c>
      <c r="F575" s="138"/>
      <c r="G575" s="175">
        <f>SUM(G576+G577+G578)</f>
        <v>86073.2</v>
      </c>
      <c r="H575" s="175">
        <f>SUM(H576+H577+H578)</f>
        <v>95612.40000000001</v>
      </c>
      <c r="I575" s="13"/>
    </row>
    <row r="576" spans="1:9" ht="28.5">
      <c r="A576" s="54" t="s">
        <v>461</v>
      </c>
      <c r="B576" s="139"/>
      <c r="C576" s="67" t="s">
        <v>109</v>
      </c>
      <c r="D576" s="67" t="s">
        <v>431</v>
      </c>
      <c r="E576" s="67" t="s">
        <v>326</v>
      </c>
      <c r="F576" s="138" t="s">
        <v>462</v>
      </c>
      <c r="G576" s="175">
        <v>34441.3</v>
      </c>
      <c r="H576" s="175">
        <v>34441.3</v>
      </c>
      <c r="I576" s="13"/>
    </row>
    <row r="577" spans="1:9" ht="15">
      <c r="A577" s="54" t="s">
        <v>463</v>
      </c>
      <c r="B577" s="139"/>
      <c r="C577" s="67" t="s">
        <v>109</v>
      </c>
      <c r="D577" s="67" t="s">
        <v>431</v>
      </c>
      <c r="E577" s="67" t="s">
        <v>326</v>
      </c>
      <c r="F577" s="138" t="s">
        <v>112</v>
      </c>
      <c r="G577" s="175">
        <v>38506.2</v>
      </c>
      <c r="H577" s="175">
        <v>48045.4</v>
      </c>
      <c r="I577" s="13"/>
    </row>
    <row r="578" spans="1:9" ht="15">
      <c r="A578" s="54" t="s">
        <v>467</v>
      </c>
      <c r="B578" s="142"/>
      <c r="C578" s="67" t="s">
        <v>109</v>
      </c>
      <c r="D578" s="67" t="s">
        <v>431</v>
      </c>
      <c r="E578" s="67" t="s">
        <v>326</v>
      </c>
      <c r="F578" s="143">
        <v>800</v>
      </c>
      <c r="G578" s="175">
        <v>13125.7</v>
      </c>
      <c r="H578" s="175">
        <v>13125.7</v>
      </c>
      <c r="I578" s="13"/>
    </row>
    <row r="579" spans="1:9" ht="15">
      <c r="A579" s="54" t="s">
        <v>581</v>
      </c>
      <c r="B579" s="64"/>
      <c r="C579" s="67" t="s">
        <v>109</v>
      </c>
      <c r="D579" s="67" t="s">
        <v>431</v>
      </c>
      <c r="E579" s="67" t="s">
        <v>306</v>
      </c>
      <c r="F579" s="138"/>
      <c r="G579" s="175">
        <f>SUM(G580)</f>
        <v>53681.6</v>
      </c>
      <c r="H579" s="175">
        <f>SUM(H580)</f>
        <v>53681.6</v>
      </c>
      <c r="I579" s="13"/>
    </row>
    <row r="580" spans="1:9" ht="15">
      <c r="A580" s="54" t="s">
        <v>570</v>
      </c>
      <c r="B580" s="139"/>
      <c r="C580" s="67" t="s">
        <v>109</v>
      </c>
      <c r="D580" s="67" t="s">
        <v>431</v>
      </c>
      <c r="E580" s="67" t="s">
        <v>71</v>
      </c>
      <c r="F580" s="138"/>
      <c r="G580" s="175">
        <f>SUM(G583)</f>
        <v>53681.6</v>
      </c>
      <c r="H580" s="175">
        <f>SUM(H583)</f>
        <v>53681.6</v>
      </c>
      <c r="I580" s="13">
        <f>SUM(H580/G583*100)</f>
        <v>100</v>
      </c>
    </row>
    <row r="581" spans="1:9" s="15" customFormat="1" ht="57" hidden="1">
      <c r="A581" s="54" t="s">
        <v>194</v>
      </c>
      <c r="B581" s="139"/>
      <c r="C581" s="67" t="s">
        <v>109</v>
      </c>
      <c r="D581" s="67" t="s">
        <v>431</v>
      </c>
      <c r="E581" s="67" t="s">
        <v>195</v>
      </c>
      <c r="F581" s="138"/>
      <c r="G581" s="175">
        <f>SUM(G582)</f>
        <v>0</v>
      </c>
      <c r="H581" s="175">
        <f>SUM(H582)</f>
        <v>0</v>
      </c>
      <c r="I581" s="13"/>
    </row>
    <row r="582" spans="1:9" s="15" customFormat="1" ht="15" hidden="1">
      <c r="A582" s="54" t="s">
        <v>151</v>
      </c>
      <c r="B582" s="139"/>
      <c r="C582" s="67" t="s">
        <v>109</v>
      </c>
      <c r="D582" s="67" t="s">
        <v>431</v>
      </c>
      <c r="E582" s="67" t="s">
        <v>195</v>
      </c>
      <c r="F582" s="138" t="s">
        <v>76</v>
      </c>
      <c r="G582" s="175"/>
      <c r="H582" s="175"/>
      <c r="I582" s="13">
        <f>SUM(H582/G585*100)</f>
        <v>0</v>
      </c>
    </row>
    <row r="583" spans="1:9" s="15" customFormat="1" ht="28.5">
      <c r="A583" s="54" t="s">
        <v>86</v>
      </c>
      <c r="B583" s="139"/>
      <c r="C583" s="67" t="s">
        <v>109</v>
      </c>
      <c r="D583" s="67" t="s">
        <v>431</v>
      </c>
      <c r="E583" s="67" t="s">
        <v>72</v>
      </c>
      <c r="F583" s="138"/>
      <c r="G583" s="175">
        <f>SUM(G584)</f>
        <v>53681.6</v>
      </c>
      <c r="H583" s="175">
        <f>SUM(H584)</f>
        <v>53681.6</v>
      </c>
      <c r="I583" s="13"/>
    </row>
    <row r="584" spans="1:9" ht="28.5">
      <c r="A584" s="54" t="s">
        <v>480</v>
      </c>
      <c r="B584" s="139"/>
      <c r="C584" s="67" t="s">
        <v>109</v>
      </c>
      <c r="D584" s="67" t="s">
        <v>431</v>
      </c>
      <c r="E584" s="67" t="s">
        <v>72</v>
      </c>
      <c r="F584" s="138" t="s">
        <v>477</v>
      </c>
      <c r="G584" s="175">
        <v>53681.6</v>
      </c>
      <c r="H584" s="175">
        <v>53681.6</v>
      </c>
      <c r="I584" s="13"/>
    </row>
    <row r="585" spans="1:9" ht="15">
      <c r="A585" s="54" t="s">
        <v>314</v>
      </c>
      <c r="B585" s="64"/>
      <c r="C585" s="67" t="s">
        <v>109</v>
      </c>
      <c r="D585" s="67" t="s">
        <v>431</v>
      </c>
      <c r="E585" s="67" t="s">
        <v>315</v>
      </c>
      <c r="F585" s="138"/>
      <c r="G585" s="175">
        <f>SUM(G586)</f>
        <v>6876.1</v>
      </c>
      <c r="H585" s="175">
        <f>SUM(H586)</f>
        <v>6876.000000000001</v>
      </c>
      <c r="I585" s="13">
        <f>SUM(H585/G588*100)</f>
        <v>228.82625045758599</v>
      </c>
    </row>
    <row r="586" spans="1:9" ht="28.5">
      <c r="A586" s="54" t="s">
        <v>47</v>
      </c>
      <c r="B586" s="139"/>
      <c r="C586" s="67" t="s">
        <v>109</v>
      </c>
      <c r="D586" s="67" t="s">
        <v>431</v>
      </c>
      <c r="E586" s="67" t="s">
        <v>316</v>
      </c>
      <c r="F586" s="138"/>
      <c r="G586" s="175">
        <f>SUM(G587+G588+G589)</f>
        <v>6876.1</v>
      </c>
      <c r="H586" s="175">
        <f>SUM(H587+H588+H589)</f>
        <v>6876.000000000001</v>
      </c>
      <c r="I586" s="13"/>
    </row>
    <row r="587" spans="1:9" ht="28.5">
      <c r="A587" s="54" t="s">
        <v>461</v>
      </c>
      <c r="B587" s="139"/>
      <c r="C587" s="67" t="s">
        <v>109</v>
      </c>
      <c r="D587" s="67" t="s">
        <v>431</v>
      </c>
      <c r="E587" s="67" t="s">
        <v>572</v>
      </c>
      <c r="F587" s="138" t="s">
        <v>462</v>
      </c>
      <c r="G587" s="175">
        <v>2688.4</v>
      </c>
      <c r="H587" s="175">
        <v>2688.4</v>
      </c>
      <c r="I587" s="13" t="e">
        <f>SUM(H587/#REF!*100)</f>
        <v>#REF!</v>
      </c>
    </row>
    <row r="588" spans="1:9" ht="15">
      <c r="A588" s="54" t="s">
        <v>463</v>
      </c>
      <c r="B588" s="139"/>
      <c r="C588" s="67" t="s">
        <v>109</v>
      </c>
      <c r="D588" s="67" t="s">
        <v>431</v>
      </c>
      <c r="E588" s="67" t="s">
        <v>258</v>
      </c>
      <c r="F588" s="138" t="s">
        <v>112</v>
      </c>
      <c r="G588" s="175">
        <v>3004.9</v>
      </c>
      <c r="H588" s="175">
        <v>3004.8</v>
      </c>
      <c r="I588" s="13" t="e">
        <f>SUM(H588/#REF!*100)</f>
        <v>#REF!</v>
      </c>
    </row>
    <row r="589" spans="1:9" ht="15">
      <c r="A589" s="54" t="s">
        <v>467</v>
      </c>
      <c r="B589" s="139"/>
      <c r="C589" s="67" t="s">
        <v>109</v>
      </c>
      <c r="D589" s="67" t="s">
        <v>431</v>
      </c>
      <c r="E589" s="67" t="s">
        <v>258</v>
      </c>
      <c r="F589" s="138" t="s">
        <v>161</v>
      </c>
      <c r="G589" s="175">
        <v>1182.8</v>
      </c>
      <c r="H589" s="175">
        <v>1182.8</v>
      </c>
      <c r="I589" s="13" t="e">
        <f>SUM(H589/#REF!*100)</f>
        <v>#REF!</v>
      </c>
    </row>
    <row r="590" spans="1:9" ht="28.5">
      <c r="A590" s="212" t="s">
        <v>643</v>
      </c>
      <c r="B590" s="84"/>
      <c r="C590" s="70" t="s">
        <v>109</v>
      </c>
      <c r="D590" s="70" t="s">
        <v>431</v>
      </c>
      <c r="E590" s="213" t="s">
        <v>644</v>
      </c>
      <c r="F590" s="218"/>
      <c r="G590" s="217">
        <f>G591+G597+G603</f>
        <v>645626.1000000001</v>
      </c>
      <c r="H590" s="217">
        <f>H591+H597+H603</f>
        <v>645626.1000000001</v>
      </c>
      <c r="I590" s="13"/>
    </row>
    <row r="591" spans="1:9" ht="99.75">
      <c r="A591" s="212" t="s">
        <v>645</v>
      </c>
      <c r="B591" s="68"/>
      <c r="C591" s="71" t="s">
        <v>109</v>
      </c>
      <c r="D591" s="71" t="s">
        <v>431</v>
      </c>
      <c r="E591" s="215" t="s">
        <v>646</v>
      </c>
      <c r="F591" s="66"/>
      <c r="G591" s="217">
        <f>SUM(G592+G594)</f>
        <v>52910.700000000004</v>
      </c>
      <c r="H591" s="217">
        <f>SUM(H592+H594)</f>
        <v>52910.700000000004</v>
      </c>
      <c r="I591" s="13"/>
    </row>
    <row r="592" spans="1:9" ht="42.75">
      <c r="A592" s="212" t="s">
        <v>647</v>
      </c>
      <c r="B592" s="68"/>
      <c r="C592" s="71" t="s">
        <v>109</v>
      </c>
      <c r="D592" s="71" t="s">
        <v>431</v>
      </c>
      <c r="E592" s="215" t="s">
        <v>648</v>
      </c>
      <c r="F592" s="66"/>
      <c r="G592" s="217">
        <f>G593</f>
        <v>6181.3</v>
      </c>
      <c r="H592" s="217">
        <f>H593</f>
        <v>6181.3</v>
      </c>
      <c r="I592" s="13"/>
    </row>
    <row r="593" spans="1:9" ht="28.5">
      <c r="A593" s="83" t="s">
        <v>480</v>
      </c>
      <c r="B593" s="68"/>
      <c r="C593" s="71" t="s">
        <v>109</v>
      </c>
      <c r="D593" s="71" t="s">
        <v>431</v>
      </c>
      <c r="E593" s="215" t="s">
        <v>648</v>
      </c>
      <c r="F593" s="66" t="s">
        <v>477</v>
      </c>
      <c r="G593" s="217">
        <v>6181.3</v>
      </c>
      <c r="H593" s="217">
        <v>6181.3</v>
      </c>
      <c r="I593" s="13"/>
    </row>
    <row r="594" spans="1:9" ht="85.5">
      <c r="A594" s="212" t="s">
        <v>649</v>
      </c>
      <c r="B594" s="68"/>
      <c r="C594" s="71" t="s">
        <v>109</v>
      </c>
      <c r="D594" s="71" t="s">
        <v>431</v>
      </c>
      <c r="E594" s="215" t="s">
        <v>650</v>
      </c>
      <c r="F594" s="66"/>
      <c r="G594" s="217">
        <f>G595+G596</f>
        <v>46729.4</v>
      </c>
      <c r="H594" s="217">
        <f>H595+H596</f>
        <v>46729.4</v>
      </c>
      <c r="I594" s="13"/>
    </row>
    <row r="595" spans="1:9" ht="28.5">
      <c r="A595" s="83" t="s">
        <v>461</v>
      </c>
      <c r="B595" s="84"/>
      <c r="C595" s="71" t="s">
        <v>109</v>
      </c>
      <c r="D595" s="71" t="s">
        <v>431</v>
      </c>
      <c r="E595" s="215" t="s">
        <v>650</v>
      </c>
      <c r="F595" s="66" t="s">
        <v>462</v>
      </c>
      <c r="G595" s="217">
        <v>42416.4</v>
      </c>
      <c r="H595" s="217">
        <v>42416.4</v>
      </c>
      <c r="I595" s="13"/>
    </row>
    <row r="596" spans="1:9" ht="15">
      <c r="A596" s="83" t="s">
        <v>463</v>
      </c>
      <c r="B596" s="84"/>
      <c r="C596" s="71" t="s">
        <v>109</v>
      </c>
      <c r="D596" s="71" t="s">
        <v>431</v>
      </c>
      <c r="E596" s="215" t="s">
        <v>650</v>
      </c>
      <c r="F596" s="66" t="s">
        <v>112</v>
      </c>
      <c r="G596" s="217">
        <f>46729.4-42416.4</f>
        <v>4313</v>
      </c>
      <c r="H596" s="217">
        <f>46729.4-42416.4</f>
        <v>4313</v>
      </c>
      <c r="I596" s="13"/>
    </row>
    <row r="597" spans="1:9" ht="15">
      <c r="A597" s="60" t="s">
        <v>570</v>
      </c>
      <c r="B597" s="84"/>
      <c r="C597" s="71" t="s">
        <v>109</v>
      </c>
      <c r="D597" s="71" t="s">
        <v>431</v>
      </c>
      <c r="E597" s="215" t="s">
        <v>651</v>
      </c>
      <c r="F597" s="66"/>
      <c r="G597" s="217">
        <f>SUM(G598+G600)</f>
        <v>305620.10000000003</v>
      </c>
      <c r="H597" s="217">
        <f>SUM(H598+H600)</f>
        <v>305620.10000000003</v>
      </c>
      <c r="I597" s="13"/>
    </row>
    <row r="598" spans="1:9" ht="28.5">
      <c r="A598" s="60" t="s">
        <v>86</v>
      </c>
      <c r="B598" s="84"/>
      <c r="C598" s="71" t="s">
        <v>109</v>
      </c>
      <c r="D598" s="71" t="s">
        <v>431</v>
      </c>
      <c r="E598" s="215" t="s">
        <v>652</v>
      </c>
      <c r="F598" s="66"/>
      <c r="G598" s="217">
        <f>SUM(G599)</f>
        <v>302980.7</v>
      </c>
      <c r="H598" s="217">
        <f>SUM(H599)</f>
        <v>302980.7</v>
      </c>
      <c r="I598" s="13"/>
    </row>
    <row r="599" spans="1:9" ht="28.5">
      <c r="A599" s="83" t="s">
        <v>480</v>
      </c>
      <c r="B599" s="68"/>
      <c r="C599" s="71" t="s">
        <v>109</v>
      </c>
      <c r="D599" s="71" t="s">
        <v>431</v>
      </c>
      <c r="E599" s="215" t="s">
        <v>652</v>
      </c>
      <c r="F599" s="66" t="s">
        <v>477</v>
      </c>
      <c r="G599" s="217">
        <f>72508.4+233111.7-505.1-2134.3</f>
        <v>302980.7</v>
      </c>
      <c r="H599" s="217">
        <f>72508.4+233111.7-505.1-2134.3</f>
        <v>302980.7</v>
      </c>
      <c r="I599" s="13"/>
    </row>
    <row r="600" spans="1:9" ht="15">
      <c r="A600" s="216" t="s">
        <v>151</v>
      </c>
      <c r="B600" s="68"/>
      <c r="C600" s="71" t="s">
        <v>109</v>
      </c>
      <c r="D600" s="71" t="s">
        <v>431</v>
      </c>
      <c r="E600" s="215" t="s">
        <v>653</v>
      </c>
      <c r="F600" s="66"/>
      <c r="G600" s="217">
        <f>SUM(G601)</f>
        <v>2639.4</v>
      </c>
      <c r="H600" s="217">
        <f>SUM(H601)</f>
        <v>2639.4</v>
      </c>
      <c r="I600" s="13"/>
    </row>
    <row r="601" spans="1:9" ht="28.5">
      <c r="A601" s="83" t="s">
        <v>384</v>
      </c>
      <c r="B601" s="68"/>
      <c r="C601" s="71" t="s">
        <v>109</v>
      </c>
      <c r="D601" s="71" t="s">
        <v>431</v>
      </c>
      <c r="E601" s="215" t="s">
        <v>654</v>
      </c>
      <c r="F601" s="66"/>
      <c r="G601" s="217">
        <f>SUM(G602)</f>
        <v>2639.4</v>
      </c>
      <c r="H601" s="217">
        <f>SUM(H602)</f>
        <v>2639.4</v>
      </c>
      <c r="I601" s="13"/>
    </row>
    <row r="602" spans="1:9" ht="28.5">
      <c r="A602" s="83" t="s">
        <v>484</v>
      </c>
      <c r="B602" s="84"/>
      <c r="C602" s="71" t="s">
        <v>109</v>
      </c>
      <c r="D602" s="71" t="s">
        <v>431</v>
      </c>
      <c r="E602" s="215" t="s">
        <v>654</v>
      </c>
      <c r="F602" s="66" t="s">
        <v>477</v>
      </c>
      <c r="G602" s="217">
        <f>505.1+2134.3</f>
        <v>2639.4</v>
      </c>
      <c r="H602" s="217">
        <f>505.1+2134.3</f>
        <v>2639.4</v>
      </c>
      <c r="I602" s="13"/>
    </row>
    <row r="603" spans="1:9" ht="71.25">
      <c r="A603" s="212" t="s">
        <v>655</v>
      </c>
      <c r="B603" s="68"/>
      <c r="C603" s="71" t="s">
        <v>109</v>
      </c>
      <c r="D603" s="71" t="s">
        <v>431</v>
      </c>
      <c r="E603" s="215" t="s">
        <v>656</v>
      </c>
      <c r="F603" s="66"/>
      <c r="G603" s="217">
        <f>SUM(G604:G605)</f>
        <v>287095.3</v>
      </c>
      <c r="H603" s="217">
        <f>SUM(H604:H605)</f>
        <v>287095.3</v>
      </c>
      <c r="I603" s="13"/>
    </row>
    <row r="604" spans="1:9" ht="28.5">
      <c r="A604" s="83" t="s">
        <v>461</v>
      </c>
      <c r="B604" s="68"/>
      <c r="C604" s="71" t="s">
        <v>109</v>
      </c>
      <c r="D604" s="71" t="s">
        <v>431</v>
      </c>
      <c r="E604" s="215" t="s">
        <v>656</v>
      </c>
      <c r="F604" s="66" t="s">
        <v>462</v>
      </c>
      <c r="G604" s="217">
        <v>283572.6</v>
      </c>
      <c r="H604" s="217">
        <v>283572.6</v>
      </c>
      <c r="I604" s="13"/>
    </row>
    <row r="605" spans="1:9" ht="15">
      <c r="A605" s="83" t="s">
        <v>463</v>
      </c>
      <c r="B605" s="68"/>
      <c r="C605" s="71" t="s">
        <v>109</v>
      </c>
      <c r="D605" s="71" t="s">
        <v>431</v>
      </c>
      <c r="E605" s="215" t="s">
        <v>656</v>
      </c>
      <c r="F605" s="66" t="s">
        <v>112</v>
      </c>
      <c r="G605" s="217">
        <f>287095.3-283572.6</f>
        <v>3522.7000000000116</v>
      </c>
      <c r="H605" s="217">
        <f>287095.3-283572.6</f>
        <v>3522.7000000000116</v>
      </c>
      <c r="I605" s="13"/>
    </row>
    <row r="606" spans="1:9" ht="15">
      <c r="A606" s="54" t="s">
        <v>110</v>
      </c>
      <c r="B606" s="64"/>
      <c r="C606" s="67" t="s">
        <v>109</v>
      </c>
      <c r="D606" s="67" t="s">
        <v>109</v>
      </c>
      <c r="E606" s="67"/>
      <c r="F606" s="138"/>
      <c r="G606" s="175">
        <f>SUM(G611+G618+G607+G623)</f>
        <v>2414.5</v>
      </c>
      <c r="H606" s="175">
        <f>SUM(H611+H618+H607+H623)</f>
        <v>2414.5</v>
      </c>
      <c r="I606" s="13" t="e">
        <f aca="true" t="shared" si="28" ref="I606:I613">SUM(H606/G609*100)</f>
        <v>#DIV/0!</v>
      </c>
    </row>
    <row r="607" spans="1:9" ht="15" hidden="1">
      <c r="A607" s="54" t="s">
        <v>376</v>
      </c>
      <c r="B607" s="64"/>
      <c r="C607" s="67" t="s">
        <v>109</v>
      </c>
      <c r="D607" s="67" t="s">
        <v>109</v>
      </c>
      <c r="E607" s="67" t="s">
        <v>378</v>
      </c>
      <c r="F607" s="138"/>
      <c r="G607" s="175">
        <f>SUM(G608)</f>
        <v>0</v>
      </c>
      <c r="H607" s="175">
        <f>SUM(H608)</f>
        <v>0</v>
      </c>
      <c r="I607" s="13" t="e">
        <f t="shared" si="28"/>
        <v>#DIV/0!</v>
      </c>
    </row>
    <row r="608" spans="1:9" ht="15" hidden="1">
      <c r="A608" s="54" t="s">
        <v>357</v>
      </c>
      <c r="B608" s="64"/>
      <c r="C608" s="67" t="s">
        <v>109</v>
      </c>
      <c r="D608" s="67" t="s">
        <v>109</v>
      </c>
      <c r="E608" s="67" t="s">
        <v>358</v>
      </c>
      <c r="F608" s="138"/>
      <c r="G608" s="175">
        <f>SUM(G609+G610)</f>
        <v>0</v>
      </c>
      <c r="H608" s="175">
        <f>SUM(H609+H610)</f>
        <v>0</v>
      </c>
      <c r="I608" s="13">
        <f t="shared" si="28"/>
        <v>0</v>
      </c>
    </row>
    <row r="609" spans="1:9" ht="15" hidden="1">
      <c r="A609" s="54" t="s">
        <v>239</v>
      </c>
      <c r="B609" s="64"/>
      <c r="C609" s="67" t="s">
        <v>109</v>
      </c>
      <c r="D609" s="67" t="s">
        <v>109</v>
      </c>
      <c r="E609" s="67" t="s">
        <v>358</v>
      </c>
      <c r="F609" s="138" t="s">
        <v>240</v>
      </c>
      <c r="G609" s="175"/>
      <c r="H609" s="175"/>
      <c r="I609" s="13" t="e">
        <f t="shared" si="28"/>
        <v>#DIV/0!</v>
      </c>
    </row>
    <row r="610" spans="1:9" ht="15" hidden="1">
      <c r="A610" s="54" t="s">
        <v>207</v>
      </c>
      <c r="B610" s="64"/>
      <c r="C610" s="67" t="s">
        <v>109</v>
      </c>
      <c r="D610" s="67" t="s">
        <v>109</v>
      </c>
      <c r="E610" s="67" t="s">
        <v>358</v>
      </c>
      <c r="F610" s="138" t="s">
        <v>208</v>
      </c>
      <c r="G610" s="175"/>
      <c r="H610" s="175"/>
      <c r="I610" s="13" t="e">
        <f t="shared" si="28"/>
        <v>#DIV/0!</v>
      </c>
    </row>
    <row r="611" spans="1:9" ht="15">
      <c r="A611" s="54" t="s">
        <v>209</v>
      </c>
      <c r="B611" s="64"/>
      <c r="C611" s="67" t="s">
        <v>109</v>
      </c>
      <c r="D611" s="67" t="s">
        <v>109</v>
      </c>
      <c r="E611" s="67" t="s">
        <v>210</v>
      </c>
      <c r="F611" s="138"/>
      <c r="G611" s="175">
        <f>SUM(G614+G612)</f>
        <v>1914.5</v>
      </c>
      <c r="H611" s="175">
        <f>SUM(H614+H612)</f>
        <v>1914.5</v>
      </c>
      <c r="I611" s="13">
        <f t="shared" si="28"/>
        <v>100</v>
      </c>
    </row>
    <row r="612" spans="1:9" ht="28.5" hidden="1">
      <c r="A612" s="54" t="s">
        <v>249</v>
      </c>
      <c r="B612" s="64"/>
      <c r="C612" s="67" t="s">
        <v>109</v>
      </c>
      <c r="D612" s="67" t="s">
        <v>109</v>
      </c>
      <c r="E612" s="67" t="s">
        <v>196</v>
      </c>
      <c r="F612" s="138"/>
      <c r="G612" s="175"/>
      <c r="H612" s="175"/>
      <c r="I612" s="13">
        <f t="shared" si="28"/>
        <v>0</v>
      </c>
    </row>
    <row r="613" spans="1:9" ht="15" hidden="1">
      <c r="A613" s="54" t="s">
        <v>48</v>
      </c>
      <c r="B613" s="64"/>
      <c r="C613" s="67" t="s">
        <v>109</v>
      </c>
      <c r="D613" s="67" t="s">
        <v>109</v>
      </c>
      <c r="E613" s="67" t="s">
        <v>196</v>
      </c>
      <c r="F613" s="138"/>
      <c r="G613" s="175"/>
      <c r="H613" s="175"/>
      <c r="I613" s="13">
        <f t="shared" si="28"/>
        <v>0</v>
      </c>
    </row>
    <row r="614" spans="1:9" ht="28.5">
      <c r="A614" s="54" t="s">
        <v>47</v>
      </c>
      <c r="B614" s="64"/>
      <c r="C614" s="67" t="s">
        <v>109</v>
      </c>
      <c r="D614" s="67" t="s">
        <v>109</v>
      </c>
      <c r="E614" s="67" t="s">
        <v>213</v>
      </c>
      <c r="F614" s="138"/>
      <c r="G614" s="175">
        <f>SUM(G615+G616+G617)</f>
        <v>1914.5</v>
      </c>
      <c r="H614" s="175">
        <f>SUM(H615+H616+H617)</f>
        <v>1914.5</v>
      </c>
      <c r="I614" s="13"/>
    </row>
    <row r="615" spans="1:9" s="15" customFormat="1" ht="28.5">
      <c r="A615" s="54" t="s">
        <v>461</v>
      </c>
      <c r="B615" s="64"/>
      <c r="C615" s="67" t="s">
        <v>109</v>
      </c>
      <c r="D615" s="67" t="s">
        <v>109</v>
      </c>
      <c r="E615" s="67" t="s">
        <v>213</v>
      </c>
      <c r="F615" s="138" t="s">
        <v>462</v>
      </c>
      <c r="G615" s="175">
        <v>1714.3</v>
      </c>
      <c r="H615" s="175">
        <v>1714.3</v>
      </c>
      <c r="I615" s="13"/>
    </row>
    <row r="616" spans="1:9" s="15" customFormat="1" ht="15">
      <c r="A616" s="54" t="s">
        <v>463</v>
      </c>
      <c r="B616" s="64"/>
      <c r="C616" s="67" t="s">
        <v>109</v>
      </c>
      <c r="D616" s="67" t="s">
        <v>109</v>
      </c>
      <c r="E616" s="67" t="s">
        <v>213</v>
      </c>
      <c r="F616" s="138" t="s">
        <v>112</v>
      </c>
      <c r="G616" s="175">
        <v>188.4</v>
      </c>
      <c r="H616" s="175">
        <v>188.4</v>
      </c>
      <c r="I616" s="13"/>
    </row>
    <row r="617" spans="1:9" s="15" customFormat="1" ht="15">
      <c r="A617" s="54" t="s">
        <v>467</v>
      </c>
      <c r="B617" s="64"/>
      <c r="C617" s="67" t="s">
        <v>109</v>
      </c>
      <c r="D617" s="67" t="s">
        <v>109</v>
      </c>
      <c r="E617" s="67" t="s">
        <v>213</v>
      </c>
      <c r="F617" s="138" t="s">
        <v>161</v>
      </c>
      <c r="G617" s="175">
        <v>11.8</v>
      </c>
      <c r="H617" s="175">
        <v>11.8</v>
      </c>
      <c r="I617" s="13"/>
    </row>
    <row r="618" spans="1:9" ht="15">
      <c r="A618" s="63" t="s">
        <v>214</v>
      </c>
      <c r="B618" s="64"/>
      <c r="C618" s="67" t="s">
        <v>109</v>
      </c>
      <c r="D618" s="67" t="s">
        <v>109</v>
      </c>
      <c r="E618" s="67" t="s">
        <v>111</v>
      </c>
      <c r="F618" s="138"/>
      <c r="G618" s="175">
        <f aca="true" t="shared" si="29" ref="G618:H621">SUM(G619)</f>
        <v>500</v>
      </c>
      <c r="H618" s="175">
        <f t="shared" si="29"/>
        <v>500</v>
      </c>
      <c r="I618" s="13"/>
    </row>
    <row r="619" spans="1:9" ht="28.5">
      <c r="A619" s="63" t="s">
        <v>82</v>
      </c>
      <c r="B619" s="64"/>
      <c r="C619" s="67" t="s">
        <v>109</v>
      </c>
      <c r="D619" s="67" t="s">
        <v>109</v>
      </c>
      <c r="E619" s="67" t="s">
        <v>83</v>
      </c>
      <c r="F619" s="138"/>
      <c r="G619" s="175">
        <f t="shared" si="29"/>
        <v>500</v>
      </c>
      <c r="H619" s="175">
        <f t="shared" si="29"/>
        <v>500</v>
      </c>
      <c r="I619" s="13"/>
    </row>
    <row r="620" spans="1:9" ht="42.75">
      <c r="A620" s="63" t="s">
        <v>84</v>
      </c>
      <c r="B620" s="64"/>
      <c r="C620" s="67" t="s">
        <v>109</v>
      </c>
      <c r="D620" s="67" t="s">
        <v>109</v>
      </c>
      <c r="E620" s="67" t="s">
        <v>85</v>
      </c>
      <c r="F620" s="138"/>
      <c r="G620" s="175">
        <f t="shared" si="29"/>
        <v>500</v>
      </c>
      <c r="H620" s="175">
        <f t="shared" si="29"/>
        <v>500</v>
      </c>
      <c r="I620" s="13" t="e">
        <f>SUM(H620/G623*100)</f>
        <v>#DIV/0!</v>
      </c>
    </row>
    <row r="621" spans="1:9" ht="15">
      <c r="A621" s="54" t="s">
        <v>48</v>
      </c>
      <c r="B621" s="64"/>
      <c r="C621" s="67" t="s">
        <v>109</v>
      </c>
      <c r="D621" s="67" t="s">
        <v>109</v>
      </c>
      <c r="E621" s="67" t="s">
        <v>85</v>
      </c>
      <c r="F621" s="138"/>
      <c r="G621" s="175">
        <f t="shared" si="29"/>
        <v>500</v>
      </c>
      <c r="H621" s="175">
        <f t="shared" si="29"/>
        <v>500</v>
      </c>
      <c r="I621" s="13"/>
    </row>
    <row r="622" spans="1:9" ht="14.25" customHeight="1">
      <c r="A622" s="54" t="s">
        <v>463</v>
      </c>
      <c r="B622" s="64"/>
      <c r="C622" s="67" t="s">
        <v>109</v>
      </c>
      <c r="D622" s="67" t="s">
        <v>109</v>
      </c>
      <c r="E622" s="67" t="s">
        <v>85</v>
      </c>
      <c r="F622" s="138" t="s">
        <v>112</v>
      </c>
      <c r="G622" s="175">
        <v>500</v>
      </c>
      <c r="H622" s="175">
        <v>500</v>
      </c>
      <c r="I622" s="13" t="e">
        <f aca="true" t="shared" si="30" ref="I622:I629">SUM(H622/G625*100)</f>
        <v>#DIV/0!</v>
      </c>
    </row>
    <row r="623" spans="1:9" ht="15" hidden="1">
      <c r="A623" s="54" t="s">
        <v>563</v>
      </c>
      <c r="B623" s="141"/>
      <c r="C623" s="67" t="s">
        <v>109</v>
      </c>
      <c r="D623" s="67" t="s">
        <v>109</v>
      </c>
      <c r="E623" s="67" t="s">
        <v>122</v>
      </c>
      <c r="F623" s="138"/>
      <c r="G623" s="175">
        <f>SUM(G624)</f>
        <v>0</v>
      </c>
      <c r="H623" s="175">
        <f>SUM(H624)</f>
        <v>0</v>
      </c>
      <c r="I623" s="13">
        <f t="shared" si="30"/>
        <v>0</v>
      </c>
    </row>
    <row r="624" spans="1:9" ht="15" hidden="1">
      <c r="A624" s="140" t="s">
        <v>573</v>
      </c>
      <c r="B624" s="141"/>
      <c r="C624" s="67" t="s">
        <v>109</v>
      </c>
      <c r="D624" s="67" t="s">
        <v>109</v>
      </c>
      <c r="E624" s="67" t="s">
        <v>89</v>
      </c>
      <c r="F624" s="138"/>
      <c r="G624" s="176">
        <f>SUM(G625)</f>
        <v>0</v>
      </c>
      <c r="H624" s="176">
        <f>SUM(H625)</f>
        <v>0</v>
      </c>
      <c r="I624" s="13">
        <f t="shared" si="30"/>
        <v>0</v>
      </c>
    </row>
    <row r="625" spans="1:9" ht="15" hidden="1">
      <c r="A625" s="54" t="s">
        <v>463</v>
      </c>
      <c r="B625" s="141"/>
      <c r="C625" s="67" t="s">
        <v>109</v>
      </c>
      <c r="D625" s="67" t="s">
        <v>109</v>
      </c>
      <c r="E625" s="67" t="s">
        <v>89</v>
      </c>
      <c r="F625" s="138" t="s">
        <v>112</v>
      </c>
      <c r="G625" s="176"/>
      <c r="H625" s="176"/>
      <c r="I625" s="13">
        <f t="shared" si="30"/>
        <v>0</v>
      </c>
    </row>
    <row r="626" spans="1:9" ht="15">
      <c r="A626" s="54" t="s">
        <v>217</v>
      </c>
      <c r="B626" s="64"/>
      <c r="C626" s="67" t="s">
        <v>109</v>
      </c>
      <c r="D626" s="67" t="s">
        <v>294</v>
      </c>
      <c r="E626" s="67"/>
      <c r="F626" s="138"/>
      <c r="G626" s="175">
        <f>G627</f>
        <v>37578.99999999999</v>
      </c>
      <c r="H626" s="175">
        <f>H627</f>
        <v>37578.99999999999</v>
      </c>
      <c r="I626" s="13">
        <f t="shared" si="30"/>
        <v>112.71919036792187</v>
      </c>
    </row>
    <row r="627" spans="1:9" ht="42.75">
      <c r="A627" s="63" t="s">
        <v>283</v>
      </c>
      <c r="B627" s="64"/>
      <c r="C627" s="67" t="s">
        <v>109</v>
      </c>
      <c r="D627" s="67" t="s">
        <v>294</v>
      </c>
      <c r="E627" s="67" t="s">
        <v>284</v>
      </c>
      <c r="F627" s="138"/>
      <c r="G627" s="175">
        <f>SUM(G628)</f>
        <v>37578.99999999999</v>
      </c>
      <c r="H627" s="175">
        <f>SUM(H628)</f>
        <v>37578.99999999999</v>
      </c>
      <c r="I627" s="13">
        <f t="shared" si="30"/>
        <v>978.1867402452039</v>
      </c>
    </row>
    <row r="628" spans="1:9" ht="28.5">
      <c r="A628" s="54" t="s">
        <v>47</v>
      </c>
      <c r="B628" s="64"/>
      <c r="C628" s="67" t="s">
        <v>109</v>
      </c>
      <c r="D628" s="67" t="s">
        <v>294</v>
      </c>
      <c r="E628" s="67" t="s">
        <v>285</v>
      </c>
      <c r="F628" s="138"/>
      <c r="G628" s="175">
        <f>SUM(G629+G630+G631)</f>
        <v>37578.99999999999</v>
      </c>
      <c r="H628" s="175">
        <f>SUM(H629+H630+H631)</f>
        <v>37578.99999999999</v>
      </c>
      <c r="I628" s="13">
        <f t="shared" si="30"/>
        <v>9425.382493102581</v>
      </c>
    </row>
    <row r="629" spans="1:9" ht="28.5">
      <c r="A629" s="54" t="s">
        <v>461</v>
      </c>
      <c r="B629" s="64"/>
      <c r="C629" s="67" t="s">
        <v>109</v>
      </c>
      <c r="D629" s="67" t="s">
        <v>294</v>
      </c>
      <c r="E629" s="67" t="s">
        <v>285</v>
      </c>
      <c r="F629" s="138" t="s">
        <v>462</v>
      </c>
      <c r="G629" s="175">
        <v>33338.6</v>
      </c>
      <c r="H629" s="175">
        <v>33338.6</v>
      </c>
      <c r="I629" s="13">
        <f t="shared" si="30"/>
        <v>90.48165728972445</v>
      </c>
    </row>
    <row r="630" spans="1:9" ht="15">
      <c r="A630" s="54" t="s">
        <v>463</v>
      </c>
      <c r="B630" s="141"/>
      <c r="C630" s="67" t="s">
        <v>109</v>
      </c>
      <c r="D630" s="67" t="s">
        <v>294</v>
      </c>
      <c r="E630" s="67" t="s">
        <v>285</v>
      </c>
      <c r="F630" s="138" t="s">
        <v>112</v>
      </c>
      <c r="G630" s="175">
        <v>3841.7</v>
      </c>
      <c r="H630" s="175">
        <v>3841.7</v>
      </c>
      <c r="I630" s="13"/>
    </row>
    <row r="631" spans="1:9" ht="15">
      <c r="A631" s="54" t="s">
        <v>467</v>
      </c>
      <c r="B631" s="64"/>
      <c r="C631" s="67" t="s">
        <v>109</v>
      </c>
      <c r="D631" s="67" t="s">
        <v>294</v>
      </c>
      <c r="E631" s="67" t="s">
        <v>285</v>
      </c>
      <c r="F631" s="138" t="s">
        <v>161</v>
      </c>
      <c r="G631" s="175">
        <v>398.7</v>
      </c>
      <c r="H631" s="175">
        <v>398.7</v>
      </c>
      <c r="I631" s="13"/>
    </row>
    <row r="632" spans="1:9" ht="15">
      <c r="A632" s="54" t="s">
        <v>173</v>
      </c>
      <c r="B632" s="64"/>
      <c r="C632" s="67" t="s">
        <v>5</v>
      </c>
      <c r="D632" s="67"/>
      <c r="E632" s="67"/>
      <c r="F632" s="138"/>
      <c r="G632" s="175">
        <f>SUM(G633)</f>
        <v>36845.7</v>
      </c>
      <c r="H632" s="175">
        <f>SUM(H633)</f>
        <v>36845.7</v>
      </c>
      <c r="I632" s="13"/>
    </row>
    <row r="633" spans="1:9" ht="15">
      <c r="A633" s="61" t="s">
        <v>152</v>
      </c>
      <c r="B633" s="69"/>
      <c r="C633" s="70" t="s">
        <v>5</v>
      </c>
      <c r="D633" s="70" t="s">
        <v>114</v>
      </c>
      <c r="E633" s="70"/>
      <c r="F633" s="85"/>
      <c r="G633" s="220">
        <f>SUM(G634)+G637</f>
        <v>36845.7</v>
      </c>
      <c r="H633" s="220">
        <f>SUM(H634)+H637</f>
        <v>36845.7</v>
      </c>
      <c r="I633" s="13">
        <f>SUM(H633/G636*100)</f>
        <v>376.6606693790762</v>
      </c>
    </row>
    <row r="634" spans="1:9" ht="28.5">
      <c r="A634" s="212" t="s">
        <v>643</v>
      </c>
      <c r="B634" s="68"/>
      <c r="C634" s="71" t="s">
        <v>5</v>
      </c>
      <c r="D634" s="71" t="s">
        <v>114</v>
      </c>
      <c r="E634" s="215" t="s">
        <v>644</v>
      </c>
      <c r="F634" s="66"/>
      <c r="G634" s="217">
        <f>SUM(G635)</f>
        <v>9782.2</v>
      </c>
      <c r="H634" s="217">
        <f>SUM(H635)</f>
        <v>9782.2</v>
      </c>
      <c r="I634" s="13"/>
    </row>
    <row r="635" spans="1:9" ht="99.75">
      <c r="A635" s="212" t="s">
        <v>645</v>
      </c>
      <c r="B635" s="68"/>
      <c r="C635" s="71" t="s">
        <v>5</v>
      </c>
      <c r="D635" s="71" t="s">
        <v>114</v>
      </c>
      <c r="E635" s="215" t="s">
        <v>646</v>
      </c>
      <c r="F635" s="219"/>
      <c r="G635" s="217">
        <f>G636</f>
        <v>9782.2</v>
      </c>
      <c r="H635" s="217">
        <f>H636</f>
        <v>9782.2</v>
      </c>
      <c r="I635" s="13"/>
    </row>
    <row r="636" spans="1:9" ht="42.75">
      <c r="A636" s="212" t="s">
        <v>657</v>
      </c>
      <c r="B636" s="68"/>
      <c r="C636" s="71" t="s">
        <v>5</v>
      </c>
      <c r="D636" s="71" t="s">
        <v>114</v>
      </c>
      <c r="E636" s="215" t="s">
        <v>658</v>
      </c>
      <c r="F636" s="66" t="s">
        <v>472</v>
      </c>
      <c r="G636" s="217">
        <v>9782.2</v>
      </c>
      <c r="H636" s="217">
        <v>9782.2</v>
      </c>
      <c r="I636" s="13"/>
    </row>
    <row r="637" spans="1:9" ht="42.75">
      <c r="A637" s="212" t="s">
        <v>636</v>
      </c>
      <c r="B637" s="68"/>
      <c r="C637" s="71" t="s">
        <v>5</v>
      </c>
      <c r="D637" s="71" t="s">
        <v>114</v>
      </c>
      <c r="E637" s="213" t="s">
        <v>637</v>
      </c>
      <c r="F637" s="66"/>
      <c r="G637" s="217">
        <f>SUM(G638)</f>
        <v>27063.5</v>
      </c>
      <c r="H637" s="217">
        <f>SUM(H638)</f>
        <v>27063.5</v>
      </c>
      <c r="I637" s="13"/>
    </row>
    <row r="638" spans="1:9" ht="114">
      <c r="A638" s="212" t="s">
        <v>659</v>
      </c>
      <c r="B638" s="68"/>
      <c r="C638" s="71" t="s">
        <v>5</v>
      </c>
      <c r="D638" s="71" t="s">
        <v>114</v>
      </c>
      <c r="E638" s="213" t="s">
        <v>660</v>
      </c>
      <c r="F638" s="66"/>
      <c r="G638" s="217">
        <f>SUM(G639)</f>
        <v>27063.5</v>
      </c>
      <c r="H638" s="217">
        <f>SUM(H639)</f>
        <v>27063.5</v>
      </c>
      <c r="I638" s="13"/>
    </row>
    <row r="639" spans="1:9" ht="57">
      <c r="A639" s="212" t="s">
        <v>661</v>
      </c>
      <c r="B639" s="68"/>
      <c r="C639" s="71" t="s">
        <v>5</v>
      </c>
      <c r="D639" s="71" t="s">
        <v>114</v>
      </c>
      <c r="E639" s="215" t="s">
        <v>662</v>
      </c>
      <c r="F639" s="66" t="s">
        <v>472</v>
      </c>
      <c r="G639" s="217">
        <v>27063.5</v>
      </c>
      <c r="H639" s="217">
        <v>27063.5</v>
      </c>
      <c r="I639" s="13"/>
    </row>
    <row r="640" spans="1:9" ht="15">
      <c r="A640" s="58" t="s">
        <v>298</v>
      </c>
      <c r="B640" s="128" t="s">
        <v>259</v>
      </c>
      <c r="C640" s="97"/>
      <c r="D640" s="97"/>
      <c r="E640" s="97"/>
      <c r="F640" s="108"/>
      <c r="G640" s="165">
        <f>SUM(G641+G670)</f>
        <v>184384.1</v>
      </c>
      <c r="H640" s="166">
        <f>SUM(H641+H670)</f>
        <v>184384.1</v>
      </c>
      <c r="I640" s="13">
        <f>SUM(H640/G643*100)</f>
        <v>303.01413311421527</v>
      </c>
    </row>
    <row r="641" spans="1:9" ht="15">
      <c r="A641" s="51" t="s">
        <v>108</v>
      </c>
      <c r="B641" s="36"/>
      <c r="C641" s="97" t="s">
        <v>109</v>
      </c>
      <c r="D641" s="97"/>
      <c r="E641" s="97"/>
      <c r="F641" s="108"/>
      <c r="G641" s="161">
        <f>SUM(G642)+G657</f>
        <v>60850</v>
      </c>
      <c r="H641" s="161">
        <f>SUM(H642)+H657</f>
        <v>60850</v>
      </c>
      <c r="I641" s="13">
        <f>SUM(H641/G644*100)</f>
        <v>100</v>
      </c>
    </row>
    <row r="642" spans="1:9" ht="15">
      <c r="A642" s="51" t="s">
        <v>323</v>
      </c>
      <c r="B642" s="128"/>
      <c r="C642" s="97" t="s">
        <v>109</v>
      </c>
      <c r="D642" s="97" t="s">
        <v>431</v>
      </c>
      <c r="E642" s="97"/>
      <c r="F642" s="108"/>
      <c r="G642" s="161">
        <f>SUM(G643+G654)</f>
        <v>60850</v>
      </c>
      <c r="H642" s="161">
        <f>SUM(H643+H654)</f>
        <v>60850</v>
      </c>
      <c r="I642" s="13">
        <f>SUM(H642/G645*100)</f>
        <v>100</v>
      </c>
    </row>
    <row r="643" spans="1:9" ht="15">
      <c r="A643" s="51" t="s">
        <v>305</v>
      </c>
      <c r="B643" s="36"/>
      <c r="C643" s="97" t="s">
        <v>109</v>
      </c>
      <c r="D643" s="97" t="s">
        <v>431</v>
      </c>
      <c r="E643" s="97" t="s">
        <v>306</v>
      </c>
      <c r="F643" s="108"/>
      <c r="G643" s="161">
        <f>SUM(G644)</f>
        <v>60850</v>
      </c>
      <c r="H643" s="161">
        <f>SUM(H644)</f>
        <v>60850</v>
      </c>
      <c r="I643" s="13"/>
    </row>
    <row r="644" spans="1:9" ht="15">
      <c r="A644" s="51" t="s">
        <v>11</v>
      </c>
      <c r="B644" s="128"/>
      <c r="C644" s="97" t="s">
        <v>109</v>
      </c>
      <c r="D644" s="97" t="s">
        <v>431</v>
      </c>
      <c r="E644" s="97" t="s">
        <v>71</v>
      </c>
      <c r="F644" s="108"/>
      <c r="G644" s="161">
        <f>SUM(G645)+G652+G647</f>
        <v>60850</v>
      </c>
      <c r="H644" s="161">
        <f>SUM(H645)+H652+H647</f>
        <v>60850</v>
      </c>
      <c r="I644" s="13" t="e">
        <f>SUM(H644/G647*100)</f>
        <v>#DIV/0!</v>
      </c>
    </row>
    <row r="645" spans="1:9" ht="28.5">
      <c r="A645" s="51" t="s">
        <v>86</v>
      </c>
      <c r="B645" s="128"/>
      <c r="C645" s="97" t="s">
        <v>109</v>
      </c>
      <c r="D645" s="97" t="s">
        <v>431</v>
      </c>
      <c r="E645" s="97" t="s">
        <v>72</v>
      </c>
      <c r="F645" s="108"/>
      <c r="G645" s="161">
        <f>SUM(G646)</f>
        <v>60850</v>
      </c>
      <c r="H645" s="161">
        <f>SUM(H646)</f>
        <v>60850</v>
      </c>
      <c r="I645" s="13"/>
    </row>
    <row r="646" spans="1:9" ht="28.5">
      <c r="A646" s="54" t="s">
        <v>480</v>
      </c>
      <c r="B646" s="130"/>
      <c r="C646" s="97" t="s">
        <v>109</v>
      </c>
      <c r="D646" s="97" t="s">
        <v>431</v>
      </c>
      <c r="E646" s="97" t="s">
        <v>72</v>
      </c>
      <c r="F646" s="124" t="s">
        <v>477</v>
      </c>
      <c r="G646" s="161">
        <v>60850</v>
      </c>
      <c r="H646" s="161">
        <v>60850</v>
      </c>
      <c r="I646" s="13"/>
    </row>
    <row r="647" spans="1:9" ht="15" hidden="1">
      <c r="A647" s="54" t="s">
        <v>151</v>
      </c>
      <c r="B647" s="130"/>
      <c r="C647" s="97" t="s">
        <v>109</v>
      </c>
      <c r="D647" s="97" t="s">
        <v>431</v>
      </c>
      <c r="E647" s="97" t="s">
        <v>143</v>
      </c>
      <c r="F647" s="124"/>
      <c r="G647" s="161"/>
      <c r="H647" s="161"/>
      <c r="I647" s="13"/>
    </row>
    <row r="648" spans="1:9" ht="28.5" hidden="1">
      <c r="A648" s="54" t="s">
        <v>432</v>
      </c>
      <c r="B648" s="130"/>
      <c r="C648" s="97" t="s">
        <v>109</v>
      </c>
      <c r="D648" s="97" t="s">
        <v>431</v>
      </c>
      <c r="E648" s="97" t="s">
        <v>433</v>
      </c>
      <c r="F648" s="124"/>
      <c r="G648" s="161">
        <f>SUM(G649)</f>
        <v>0</v>
      </c>
      <c r="H648" s="161">
        <f>SUM(H649)</f>
        <v>0</v>
      </c>
      <c r="I648" s="13"/>
    </row>
    <row r="649" spans="1:9" ht="15" hidden="1">
      <c r="A649" s="54" t="s">
        <v>151</v>
      </c>
      <c r="B649" s="130"/>
      <c r="C649" s="97" t="s">
        <v>109</v>
      </c>
      <c r="D649" s="97" t="s">
        <v>431</v>
      </c>
      <c r="E649" s="97" t="s">
        <v>433</v>
      </c>
      <c r="F649" s="124" t="s">
        <v>76</v>
      </c>
      <c r="G649" s="161"/>
      <c r="H649" s="161"/>
      <c r="I649" s="13"/>
    </row>
    <row r="650" spans="1:9" ht="15" hidden="1">
      <c r="A650" s="54" t="s">
        <v>147</v>
      </c>
      <c r="B650" s="130"/>
      <c r="C650" s="97" t="s">
        <v>109</v>
      </c>
      <c r="D650" s="97" t="s">
        <v>431</v>
      </c>
      <c r="E650" s="97" t="s">
        <v>202</v>
      </c>
      <c r="F650" s="124"/>
      <c r="G650" s="161">
        <f>SUM(G651)</f>
        <v>0</v>
      </c>
      <c r="H650" s="161">
        <f>SUM(H651)</f>
        <v>0</v>
      </c>
      <c r="I650" s="13" t="e">
        <f aca="true" t="shared" si="31" ref="I650:I663">SUM(H650/G653*100)</f>
        <v>#DIV/0!</v>
      </c>
    </row>
    <row r="651" spans="1:9" ht="15" hidden="1">
      <c r="A651" s="54" t="s">
        <v>151</v>
      </c>
      <c r="B651" s="130"/>
      <c r="C651" s="97" t="s">
        <v>109</v>
      </c>
      <c r="D651" s="97" t="s">
        <v>431</v>
      </c>
      <c r="E651" s="97" t="s">
        <v>202</v>
      </c>
      <c r="F651" s="124" t="s">
        <v>76</v>
      </c>
      <c r="G651" s="161"/>
      <c r="H651" s="161"/>
      <c r="I651" s="13" t="e">
        <f t="shared" si="31"/>
        <v>#DIV/0!</v>
      </c>
    </row>
    <row r="652" spans="1:9" ht="42.75" hidden="1">
      <c r="A652" s="54" t="s">
        <v>53</v>
      </c>
      <c r="B652" s="130"/>
      <c r="C652" s="97" t="s">
        <v>109</v>
      </c>
      <c r="D652" s="97" t="s">
        <v>431</v>
      </c>
      <c r="E652" s="97" t="s">
        <v>73</v>
      </c>
      <c r="F652" s="124"/>
      <c r="G652" s="161">
        <f>SUM(G653)</f>
        <v>0</v>
      </c>
      <c r="H652" s="161">
        <f>SUM(H653)</f>
        <v>0</v>
      </c>
      <c r="I652" s="13" t="e">
        <f t="shared" si="31"/>
        <v>#DIV/0!</v>
      </c>
    </row>
    <row r="653" spans="1:9" ht="15" hidden="1">
      <c r="A653" s="54" t="s">
        <v>151</v>
      </c>
      <c r="B653" s="130"/>
      <c r="C653" s="97" t="s">
        <v>109</v>
      </c>
      <c r="D653" s="97" t="s">
        <v>431</v>
      </c>
      <c r="E653" s="97" t="s">
        <v>73</v>
      </c>
      <c r="F653" s="124" t="s">
        <v>76</v>
      </c>
      <c r="G653" s="161"/>
      <c r="H653" s="161"/>
      <c r="I653" s="13" t="e">
        <f t="shared" si="31"/>
        <v>#DIV/0!</v>
      </c>
    </row>
    <row r="654" spans="1:9" ht="15" hidden="1">
      <c r="A654" s="54" t="s">
        <v>121</v>
      </c>
      <c r="B654" s="128"/>
      <c r="C654" s="97" t="s">
        <v>109</v>
      </c>
      <c r="D654" s="97" t="s">
        <v>431</v>
      </c>
      <c r="E654" s="97" t="s">
        <v>122</v>
      </c>
      <c r="F654" s="108"/>
      <c r="G654" s="161">
        <f>SUM(G655)+G658</f>
        <v>0</v>
      </c>
      <c r="H654" s="161">
        <f>SUM(H655)+H658</f>
        <v>0</v>
      </c>
      <c r="I654" s="13" t="e">
        <f t="shared" si="31"/>
        <v>#DIV/0!</v>
      </c>
    </row>
    <row r="655" spans="1:9" ht="42.75" hidden="1">
      <c r="A655" s="51" t="s">
        <v>191</v>
      </c>
      <c r="B655" s="128"/>
      <c r="C655" s="97" t="s">
        <v>109</v>
      </c>
      <c r="D655" s="97" t="s">
        <v>431</v>
      </c>
      <c r="E655" s="97" t="s">
        <v>292</v>
      </c>
      <c r="F655" s="108"/>
      <c r="G655" s="161">
        <f>SUM(G656)</f>
        <v>0</v>
      </c>
      <c r="H655" s="161">
        <f>SUM(H656)</f>
        <v>0</v>
      </c>
      <c r="I655" s="13" t="e">
        <f t="shared" si="31"/>
        <v>#DIV/0!</v>
      </c>
    </row>
    <row r="656" spans="1:9" ht="15" hidden="1">
      <c r="A656" s="54" t="s">
        <v>135</v>
      </c>
      <c r="B656" s="128"/>
      <c r="C656" s="97" t="s">
        <v>109</v>
      </c>
      <c r="D656" s="97" t="s">
        <v>431</v>
      </c>
      <c r="E656" s="97" t="s">
        <v>292</v>
      </c>
      <c r="F656" s="108" t="s">
        <v>76</v>
      </c>
      <c r="G656" s="161"/>
      <c r="H656" s="161"/>
      <c r="I656" s="13" t="e">
        <f t="shared" si="31"/>
        <v>#DIV/0!</v>
      </c>
    </row>
    <row r="657" spans="1:9" ht="15" hidden="1">
      <c r="A657" s="51" t="s">
        <v>110</v>
      </c>
      <c r="B657" s="36"/>
      <c r="C657" s="46" t="s">
        <v>109</v>
      </c>
      <c r="D657" s="46" t="s">
        <v>109</v>
      </c>
      <c r="E657" s="97"/>
      <c r="F657" s="124"/>
      <c r="G657" s="161">
        <f>SUM(G663+G658+G661+G667)</f>
        <v>0</v>
      </c>
      <c r="H657" s="161">
        <f>SUM(H663+H658+H661+H667)</f>
        <v>0</v>
      </c>
      <c r="I657" s="13" t="e">
        <f t="shared" si="31"/>
        <v>#DIV/0!</v>
      </c>
    </row>
    <row r="658" spans="1:9" ht="15" hidden="1">
      <c r="A658" s="52" t="s">
        <v>209</v>
      </c>
      <c r="B658" s="47"/>
      <c r="C658" s="97" t="s">
        <v>109</v>
      </c>
      <c r="D658" s="97" t="s">
        <v>109</v>
      </c>
      <c r="E658" s="97" t="s">
        <v>210</v>
      </c>
      <c r="F658" s="108"/>
      <c r="G658" s="161">
        <f>SUM(G659)</f>
        <v>0</v>
      </c>
      <c r="H658" s="161">
        <f>SUM(H659)</f>
        <v>0</v>
      </c>
      <c r="I658" s="13" t="e">
        <f t="shared" si="31"/>
        <v>#DIV/0!</v>
      </c>
    </row>
    <row r="659" spans="1:9" ht="15" hidden="1">
      <c r="A659" s="52" t="s">
        <v>211</v>
      </c>
      <c r="B659" s="47"/>
      <c r="C659" s="97" t="s">
        <v>109</v>
      </c>
      <c r="D659" s="97" t="s">
        <v>109</v>
      </c>
      <c r="E659" s="97" t="s">
        <v>212</v>
      </c>
      <c r="F659" s="108"/>
      <c r="G659" s="161">
        <f>SUM(G660)</f>
        <v>0</v>
      </c>
      <c r="H659" s="161">
        <f>SUM(H660)</f>
        <v>0</v>
      </c>
      <c r="I659" s="13" t="e">
        <f t="shared" si="31"/>
        <v>#DIV/0!</v>
      </c>
    </row>
    <row r="660" spans="1:9" ht="15" hidden="1">
      <c r="A660" s="54" t="s">
        <v>239</v>
      </c>
      <c r="B660" s="47"/>
      <c r="C660" s="97" t="s">
        <v>109</v>
      </c>
      <c r="D660" s="97" t="s">
        <v>109</v>
      </c>
      <c r="E660" s="97" t="s">
        <v>212</v>
      </c>
      <c r="F660" s="108" t="s">
        <v>240</v>
      </c>
      <c r="G660" s="161"/>
      <c r="H660" s="161"/>
      <c r="I660" s="13" t="e">
        <f t="shared" si="31"/>
        <v>#DIV/0!</v>
      </c>
    </row>
    <row r="661" spans="1:9" ht="15" hidden="1">
      <c r="A661" s="54" t="s">
        <v>357</v>
      </c>
      <c r="B661" s="47"/>
      <c r="C661" s="97" t="s">
        <v>109</v>
      </c>
      <c r="D661" s="97" t="s">
        <v>109</v>
      </c>
      <c r="E661" s="97" t="s">
        <v>358</v>
      </c>
      <c r="F661" s="108"/>
      <c r="G661" s="161">
        <f>SUM(G662)</f>
        <v>0</v>
      </c>
      <c r="H661" s="161">
        <f>SUM(H662)</f>
        <v>0</v>
      </c>
      <c r="I661" s="13" t="e">
        <f t="shared" si="31"/>
        <v>#DIV/0!</v>
      </c>
    </row>
    <row r="662" spans="1:9" ht="15" hidden="1">
      <c r="A662" s="54" t="s">
        <v>207</v>
      </c>
      <c r="B662" s="47"/>
      <c r="C662" s="97" t="s">
        <v>109</v>
      </c>
      <c r="D662" s="97" t="s">
        <v>109</v>
      </c>
      <c r="E662" s="97" t="s">
        <v>358</v>
      </c>
      <c r="F662" s="108" t="s">
        <v>208</v>
      </c>
      <c r="G662" s="161"/>
      <c r="H662" s="161"/>
      <c r="I662" s="13" t="e">
        <f t="shared" si="31"/>
        <v>#DIV/0!</v>
      </c>
    </row>
    <row r="663" spans="1:9" ht="15" hidden="1">
      <c r="A663" s="53" t="s">
        <v>214</v>
      </c>
      <c r="B663" s="36"/>
      <c r="C663" s="46" t="s">
        <v>109</v>
      </c>
      <c r="D663" s="46" t="s">
        <v>109</v>
      </c>
      <c r="E663" s="46" t="s">
        <v>111</v>
      </c>
      <c r="F663" s="107"/>
      <c r="G663" s="161">
        <f>SUM(G664)</f>
        <v>0</v>
      </c>
      <c r="H663" s="161">
        <f>SUM(H664)</f>
        <v>0</v>
      </c>
      <c r="I663" s="13" t="e">
        <f t="shared" si="31"/>
        <v>#DIV/0!</v>
      </c>
    </row>
    <row r="664" spans="1:9" ht="42.75" hidden="1">
      <c r="A664" s="53" t="s">
        <v>84</v>
      </c>
      <c r="B664" s="36"/>
      <c r="C664" s="46" t="s">
        <v>109</v>
      </c>
      <c r="D664" s="46" t="s">
        <v>109</v>
      </c>
      <c r="E664" s="46" t="s">
        <v>85</v>
      </c>
      <c r="F664" s="107"/>
      <c r="G664" s="161">
        <f>SUM(G665)+G666</f>
        <v>0</v>
      </c>
      <c r="H664" s="161">
        <f>SUM(H665)+H666</f>
        <v>0</v>
      </c>
      <c r="I664" s="13"/>
    </row>
    <row r="665" spans="1:9" ht="15" hidden="1">
      <c r="A665" s="54" t="s">
        <v>239</v>
      </c>
      <c r="B665" s="36"/>
      <c r="C665" s="46" t="s">
        <v>109</v>
      </c>
      <c r="D665" s="46" t="s">
        <v>109</v>
      </c>
      <c r="E665" s="46" t="s">
        <v>85</v>
      </c>
      <c r="F665" s="107" t="s">
        <v>240</v>
      </c>
      <c r="G665" s="161"/>
      <c r="H665" s="161"/>
      <c r="I665" s="13" t="e">
        <f>SUM(H665/G668*100)</f>
        <v>#DIV/0!</v>
      </c>
    </row>
    <row r="666" spans="1:9" ht="15" hidden="1">
      <c r="A666" s="54" t="s">
        <v>135</v>
      </c>
      <c r="B666" s="36"/>
      <c r="C666" s="46" t="s">
        <v>109</v>
      </c>
      <c r="D666" s="46" t="s">
        <v>109</v>
      </c>
      <c r="E666" s="46" t="s">
        <v>85</v>
      </c>
      <c r="F666" s="107" t="s">
        <v>76</v>
      </c>
      <c r="G666" s="161"/>
      <c r="H666" s="161"/>
      <c r="I666" s="13"/>
    </row>
    <row r="667" spans="1:9" ht="15" hidden="1">
      <c r="A667" s="54" t="s">
        <v>121</v>
      </c>
      <c r="B667" s="131"/>
      <c r="C667" s="97" t="s">
        <v>109</v>
      </c>
      <c r="D667" s="97" t="s">
        <v>109</v>
      </c>
      <c r="E667" s="97" t="s">
        <v>122</v>
      </c>
      <c r="F667" s="124"/>
      <c r="G667" s="161">
        <f>SUM(G668)</f>
        <v>0</v>
      </c>
      <c r="H667" s="161">
        <f>SUM(H668)</f>
        <v>0</v>
      </c>
      <c r="I667" s="13"/>
    </row>
    <row r="668" spans="1:9" ht="42.75" hidden="1">
      <c r="A668" s="57" t="s">
        <v>339</v>
      </c>
      <c r="B668" s="131"/>
      <c r="C668" s="97" t="s">
        <v>109</v>
      </c>
      <c r="D668" s="97" t="s">
        <v>109</v>
      </c>
      <c r="E668" s="97" t="s">
        <v>338</v>
      </c>
      <c r="F668" s="124"/>
      <c r="G668" s="161">
        <f>SUM(G669)</f>
        <v>0</v>
      </c>
      <c r="H668" s="161">
        <f>SUM(H669)</f>
        <v>0</v>
      </c>
      <c r="I668" s="13">
        <f>SUM(H668/G671*100)</f>
        <v>0</v>
      </c>
    </row>
    <row r="669" spans="1:9" ht="15" hidden="1">
      <c r="A669" s="54" t="s">
        <v>207</v>
      </c>
      <c r="B669" s="131"/>
      <c r="C669" s="97" t="s">
        <v>109</v>
      </c>
      <c r="D669" s="97" t="s">
        <v>109</v>
      </c>
      <c r="E669" s="97" t="s">
        <v>338</v>
      </c>
      <c r="F669" s="124" t="s">
        <v>208</v>
      </c>
      <c r="G669" s="161"/>
      <c r="H669" s="161"/>
      <c r="I669" s="13">
        <f>SUM(H669/G672*100)</f>
        <v>0</v>
      </c>
    </row>
    <row r="670" spans="1:9" ht="15">
      <c r="A670" s="51" t="s">
        <v>312</v>
      </c>
      <c r="B670" s="36"/>
      <c r="C670" s="97" t="s">
        <v>116</v>
      </c>
      <c r="D670" s="97"/>
      <c r="E670" s="97"/>
      <c r="F670" s="108"/>
      <c r="G670" s="161">
        <f>SUM(G671+G721)</f>
        <v>123534.1</v>
      </c>
      <c r="H670" s="161">
        <f>SUM(H671+H721)</f>
        <v>123534.1</v>
      </c>
      <c r="I670" s="13">
        <f>SUM(H670/G675*100)</f>
        <v>323.33944934918094</v>
      </c>
    </row>
    <row r="671" spans="1:9" ht="15">
      <c r="A671" s="51" t="s">
        <v>337</v>
      </c>
      <c r="B671" s="36"/>
      <c r="C671" s="97" t="s">
        <v>116</v>
      </c>
      <c r="D671" s="97" t="s">
        <v>429</v>
      </c>
      <c r="E671" s="97"/>
      <c r="F671" s="108"/>
      <c r="G671" s="161">
        <f>SUM(G672+G697+G706)</f>
        <v>116370.1</v>
      </c>
      <c r="H671" s="161">
        <f>SUM(H672+H697+H706)</f>
        <v>116370.1</v>
      </c>
      <c r="I671" s="13">
        <f>SUM(H671/G676*100)</f>
        <v>304.5883205909066</v>
      </c>
    </row>
    <row r="672" spans="1:9" ht="28.5">
      <c r="A672" s="52" t="s">
        <v>118</v>
      </c>
      <c r="B672" s="36"/>
      <c r="C672" s="97" t="s">
        <v>116</v>
      </c>
      <c r="D672" s="97" t="s">
        <v>429</v>
      </c>
      <c r="E672" s="97" t="s">
        <v>129</v>
      </c>
      <c r="F672" s="108"/>
      <c r="G672" s="161">
        <f>SUM(G675+G678)+G673</f>
        <v>62567.7</v>
      </c>
      <c r="H672" s="161">
        <f>SUM(H675+H678)+H673</f>
        <v>62567.7</v>
      </c>
      <c r="I672" s="13"/>
    </row>
    <row r="673" spans="1:9" ht="42.75">
      <c r="A673" s="52" t="s">
        <v>351</v>
      </c>
      <c r="B673" s="36"/>
      <c r="C673" s="97" t="s">
        <v>116</v>
      </c>
      <c r="D673" s="97" t="s">
        <v>429</v>
      </c>
      <c r="E673" s="97" t="s">
        <v>598</v>
      </c>
      <c r="F673" s="108"/>
      <c r="G673" s="75">
        <f>SUM(G674)</f>
        <v>57</v>
      </c>
      <c r="H673" s="75">
        <f>SUM(H674)</f>
        <v>57</v>
      </c>
      <c r="I673" s="13"/>
    </row>
    <row r="674" spans="1:9" ht="15">
      <c r="A674" s="51" t="s">
        <v>463</v>
      </c>
      <c r="B674" s="36"/>
      <c r="C674" s="97" t="s">
        <v>116</v>
      </c>
      <c r="D674" s="97" t="s">
        <v>429</v>
      </c>
      <c r="E674" s="97" t="s">
        <v>598</v>
      </c>
      <c r="F674" s="108" t="s">
        <v>112</v>
      </c>
      <c r="G674" s="75">
        <v>57</v>
      </c>
      <c r="H674" s="75">
        <v>57</v>
      </c>
      <c r="I674" s="13"/>
    </row>
    <row r="675" spans="1:9" ht="15">
      <c r="A675" s="51" t="s">
        <v>11</v>
      </c>
      <c r="B675" s="128"/>
      <c r="C675" s="97" t="s">
        <v>116</v>
      </c>
      <c r="D675" s="97" t="s">
        <v>429</v>
      </c>
      <c r="E675" s="97" t="s">
        <v>188</v>
      </c>
      <c r="F675" s="108"/>
      <c r="G675" s="161">
        <f>SUM(G676)</f>
        <v>38205.7</v>
      </c>
      <c r="H675" s="161">
        <f>SUM(H676)</f>
        <v>38205.7</v>
      </c>
      <c r="I675" s="13">
        <f>SUM(H675/G678*100)</f>
        <v>157.19275869162723</v>
      </c>
    </row>
    <row r="676" spans="1:9" ht="28.5">
      <c r="A676" s="51" t="s">
        <v>86</v>
      </c>
      <c r="B676" s="128"/>
      <c r="C676" s="97" t="s">
        <v>116</v>
      </c>
      <c r="D676" s="97" t="s">
        <v>429</v>
      </c>
      <c r="E676" s="97" t="s">
        <v>190</v>
      </c>
      <c r="F676" s="108"/>
      <c r="G676" s="161">
        <f>SUM(G677)</f>
        <v>38205.7</v>
      </c>
      <c r="H676" s="161">
        <f>SUM(H677)</f>
        <v>38205.7</v>
      </c>
      <c r="I676" s="13"/>
    </row>
    <row r="677" spans="1:9" ht="28.5">
      <c r="A677" s="54" t="s">
        <v>480</v>
      </c>
      <c r="B677" s="130"/>
      <c r="C677" s="97" t="s">
        <v>116</v>
      </c>
      <c r="D677" s="97" t="s">
        <v>429</v>
      </c>
      <c r="E677" s="97" t="s">
        <v>190</v>
      </c>
      <c r="F677" s="124" t="s">
        <v>477</v>
      </c>
      <c r="G677" s="161">
        <v>38205.7</v>
      </c>
      <c r="H677" s="161">
        <v>38205.7</v>
      </c>
      <c r="I677" s="13">
        <f>SUM(H677/G680*100)</f>
        <v>1139.7201837599189</v>
      </c>
    </row>
    <row r="678" spans="1:9" ht="28.5">
      <c r="A678" s="51" t="s">
        <v>47</v>
      </c>
      <c r="B678" s="130"/>
      <c r="C678" s="97" t="s">
        <v>116</v>
      </c>
      <c r="D678" s="97" t="s">
        <v>429</v>
      </c>
      <c r="E678" s="97" t="s">
        <v>130</v>
      </c>
      <c r="F678" s="124"/>
      <c r="G678" s="161">
        <f>SUM(G679:G681)</f>
        <v>24305</v>
      </c>
      <c r="H678" s="161">
        <f>SUM(H679:H681)</f>
        <v>24305</v>
      </c>
      <c r="I678" s="13"/>
    </row>
    <row r="679" spans="1:9" ht="28.5">
      <c r="A679" s="51" t="s">
        <v>461</v>
      </c>
      <c r="B679" s="36"/>
      <c r="C679" s="97" t="s">
        <v>116</v>
      </c>
      <c r="D679" s="97" t="s">
        <v>429</v>
      </c>
      <c r="E679" s="97" t="s">
        <v>130</v>
      </c>
      <c r="F679" s="107" t="s">
        <v>462</v>
      </c>
      <c r="G679" s="161">
        <v>20532.5</v>
      </c>
      <c r="H679" s="161">
        <v>20532.5</v>
      </c>
      <c r="I679" s="13"/>
    </row>
    <row r="680" spans="1:9" ht="15">
      <c r="A680" s="51" t="s">
        <v>463</v>
      </c>
      <c r="B680" s="36"/>
      <c r="C680" s="97" t="s">
        <v>116</v>
      </c>
      <c r="D680" s="97" t="s">
        <v>429</v>
      </c>
      <c r="E680" s="97" t="s">
        <v>130</v>
      </c>
      <c r="F680" s="107" t="s">
        <v>112</v>
      </c>
      <c r="G680" s="162">
        <v>3352.2</v>
      </c>
      <c r="H680" s="162">
        <v>3352.2</v>
      </c>
      <c r="I680" s="13"/>
    </row>
    <row r="681" spans="1:9" ht="15">
      <c r="A681" s="51" t="s">
        <v>467</v>
      </c>
      <c r="B681" s="36"/>
      <c r="C681" s="97" t="s">
        <v>116</v>
      </c>
      <c r="D681" s="97" t="s">
        <v>429</v>
      </c>
      <c r="E681" s="97" t="s">
        <v>130</v>
      </c>
      <c r="F681" s="108" t="s">
        <v>161</v>
      </c>
      <c r="G681" s="161">
        <v>420.3</v>
      </c>
      <c r="H681" s="161">
        <v>420.3</v>
      </c>
      <c r="I681" s="13"/>
    </row>
    <row r="682" spans="1:9" ht="15" hidden="1">
      <c r="A682" s="51" t="s">
        <v>87</v>
      </c>
      <c r="B682" s="128"/>
      <c r="C682" s="97" t="s">
        <v>116</v>
      </c>
      <c r="D682" s="97" t="s">
        <v>429</v>
      </c>
      <c r="E682" s="97" t="s">
        <v>188</v>
      </c>
      <c r="F682" s="108"/>
      <c r="G682" s="161">
        <f>SUM(G683+G685)</f>
        <v>0</v>
      </c>
      <c r="H682" s="161">
        <f>SUM(H683+H685)</f>
        <v>0</v>
      </c>
      <c r="I682" s="13"/>
    </row>
    <row r="683" spans="1:9" ht="28.5" hidden="1">
      <c r="A683" s="51" t="s">
        <v>189</v>
      </c>
      <c r="B683" s="128"/>
      <c r="C683" s="97" t="s">
        <v>116</v>
      </c>
      <c r="D683" s="97" t="s">
        <v>429</v>
      </c>
      <c r="E683" s="97" t="s">
        <v>190</v>
      </c>
      <c r="F683" s="108"/>
      <c r="G683" s="161">
        <f>SUM(G684)</f>
        <v>0</v>
      </c>
      <c r="H683" s="161">
        <f>SUM(H684)</f>
        <v>0</v>
      </c>
      <c r="I683" s="13"/>
    </row>
    <row r="684" spans="1:9" ht="42.75" hidden="1">
      <c r="A684" s="54" t="s">
        <v>150</v>
      </c>
      <c r="B684" s="130"/>
      <c r="C684" s="97" t="s">
        <v>116</v>
      </c>
      <c r="D684" s="97" t="s">
        <v>429</v>
      </c>
      <c r="E684" s="97" t="s">
        <v>190</v>
      </c>
      <c r="F684" s="124" t="s">
        <v>49</v>
      </c>
      <c r="G684" s="161"/>
      <c r="H684" s="161"/>
      <c r="I684" s="13"/>
    </row>
    <row r="685" spans="1:9" ht="15" hidden="1">
      <c r="A685" s="51" t="s">
        <v>151</v>
      </c>
      <c r="B685" s="36"/>
      <c r="C685" s="97" t="s">
        <v>116</v>
      </c>
      <c r="D685" s="97" t="s">
        <v>429</v>
      </c>
      <c r="E685" s="46" t="s">
        <v>385</v>
      </c>
      <c r="F685" s="124"/>
      <c r="G685" s="161">
        <f>SUM(G688+G690)+G686</f>
        <v>0</v>
      </c>
      <c r="H685" s="161">
        <f>SUM(H688+H690)+H686</f>
        <v>0</v>
      </c>
      <c r="I685" s="13" t="e">
        <f aca="true" t="shared" si="32" ref="I685:I691">SUM(H685/G688*100)</f>
        <v>#DIV/0!</v>
      </c>
    </row>
    <row r="686" spans="1:9" ht="28.5" hidden="1">
      <c r="A686" s="51" t="s">
        <v>432</v>
      </c>
      <c r="B686" s="36"/>
      <c r="C686" s="97" t="s">
        <v>116</v>
      </c>
      <c r="D686" s="97" t="s">
        <v>429</v>
      </c>
      <c r="E686" s="46" t="s">
        <v>386</v>
      </c>
      <c r="F686" s="124"/>
      <c r="G686" s="161">
        <f>SUM(G687)</f>
        <v>0</v>
      </c>
      <c r="H686" s="161">
        <f>SUM(H687)</f>
        <v>0</v>
      </c>
      <c r="I686" s="13" t="e">
        <f t="shared" si="32"/>
        <v>#DIV/0!</v>
      </c>
    </row>
    <row r="687" spans="1:9" ht="15" hidden="1">
      <c r="A687" s="51" t="s">
        <v>151</v>
      </c>
      <c r="B687" s="36"/>
      <c r="C687" s="97" t="s">
        <v>116</v>
      </c>
      <c r="D687" s="97" t="s">
        <v>429</v>
      </c>
      <c r="E687" s="46" t="s">
        <v>386</v>
      </c>
      <c r="F687" s="124" t="s">
        <v>76</v>
      </c>
      <c r="G687" s="161"/>
      <c r="H687" s="161"/>
      <c r="I687" s="13" t="e">
        <f t="shared" si="32"/>
        <v>#DIV/0!</v>
      </c>
    </row>
    <row r="688" spans="1:9" ht="28.5" hidden="1">
      <c r="A688" s="54" t="s">
        <v>384</v>
      </c>
      <c r="B688" s="130"/>
      <c r="C688" s="97" t="s">
        <v>116</v>
      </c>
      <c r="D688" s="97" t="s">
        <v>429</v>
      </c>
      <c r="E688" s="97" t="s">
        <v>383</v>
      </c>
      <c r="F688" s="124"/>
      <c r="G688" s="161">
        <f>SUM(G689)</f>
        <v>0</v>
      </c>
      <c r="H688" s="161">
        <f>SUM(H689)</f>
        <v>0</v>
      </c>
      <c r="I688" s="13" t="e">
        <f t="shared" si="32"/>
        <v>#DIV/0!</v>
      </c>
    </row>
    <row r="689" spans="1:9" ht="15" hidden="1">
      <c r="A689" s="54" t="s">
        <v>135</v>
      </c>
      <c r="B689" s="130"/>
      <c r="C689" s="97" t="s">
        <v>116</v>
      </c>
      <c r="D689" s="97" t="s">
        <v>429</v>
      </c>
      <c r="E689" s="97" t="s">
        <v>383</v>
      </c>
      <c r="F689" s="124" t="s">
        <v>76</v>
      </c>
      <c r="G689" s="161"/>
      <c r="H689" s="161"/>
      <c r="I689" s="13" t="e">
        <f t="shared" si="32"/>
        <v>#DIV/0!</v>
      </c>
    </row>
    <row r="690" spans="1:9" ht="15" hidden="1">
      <c r="A690" s="54" t="s">
        <v>147</v>
      </c>
      <c r="B690" s="130"/>
      <c r="C690" s="97" t="s">
        <v>116</v>
      </c>
      <c r="D690" s="97" t="s">
        <v>429</v>
      </c>
      <c r="E690" s="97" t="s">
        <v>198</v>
      </c>
      <c r="F690" s="124"/>
      <c r="G690" s="161">
        <f>SUM(G691)</f>
        <v>0</v>
      </c>
      <c r="H690" s="161">
        <f>SUM(H691)</f>
        <v>0</v>
      </c>
      <c r="I690" s="13" t="e">
        <f t="shared" si="32"/>
        <v>#DIV/0!</v>
      </c>
    </row>
    <row r="691" spans="1:9" ht="15" hidden="1">
      <c r="A691" s="54" t="s">
        <v>135</v>
      </c>
      <c r="B691" s="130"/>
      <c r="C691" s="97" t="s">
        <v>116</v>
      </c>
      <c r="D691" s="97" t="s">
        <v>429</v>
      </c>
      <c r="E691" s="97" t="s">
        <v>198</v>
      </c>
      <c r="F691" s="124" t="s">
        <v>76</v>
      </c>
      <c r="G691" s="161"/>
      <c r="H691" s="161"/>
      <c r="I691" s="13" t="e">
        <f t="shared" si="32"/>
        <v>#DIV/0!</v>
      </c>
    </row>
    <row r="692" spans="1:9" ht="28.5" hidden="1">
      <c r="A692" s="51" t="s">
        <v>47</v>
      </c>
      <c r="B692" s="47"/>
      <c r="C692" s="97" t="s">
        <v>116</v>
      </c>
      <c r="D692" s="97" t="s">
        <v>429</v>
      </c>
      <c r="E692" s="97" t="s">
        <v>130</v>
      </c>
      <c r="F692" s="108"/>
      <c r="G692" s="161">
        <f>SUM(G693:G695)</f>
        <v>0</v>
      </c>
      <c r="H692" s="161">
        <f>SUM(H693:H695)</f>
        <v>0</v>
      </c>
      <c r="I692" s="13"/>
    </row>
    <row r="693" spans="1:9" ht="15" hidden="1">
      <c r="A693" s="54" t="s">
        <v>48</v>
      </c>
      <c r="B693" s="47"/>
      <c r="C693" s="97" t="s">
        <v>116</v>
      </c>
      <c r="D693" s="97" t="s">
        <v>429</v>
      </c>
      <c r="E693" s="97" t="s">
        <v>130</v>
      </c>
      <c r="F693" s="108" t="s">
        <v>240</v>
      </c>
      <c r="G693" s="161"/>
      <c r="H693" s="161"/>
      <c r="I693" s="13" t="e">
        <f>SUM(H693/G696*100)</f>
        <v>#DIV/0!</v>
      </c>
    </row>
    <row r="694" spans="1:9" ht="28.5" hidden="1">
      <c r="A694" s="54" t="s">
        <v>340</v>
      </c>
      <c r="B694" s="130"/>
      <c r="C694" s="97" t="s">
        <v>116</v>
      </c>
      <c r="D694" s="97" t="s">
        <v>429</v>
      </c>
      <c r="E694" s="97" t="s">
        <v>130</v>
      </c>
      <c r="F694" s="124" t="s">
        <v>341</v>
      </c>
      <c r="G694" s="161"/>
      <c r="H694" s="161"/>
      <c r="I694" s="13">
        <f>SUM(H694/G697*100)</f>
        <v>0</v>
      </c>
    </row>
    <row r="695" spans="1:9" ht="42.75" hidden="1">
      <c r="A695" s="51" t="s">
        <v>250</v>
      </c>
      <c r="B695" s="36"/>
      <c r="C695" s="97" t="s">
        <v>116</v>
      </c>
      <c r="D695" s="97" t="s">
        <v>429</v>
      </c>
      <c r="E695" s="97" t="s">
        <v>342</v>
      </c>
      <c r="F695" s="124"/>
      <c r="G695" s="161">
        <f>SUM(G696)</f>
        <v>0</v>
      </c>
      <c r="H695" s="161">
        <f>SUM(H696)</f>
        <v>0</v>
      </c>
      <c r="I695" s="13">
        <f>SUM(H695/G698*100)</f>
        <v>0</v>
      </c>
    </row>
    <row r="696" spans="1:9" ht="15" hidden="1">
      <c r="A696" s="54" t="s">
        <v>239</v>
      </c>
      <c r="B696" s="130"/>
      <c r="C696" s="97" t="s">
        <v>116</v>
      </c>
      <c r="D696" s="97" t="s">
        <v>429</v>
      </c>
      <c r="E696" s="97" t="s">
        <v>342</v>
      </c>
      <c r="F696" s="124" t="s">
        <v>240</v>
      </c>
      <c r="G696" s="161"/>
      <c r="H696" s="161"/>
      <c r="I696" s="13"/>
    </row>
    <row r="697" spans="1:9" ht="15">
      <c r="A697" s="51" t="s">
        <v>343</v>
      </c>
      <c r="B697" s="36"/>
      <c r="C697" s="97" t="s">
        <v>116</v>
      </c>
      <c r="D697" s="97" t="s">
        <v>429</v>
      </c>
      <c r="E697" s="97" t="s">
        <v>344</v>
      </c>
      <c r="F697" s="108"/>
      <c r="G697" s="161">
        <f>SUM(G698)</f>
        <v>7106.6</v>
      </c>
      <c r="H697" s="161">
        <f>SUM(H698)</f>
        <v>7106.6</v>
      </c>
      <c r="I697" s="13"/>
    </row>
    <row r="698" spans="1:9" ht="15">
      <c r="A698" s="51" t="s">
        <v>87</v>
      </c>
      <c r="B698" s="128"/>
      <c r="C698" s="97" t="s">
        <v>116</v>
      </c>
      <c r="D698" s="97" t="s">
        <v>429</v>
      </c>
      <c r="E698" s="97" t="s">
        <v>74</v>
      </c>
      <c r="F698" s="108"/>
      <c r="G698" s="161">
        <f>SUM(G699)+G701</f>
        <v>7106.6</v>
      </c>
      <c r="H698" s="161">
        <f>SUM(H699)+H701</f>
        <v>7106.6</v>
      </c>
      <c r="I698" s="13"/>
    </row>
    <row r="699" spans="1:9" ht="28.5">
      <c r="A699" s="51" t="s">
        <v>189</v>
      </c>
      <c r="B699" s="128"/>
      <c r="C699" s="97" t="s">
        <v>116</v>
      </c>
      <c r="D699" s="97" t="s">
        <v>429</v>
      </c>
      <c r="E699" s="97" t="s">
        <v>75</v>
      </c>
      <c r="F699" s="108"/>
      <c r="G699" s="161">
        <f>SUM(G700)</f>
        <v>7106.6</v>
      </c>
      <c r="H699" s="161">
        <f>SUM(H700)</f>
        <v>7106.6</v>
      </c>
      <c r="I699" s="13"/>
    </row>
    <row r="700" spans="1:9" ht="28.5">
      <c r="A700" s="54" t="s">
        <v>480</v>
      </c>
      <c r="B700" s="130"/>
      <c r="C700" s="97" t="s">
        <v>116</v>
      </c>
      <c r="D700" s="97" t="s">
        <v>429</v>
      </c>
      <c r="E700" s="97" t="s">
        <v>75</v>
      </c>
      <c r="F700" s="124" t="s">
        <v>477</v>
      </c>
      <c r="G700" s="161">
        <v>7106.6</v>
      </c>
      <c r="H700" s="161">
        <v>7106.6</v>
      </c>
      <c r="I700" s="13"/>
    </row>
    <row r="701" spans="1:9" ht="15" hidden="1">
      <c r="A701" s="51" t="s">
        <v>151</v>
      </c>
      <c r="B701" s="130"/>
      <c r="C701" s="97" t="s">
        <v>116</v>
      </c>
      <c r="D701" s="97" t="s">
        <v>429</v>
      </c>
      <c r="E701" s="97" t="s">
        <v>199</v>
      </c>
      <c r="F701" s="124"/>
      <c r="G701" s="161">
        <f>SUM(G704+G702)</f>
        <v>0</v>
      </c>
      <c r="H701" s="161">
        <f>SUM(H704+H702)</f>
        <v>0</v>
      </c>
      <c r="I701" s="13" t="e">
        <f aca="true" t="shared" si="33" ref="I701:I714">SUM(H701/G704*100)</f>
        <v>#DIV/0!</v>
      </c>
    </row>
    <row r="702" spans="1:9" ht="28.5" hidden="1">
      <c r="A702" s="51" t="s">
        <v>432</v>
      </c>
      <c r="B702" s="130"/>
      <c r="C702" s="97" t="s">
        <v>116</v>
      </c>
      <c r="D702" s="97" t="s">
        <v>429</v>
      </c>
      <c r="E702" s="97" t="s">
        <v>434</v>
      </c>
      <c r="F702" s="124"/>
      <c r="G702" s="161">
        <f>SUM(G703)</f>
        <v>0</v>
      </c>
      <c r="H702" s="161">
        <f>SUM(H703)</f>
        <v>0</v>
      </c>
      <c r="I702" s="13" t="e">
        <f t="shared" si="33"/>
        <v>#DIV/0!</v>
      </c>
    </row>
    <row r="703" spans="1:9" ht="15" hidden="1">
      <c r="A703" s="51" t="s">
        <v>151</v>
      </c>
      <c r="B703" s="130"/>
      <c r="C703" s="97" t="s">
        <v>116</v>
      </c>
      <c r="D703" s="97" t="s">
        <v>429</v>
      </c>
      <c r="E703" s="97" t="s">
        <v>434</v>
      </c>
      <c r="F703" s="124" t="s">
        <v>76</v>
      </c>
      <c r="G703" s="161"/>
      <c r="H703" s="161"/>
      <c r="I703" s="13">
        <f t="shared" si="33"/>
        <v>0</v>
      </c>
    </row>
    <row r="704" spans="1:9" ht="28.5" hidden="1">
      <c r="A704" s="54" t="s">
        <v>384</v>
      </c>
      <c r="B704" s="130"/>
      <c r="C704" s="97" t="s">
        <v>116</v>
      </c>
      <c r="D704" s="97" t="s">
        <v>429</v>
      </c>
      <c r="E704" s="97" t="s">
        <v>145</v>
      </c>
      <c r="F704" s="124"/>
      <c r="G704" s="161">
        <f>SUM(G705)</f>
        <v>0</v>
      </c>
      <c r="H704" s="161">
        <f>SUM(H705)</f>
        <v>0</v>
      </c>
      <c r="I704" s="13">
        <f t="shared" si="33"/>
        <v>0</v>
      </c>
    </row>
    <row r="705" spans="1:9" ht="15" hidden="1">
      <c r="A705" s="54" t="s">
        <v>135</v>
      </c>
      <c r="B705" s="130"/>
      <c r="C705" s="97" t="s">
        <v>116</v>
      </c>
      <c r="D705" s="97" t="s">
        <v>429</v>
      </c>
      <c r="E705" s="97" t="s">
        <v>145</v>
      </c>
      <c r="F705" s="124" t="s">
        <v>76</v>
      </c>
      <c r="G705" s="161"/>
      <c r="H705" s="161"/>
      <c r="I705" s="13">
        <f t="shared" si="33"/>
        <v>0</v>
      </c>
    </row>
    <row r="706" spans="1:9" ht="15">
      <c r="A706" s="51" t="s">
        <v>345</v>
      </c>
      <c r="B706" s="36"/>
      <c r="C706" s="97" t="s">
        <v>116</v>
      </c>
      <c r="D706" s="97" t="s">
        <v>429</v>
      </c>
      <c r="E706" s="97" t="s">
        <v>346</v>
      </c>
      <c r="F706" s="108"/>
      <c r="G706" s="161">
        <f>SUM(G707)</f>
        <v>46695.8</v>
      </c>
      <c r="H706" s="161">
        <f>SUM(H707)</f>
        <v>46695.8</v>
      </c>
      <c r="I706" s="13">
        <f t="shared" si="33"/>
        <v>1063.734110893435</v>
      </c>
    </row>
    <row r="707" spans="1:9" ht="28.5">
      <c r="A707" s="51" t="s">
        <v>47</v>
      </c>
      <c r="B707" s="128"/>
      <c r="C707" s="97" t="s">
        <v>116</v>
      </c>
      <c r="D707" s="97" t="s">
        <v>429</v>
      </c>
      <c r="E707" s="97" t="s">
        <v>347</v>
      </c>
      <c r="F707" s="108"/>
      <c r="G707" s="161">
        <f>SUM(G708:G710)</f>
        <v>46695.8</v>
      </c>
      <c r="H707" s="161">
        <f>SUM(H708:H710)</f>
        <v>46695.8</v>
      </c>
      <c r="I707" s="13">
        <f t="shared" si="33"/>
        <v>8767.517837025911</v>
      </c>
    </row>
    <row r="708" spans="1:9" ht="28.5">
      <c r="A708" s="51" t="s">
        <v>461</v>
      </c>
      <c r="B708" s="36"/>
      <c r="C708" s="97" t="s">
        <v>116</v>
      </c>
      <c r="D708" s="97" t="s">
        <v>429</v>
      </c>
      <c r="E708" s="97" t="s">
        <v>347</v>
      </c>
      <c r="F708" s="107" t="s">
        <v>462</v>
      </c>
      <c r="G708" s="161">
        <v>41773.4</v>
      </c>
      <c r="H708" s="161">
        <v>41773.4</v>
      </c>
      <c r="I708" s="13" t="e">
        <f t="shared" si="33"/>
        <v>#DIV/0!</v>
      </c>
    </row>
    <row r="709" spans="1:9" ht="15">
      <c r="A709" s="51" t="s">
        <v>463</v>
      </c>
      <c r="B709" s="36"/>
      <c r="C709" s="97" t="s">
        <v>116</v>
      </c>
      <c r="D709" s="97" t="s">
        <v>429</v>
      </c>
      <c r="E709" s="97" t="s">
        <v>347</v>
      </c>
      <c r="F709" s="107" t="s">
        <v>112</v>
      </c>
      <c r="G709" s="162">
        <v>4389.8</v>
      </c>
      <c r="H709" s="162">
        <v>4389.8</v>
      </c>
      <c r="I709" s="13" t="e">
        <f t="shared" si="33"/>
        <v>#DIV/0!</v>
      </c>
    </row>
    <row r="710" spans="1:9" ht="15">
      <c r="A710" s="51" t="s">
        <v>467</v>
      </c>
      <c r="B710" s="36"/>
      <c r="C710" s="97" t="s">
        <v>116</v>
      </c>
      <c r="D710" s="97" t="s">
        <v>429</v>
      </c>
      <c r="E710" s="97" t="s">
        <v>347</v>
      </c>
      <c r="F710" s="108" t="s">
        <v>161</v>
      </c>
      <c r="G710" s="161">
        <v>532.6</v>
      </c>
      <c r="H710" s="161">
        <v>532.6</v>
      </c>
      <c r="I710" s="13" t="e">
        <f t="shared" si="33"/>
        <v>#DIV/0!</v>
      </c>
    </row>
    <row r="711" spans="1:9" ht="42.75" hidden="1">
      <c r="A711" s="54" t="s">
        <v>53</v>
      </c>
      <c r="B711" s="130"/>
      <c r="C711" s="97" t="s">
        <v>116</v>
      </c>
      <c r="D711" s="97" t="s">
        <v>429</v>
      </c>
      <c r="E711" s="97" t="s">
        <v>348</v>
      </c>
      <c r="F711" s="124"/>
      <c r="G711" s="161">
        <f>SUM(G712)</f>
        <v>0</v>
      </c>
      <c r="H711" s="161">
        <f>SUM(H712)</f>
        <v>0</v>
      </c>
      <c r="I711" s="13" t="e">
        <f t="shared" si="33"/>
        <v>#DIV/0!</v>
      </c>
    </row>
    <row r="712" spans="1:9" ht="15" hidden="1">
      <c r="A712" s="54" t="s">
        <v>48</v>
      </c>
      <c r="B712" s="130"/>
      <c r="C712" s="97" t="s">
        <v>116</v>
      </c>
      <c r="D712" s="97" t="s">
        <v>429</v>
      </c>
      <c r="E712" s="97" t="s">
        <v>348</v>
      </c>
      <c r="F712" s="124" t="s">
        <v>240</v>
      </c>
      <c r="G712" s="161"/>
      <c r="H712" s="161"/>
      <c r="I712" s="13" t="e">
        <f t="shared" si="33"/>
        <v>#DIV/0!</v>
      </c>
    </row>
    <row r="713" spans="1:9" ht="28.5" hidden="1">
      <c r="A713" s="54" t="s">
        <v>349</v>
      </c>
      <c r="B713" s="130"/>
      <c r="C713" s="97" t="s">
        <v>116</v>
      </c>
      <c r="D713" s="97" t="s">
        <v>429</v>
      </c>
      <c r="E713" s="97" t="s">
        <v>350</v>
      </c>
      <c r="F713" s="124"/>
      <c r="G713" s="161">
        <f>SUM(G716+G714)</f>
        <v>0</v>
      </c>
      <c r="H713" s="161">
        <f>SUM(H716+H714)</f>
        <v>0</v>
      </c>
      <c r="I713" s="13" t="e">
        <f t="shared" si="33"/>
        <v>#DIV/0!</v>
      </c>
    </row>
    <row r="714" spans="1:9" ht="15" hidden="1">
      <c r="A714" s="54" t="s">
        <v>239</v>
      </c>
      <c r="B714" s="130"/>
      <c r="C714" s="97" t="s">
        <v>116</v>
      </c>
      <c r="D714" s="97" t="s">
        <v>429</v>
      </c>
      <c r="E714" s="97" t="s">
        <v>350</v>
      </c>
      <c r="F714" s="124" t="s">
        <v>240</v>
      </c>
      <c r="G714" s="161"/>
      <c r="H714" s="161"/>
      <c r="I714" s="13" t="e">
        <f t="shared" si="33"/>
        <v>#DIV/0!</v>
      </c>
    </row>
    <row r="715" spans="1:9" ht="42.75" hidden="1">
      <c r="A715" s="54" t="s">
        <v>351</v>
      </c>
      <c r="B715" s="130"/>
      <c r="C715" s="97" t="s">
        <v>116</v>
      </c>
      <c r="D715" s="97" t="s">
        <v>429</v>
      </c>
      <c r="E715" s="97" t="s">
        <v>352</v>
      </c>
      <c r="F715" s="124"/>
      <c r="G715" s="161">
        <f>SUM(G716)</f>
        <v>0</v>
      </c>
      <c r="H715" s="161">
        <f>SUM(H716)</f>
        <v>0</v>
      </c>
      <c r="I715" s="13"/>
    </row>
    <row r="716" spans="1:9" ht="15" hidden="1">
      <c r="A716" s="54" t="s">
        <v>239</v>
      </c>
      <c r="B716" s="130"/>
      <c r="C716" s="97" t="s">
        <v>116</v>
      </c>
      <c r="D716" s="97" t="s">
        <v>429</v>
      </c>
      <c r="E716" s="97" t="s">
        <v>352</v>
      </c>
      <c r="F716" s="124" t="s">
        <v>240</v>
      </c>
      <c r="G716" s="161"/>
      <c r="H716" s="161"/>
      <c r="I716" s="13" t="e">
        <f aca="true" t="shared" si="34" ref="I716:I724">SUM(H716/G719*100)</f>
        <v>#DIV/0!</v>
      </c>
    </row>
    <row r="717" spans="1:9" ht="15" hidden="1">
      <c r="A717" s="54" t="s">
        <v>121</v>
      </c>
      <c r="B717" s="128"/>
      <c r="C717" s="97" t="s">
        <v>116</v>
      </c>
      <c r="D717" s="97" t="s">
        <v>429</v>
      </c>
      <c r="E717" s="97" t="s">
        <v>122</v>
      </c>
      <c r="F717" s="108"/>
      <c r="G717" s="161">
        <f>SUM(G718)</f>
        <v>0</v>
      </c>
      <c r="H717" s="161">
        <f>SUM(H718)</f>
        <v>0</v>
      </c>
      <c r="I717" s="13" t="e">
        <f t="shared" si="34"/>
        <v>#DIV/0!</v>
      </c>
    </row>
    <row r="718" spans="1:9" ht="42.75" hidden="1">
      <c r="A718" s="51" t="s">
        <v>191</v>
      </c>
      <c r="B718" s="128"/>
      <c r="C718" s="97" t="s">
        <v>116</v>
      </c>
      <c r="D718" s="97" t="s">
        <v>429</v>
      </c>
      <c r="E718" s="97" t="s">
        <v>292</v>
      </c>
      <c r="F718" s="108"/>
      <c r="G718" s="161">
        <f>SUM(G719:G720)</f>
        <v>0</v>
      </c>
      <c r="H718" s="161">
        <f>SUM(H719:H720)</f>
        <v>0</v>
      </c>
      <c r="I718" s="13">
        <f t="shared" si="34"/>
        <v>0</v>
      </c>
    </row>
    <row r="719" spans="1:9" ht="15" hidden="1">
      <c r="A719" s="54" t="s">
        <v>48</v>
      </c>
      <c r="B719" s="128"/>
      <c r="C719" s="97" t="s">
        <v>116</v>
      </c>
      <c r="D719" s="97" t="s">
        <v>429</v>
      </c>
      <c r="E719" s="97" t="s">
        <v>292</v>
      </c>
      <c r="F719" s="108" t="s">
        <v>240</v>
      </c>
      <c r="G719" s="161"/>
      <c r="H719" s="161"/>
      <c r="I719" s="13" t="e">
        <f t="shared" si="34"/>
        <v>#DIV/0!</v>
      </c>
    </row>
    <row r="720" spans="1:9" ht="15" hidden="1">
      <c r="A720" s="54" t="s">
        <v>135</v>
      </c>
      <c r="B720" s="128"/>
      <c r="C720" s="97" t="s">
        <v>116</v>
      </c>
      <c r="D720" s="97" t="s">
        <v>429</v>
      </c>
      <c r="E720" s="97" t="s">
        <v>292</v>
      </c>
      <c r="F720" s="108" t="s">
        <v>76</v>
      </c>
      <c r="G720" s="161"/>
      <c r="H720" s="161"/>
      <c r="I720" s="13" t="e">
        <f t="shared" si="34"/>
        <v>#DIV/0!</v>
      </c>
    </row>
    <row r="721" spans="1:9" ht="15">
      <c r="A721" s="53" t="s">
        <v>218</v>
      </c>
      <c r="B721" s="128"/>
      <c r="C721" s="97" t="s">
        <v>116</v>
      </c>
      <c r="D721" s="97" t="s">
        <v>114</v>
      </c>
      <c r="E721" s="97"/>
      <c r="F721" s="108"/>
      <c r="G721" s="161">
        <f>SUM(G725+G730+G723)</f>
        <v>7164</v>
      </c>
      <c r="H721" s="161">
        <f>SUM(H725+H730+H723)</f>
        <v>7164</v>
      </c>
      <c r="I721" s="13" t="e">
        <f t="shared" si="34"/>
        <v>#DIV/0!</v>
      </c>
    </row>
    <row r="722" spans="1:9" ht="15" hidden="1">
      <c r="A722" s="51" t="s">
        <v>376</v>
      </c>
      <c r="B722" s="128"/>
      <c r="C722" s="97" t="s">
        <v>116</v>
      </c>
      <c r="D722" s="97" t="s">
        <v>114</v>
      </c>
      <c r="E722" s="97" t="s">
        <v>378</v>
      </c>
      <c r="F722" s="108"/>
      <c r="G722" s="161">
        <f>SUM(G723)</f>
        <v>0</v>
      </c>
      <c r="H722" s="161">
        <f>SUM(H723)</f>
        <v>0</v>
      </c>
      <c r="I722" s="13">
        <f t="shared" si="34"/>
        <v>0</v>
      </c>
    </row>
    <row r="723" spans="1:9" ht="15" hidden="1">
      <c r="A723" s="51" t="s">
        <v>357</v>
      </c>
      <c r="B723" s="128"/>
      <c r="C723" s="97" t="s">
        <v>116</v>
      </c>
      <c r="D723" s="97" t="s">
        <v>114</v>
      </c>
      <c r="E723" s="97" t="s">
        <v>358</v>
      </c>
      <c r="F723" s="108"/>
      <c r="G723" s="161">
        <f>SUM(G724)</f>
        <v>0</v>
      </c>
      <c r="H723" s="161">
        <f>SUM(H724)</f>
        <v>0</v>
      </c>
      <c r="I723" s="13">
        <f t="shared" si="34"/>
        <v>0</v>
      </c>
    </row>
    <row r="724" spans="1:9" ht="28.5" hidden="1">
      <c r="A724" s="51" t="s">
        <v>300</v>
      </c>
      <c r="B724" s="128"/>
      <c r="C724" s="97" t="s">
        <v>116</v>
      </c>
      <c r="D724" s="97" t="s">
        <v>114</v>
      </c>
      <c r="E724" s="97" t="s">
        <v>358</v>
      </c>
      <c r="F724" s="108" t="s">
        <v>301</v>
      </c>
      <c r="G724" s="161"/>
      <c r="H724" s="161"/>
      <c r="I724" s="13">
        <f t="shared" si="34"/>
        <v>0</v>
      </c>
    </row>
    <row r="725" spans="1:9" ht="42.75">
      <c r="A725" s="53" t="s">
        <v>283</v>
      </c>
      <c r="B725" s="128"/>
      <c r="C725" s="97" t="s">
        <v>116</v>
      </c>
      <c r="D725" s="97" t="s">
        <v>114</v>
      </c>
      <c r="E725" s="97" t="s">
        <v>284</v>
      </c>
      <c r="F725" s="108"/>
      <c r="G725" s="161">
        <f>SUM(G726)</f>
        <v>7164</v>
      </c>
      <c r="H725" s="161">
        <f>SUM(H726)</f>
        <v>7164</v>
      </c>
      <c r="I725" s="13"/>
    </row>
    <row r="726" spans="1:9" ht="28.5">
      <c r="A726" s="51" t="s">
        <v>47</v>
      </c>
      <c r="B726" s="128"/>
      <c r="C726" s="97" t="s">
        <v>116</v>
      </c>
      <c r="D726" s="97" t="s">
        <v>114</v>
      </c>
      <c r="E726" s="97" t="s">
        <v>285</v>
      </c>
      <c r="F726" s="108"/>
      <c r="G726" s="161">
        <f>SUM(G727:G729)</f>
        <v>7164</v>
      </c>
      <c r="H726" s="161">
        <f>SUM(H727:H729)</f>
        <v>7164</v>
      </c>
      <c r="I726" s="13"/>
    </row>
    <row r="727" spans="1:9" ht="28.5">
      <c r="A727" s="51" t="s">
        <v>461</v>
      </c>
      <c r="B727" s="130"/>
      <c r="C727" s="97" t="s">
        <v>116</v>
      </c>
      <c r="D727" s="97" t="s">
        <v>114</v>
      </c>
      <c r="E727" s="97" t="s">
        <v>285</v>
      </c>
      <c r="F727" s="124" t="s">
        <v>462</v>
      </c>
      <c r="G727" s="161">
        <v>6337.8</v>
      </c>
      <c r="H727" s="161">
        <v>6337.8</v>
      </c>
      <c r="I727" s="13"/>
    </row>
    <row r="728" spans="1:9" ht="15">
      <c r="A728" s="51" t="s">
        <v>463</v>
      </c>
      <c r="B728" s="130"/>
      <c r="C728" s="97" t="s">
        <v>116</v>
      </c>
      <c r="D728" s="97" t="s">
        <v>114</v>
      </c>
      <c r="E728" s="97" t="s">
        <v>285</v>
      </c>
      <c r="F728" s="124" t="s">
        <v>112</v>
      </c>
      <c r="G728" s="161">
        <v>817.3</v>
      </c>
      <c r="H728" s="161">
        <v>817.3</v>
      </c>
      <c r="I728" s="13"/>
    </row>
    <row r="729" spans="1:9" ht="15">
      <c r="A729" s="51" t="s">
        <v>467</v>
      </c>
      <c r="B729" s="130"/>
      <c r="C729" s="97" t="s">
        <v>116</v>
      </c>
      <c r="D729" s="97" t="s">
        <v>114</v>
      </c>
      <c r="E729" s="97" t="s">
        <v>285</v>
      </c>
      <c r="F729" s="124" t="s">
        <v>161</v>
      </c>
      <c r="G729" s="161">
        <v>8.9</v>
      </c>
      <c r="H729" s="161">
        <v>8.9</v>
      </c>
      <c r="I729" s="13"/>
    </row>
    <row r="730" spans="1:9" ht="15" hidden="1">
      <c r="A730" s="54" t="s">
        <v>121</v>
      </c>
      <c r="B730" s="128"/>
      <c r="C730" s="97" t="s">
        <v>116</v>
      </c>
      <c r="D730" s="97" t="s">
        <v>114</v>
      </c>
      <c r="E730" s="97" t="s">
        <v>122</v>
      </c>
      <c r="F730" s="108"/>
      <c r="G730" s="161">
        <f>SUM(G733)+G736+G731</f>
        <v>0</v>
      </c>
      <c r="H730" s="72">
        <f>SUM(H733)+H736+H731</f>
        <v>0</v>
      </c>
      <c r="I730" s="13"/>
    </row>
    <row r="731" spans="1:9" ht="42.75" hidden="1">
      <c r="A731" s="51" t="s">
        <v>191</v>
      </c>
      <c r="B731" s="128"/>
      <c r="C731" s="97" t="s">
        <v>116</v>
      </c>
      <c r="D731" s="97" t="s">
        <v>114</v>
      </c>
      <c r="E731" s="97" t="s">
        <v>292</v>
      </c>
      <c r="F731" s="108"/>
      <c r="G731" s="161">
        <f>SUM(G732)</f>
        <v>0</v>
      </c>
      <c r="H731" s="72">
        <f>SUM(H732)</f>
        <v>0</v>
      </c>
      <c r="I731" s="13"/>
    </row>
    <row r="732" spans="1:9" ht="15" hidden="1">
      <c r="A732" s="54" t="s">
        <v>48</v>
      </c>
      <c r="B732" s="128"/>
      <c r="C732" s="97" t="s">
        <v>116</v>
      </c>
      <c r="D732" s="97" t="s">
        <v>114</v>
      </c>
      <c r="E732" s="97" t="s">
        <v>292</v>
      </c>
      <c r="F732" s="108" t="s">
        <v>240</v>
      </c>
      <c r="G732" s="161"/>
      <c r="H732" s="72"/>
      <c r="I732" s="13"/>
    </row>
    <row r="733" spans="1:9" ht="28.5" hidden="1">
      <c r="A733" s="51" t="s">
        <v>478</v>
      </c>
      <c r="B733" s="128"/>
      <c r="C733" s="97" t="s">
        <v>116</v>
      </c>
      <c r="D733" s="97" t="s">
        <v>114</v>
      </c>
      <c r="E733" s="97" t="s">
        <v>302</v>
      </c>
      <c r="F733" s="108"/>
      <c r="G733" s="161">
        <f>SUM(G734:G735)</f>
        <v>0</v>
      </c>
      <c r="H733" s="72">
        <f>SUM(H734:H735)</f>
        <v>0</v>
      </c>
      <c r="I733" s="13"/>
    </row>
    <row r="734" spans="1:9" ht="42.75" hidden="1">
      <c r="A734" s="54" t="s">
        <v>88</v>
      </c>
      <c r="B734" s="128"/>
      <c r="C734" s="97" t="s">
        <v>116</v>
      </c>
      <c r="D734" s="97" t="s">
        <v>114</v>
      </c>
      <c r="E734" s="97" t="s">
        <v>302</v>
      </c>
      <c r="F734" s="108" t="s">
        <v>301</v>
      </c>
      <c r="G734" s="161"/>
      <c r="H734" s="72"/>
      <c r="I734" s="13"/>
    </row>
    <row r="735" spans="1:9" ht="15" hidden="1">
      <c r="A735" s="51" t="s">
        <v>151</v>
      </c>
      <c r="B735" s="128"/>
      <c r="C735" s="97" t="s">
        <v>116</v>
      </c>
      <c r="D735" s="97" t="s">
        <v>114</v>
      </c>
      <c r="E735" s="97" t="s">
        <v>302</v>
      </c>
      <c r="F735" s="108" t="s">
        <v>76</v>
      </c>
      <c r="G735" s="177"/>
      <c r="H735" s="178"/>
      <c r="I735" s="13"/>
    </row>
    <row r="736" spans="1:9" ht="15.75" hidden="1">
      <c r="A736" s="51" t="s">
        <v>479</v>
      </c>
      <c r="B736" s="128"/>
      <c r="C736" s="97" t="s">
        <v>116</v>
      </c>
      <c r="D736" s="97" t="s">
        <v>114</v>
      </c>
      <c r="E736" s="97" t="s">
        <v>303</v>
      </c>
      <c r="F736" s="108"/>
      <c r="G736" s="177">
        <f>SUM(G737:G738)</f>
        <v>0</v>
      </c>
      <c r="H736" s="178">
        <f>SUM(H737:H738)</f>
        <v>0</v>
      </c>
      <c r="I736" s="16">
        <f aca="true" t="shared" si="35" ref="I736:I751">SUM(H736/G739*100)</f>
        <v>0</v>
      </c>
    </row>
    <row r="737" spans="1:9" ht="28.5" hidden="1">
      <c r="A737" s="51" t="s">
        <v>461</v>
      </c>
      <c r="B737" s="128"/>
      <c r="C737" s="97" t="s">
        <v>116</v>
      </c>
      <c r="D737" s="97" t="s">
        <v>114</v>
      </c>
      <c r="E737" s="97" t="s">
        <v>303</v>
      </c>
      <c r="F737" s="108" t="s">
        <v>462</v>
      </c>
      <c r="G737" s="177"/>
      <c r="H737" s="178"/>
      <c r="I737" s="13" t="e">
        <f t="shared" si="35"/>
        <v>#DIV/0!</v>
      </c>
    </row>
    <row r="738" spans="1:9" ht="15" hidden="1">
      <c r="A738" s="51" t="s">
        <v>463</v>
      </c>
      <c r="B738" s="128"/>
      <c r="C738" s="97" t="s">
        <v>116</v>
      </c>
      <c r="D738" s="97" t="s">
        <v>114</v>
      </c>
      <c r="E738" s="97" t="s">
        <v>303</v>
      </c>
      <c r="F738" s="108" t="s">
        <v>112</v>
      </c>
      <c r="G738" s="177"/>
      <c r="H738" s="178"/>
      <c r="I738" s="13" t="e">
        <f t="shared" si="35"/>
        <v>#DIV/0!</v>
      </c>
    </row>
    <row r="739" spans="1:9" ht="15">
      <c r="A739" s="58" t="s">
        <v>299</v>
      </c>
      <c r="B739" s="128" t="s">
        <v>260</v>
      </c>
      <c r="C739" s="97"/>
      <c r="D739" s="97"/>
      <c r="E739" s="97"/>
      <c r="F739" s="108"/>
      <c r="G739" s="165">
        <f>SUM(G740+G748)</f>
        <v>43884.8</v>
      </c>
      <c r="H739" s="165">
        <f>SUM(H740+H748)</f>
        <v>43884.8</v>
      </c>
      <c r="I739" s="13" t="e">
        <f t="shared" si="35"/>
        <v>#DIV/0!</v>
      </c>
    </row>
    <row r="740" spans="1:9" ht="15" hidden="1">
      <c r="A740" s="51" t="s">
        <v>108</v>
      </c>
      <c r="B740" s="128"/>
      <c r="C740" s="97" t="s">
        <v>109</v>
      </c>
      <c r="D740" s="97"/>
      <c r="E740" s="97"/>
      <c r="F740" s="108"/>
      <c r="G740" s="161">
        <f>SUM(G741)+G745</f>
        <v>0</v>
      </c>
      <c r="H740" s="161">
        <f>SUM(H741)+H745</f>
        <v>0</v>
      </c>
      <c r="I740" s="13" t="e">
        <f t="shared" si="35"/>
        <v>#DIV/0!</v>
      </c>
    </row>
    <row r="741" spans="1:9" ht="15" hidden="1">
      <c r="A741" s="51" t="s">
        <v>110</v>
      </c>
      <c r="B741" s="36"/>
      <c r="C741" s="46" t="s">
        <v>109</v>
      </c>
      <c r="D741" s="46" t="s">
        <v>109</v>
      </c>
      <c r="E741" s="46"/>
      <c r="F741" s="107"/>
      <c r="G741" s="161">
        <f aca="true" t="shared" si="36" ref="G741:H743">SUM(G742)</f>
        <v>0</v>
      </c>
      <c r="H741" s="161">
        <f t="shared" si="36"/>
        <v>0</v>
      </c>
      <c r="I741" s="13" t="e">
        <f t="shared" si="35"/>
        <v>#DIV/0!</v>
      </c>
    </row>
    <row r="742" spans="1:9" ht="15" hidden="1">
      <c r="A742" s="53" t="s">
        <v>214</v>
      </c>
      <c r="B742" s="36"/>
      <c r="C742" s="46" t="s">
        <v>109</v>
      </c>
      <c r="D742" s="46" t="s">
        <v>109</v>
      </c>
      <c r="E742" s="46" t="s">
        <v>111</v>
      </c>
      <c r="F742" s="107"/>
      <c r="G742" s="161">
        <f t="shared" si="36"/>
        <v>0</v>
      </c>
      <c r="H742" s="161">
        <f t="shared" si="36"/>
        <v>0</v>
      </c>
      <c r="I742" s="13" t="e">
        <f t="shared" si="35"/>
        <v>#DIV/0!</v>
      </c>
    </row>
    <row r="743" spans="1:9" ht="15" hidden="1">
      <c r="A743" s="53" t="s">
        <v>215</v>
      </c>
      <c r="B743" s="36"/>
      <c r="C743" s="46" t="s">
        <v>109</v>
      </c>
      <c r="D743" s="46" t="s">
        <v>109</v>
      </c>
      <c r="E743" s="46" t="s">
        <v>216</v>
      </c>
      <c r="F743" s="107"/>
      <c r="G743" s="161">
        <f t="shared" si="36"/>
        <v>0</v>
      </c>
      <c r="H743" s="161">
        <f t="shared" si="36"/>
        <v>0</v>
      </c>
      <c r="I743" s="13" t="e">
        <f t="shared" si="35"/>
        <v>#DIV/0!</v>
      </c>
    </row>
    <row r="744" spans="1:9" ht="15" hidden="1">
      <c r="A744" s="54" t="s">
        <v>239</v>
      </c>
      <c r="B744" s="36"/>
      <c r="C744" s="46" t="s">
        <v>109</v>
      </c>
      <c r="D744" s="46" t="s">
        <v>109</v>
      </c>
      <c r="E744" s="46" t="s">
        <v>216</v>
      </c>
      <c r="F744" s="107" t="s">
        <v>240</v>
      </c>
      <c r="G744" s="161"/>
      <c r="H744" s="161"/>
      <c r="I744" s="13" t="e">
        <f t="shared" si="35"/>
        <v>#DIV/0!</v>
      </c>
    </row>
    <row r="745" spans="1:11" ht="15" hidden="1">
      <c r="A745" s="54" t="s">
        <v>217</v>
      </c>
      <c r="B745" s="36"/>
      <c r="C745" s="46" t="s">
        <v>109</v>
      </c>
      <c r="D745" s="46" t="s">
        <v>294</v>
      </c>
      <c r="E745" s="46"/>
      <c r="F745" s="107"/>
      <c r="G745" s="161">
        <f>SUM(G746)</f>
        <v>0</v>
      </c>
      <c r="H745" s="161">
        <f>SUM(H746)</f>
        <v>0</v>
      </c>
      <c r="I745" s="13">
        <f t="shared" si="35"/>
        <v>0</v>
      </c>
      <c r="K745" s="33"/>
    </row>
    <row r="746" spans="1:9" ht="15" hidden="1">
      <c r="A746" s="54" t="s">
        <v>121</v>
      </c>
      <c r="B746" s="36"/>
      <c r="C746" s="46" t="s">
        <v>109</v>
      </c>
      <c r="D746" s="46" t="s">
        <v>294</v>
      </c>
      <c r="E746" s="46" t="s">
        <v>122</v>
      </c>
      <c r="F746" s="107"/>
      <c r="G746" s="161">
        <f>SUM(G747)</f>
        <v>0</v>
      </c>
      <c r="H746" s="161">
        <f>SUM(H747)</f>
        <v>0</v>
      </c>
      <c r="I746" s="13">
        <f t="shared" si="35"/>
        <v>0</v>
      </c>
    </row>
    <row r="747" spans="1:9" ht="15" hidden="1">
      <c r="A747" s="51" t="s">
        <v>304</v>
      </c>
      <c r="B747" s="36"/>
      <c r="C747" s="46" t="s">
        <v>109</v>
      </c>
      <c r="D747" s="46" t="s">
        <v>294</v>
      </c>
      <c r="E747" s="46" t="s">
        <v>122</v>
      </c>
      <c r="F747" s="107" t="s">
        <v>162</v>
      </c>
      <c r="G747" s="161"/>
      <c r="H747" s="161"/>
      <c r="I747" s="13" t="e">
        <f t="shared" si="35"/>
        <v>#DIV/0!</v>
      </c>
    </row>
    <row r="748" spans="1:9" ht="15">
      <c r="A748" s="51" t="s">
        <v>310</v>
      </c>
      <c r="B748" s="36"/>
      <c r="C748" s="97" t="s">
        <v>294</v>
      </c>
      <c r="D748" s="97"/>
      <c r="E748" s="97"/>
      <c r="F748" s="108"/>
      <c r="G748" s="161">
        <f>SUM(G749+G766+G799+G812+G794)</f>
        <v>43884.8</v>
      </c>
      <c r="H748" s="161">
        <f>SUM(H749+H766+H799+H812+H794)</f>
        <v>43884.8</v>
      </c>
      <c r="I748" s="13" t="e">
        <f t="shared" si="35"/>
        <v>#DIV/0!</v>
      </c>
    </row>
    <row r="749" spans="1:9" ht="15">
      <c r="A749" s="51" t="s">
        <v>163</v>
      </c>
      <c r="B749" s="36"/>
      <c r="C749" s="97" t="s">
        <v>294</v>
      </c>
      <c r="D749" s="97" t="s">
        <v>429</v>
      </c>
      <c r="E749" s="97"/>
      <c r="F749" s="108"/>
      <c r="G749" s="161">
        <f>SUM(G750+G753)</f>
        <v>6561.1</v>
      </c>
      <c r="H749" s="161">
        <f>SUM(H750+H753)</f>
        <v>6561.1</v>
      </c>
      <c r="I749" s="13" t="e">
        <f t="shared" si="35"/>
        <v>#DIV/0!</v>
      </c>
    </row>
    <row r="750" spans="1:9" ht="15" hidden="1">
      <c r="A750" s="51" t="s">
        <v>376</v>
      </c>
      <c r="B750" s="36"/>
      <c r="C750" s="97" t="s">
        <v>294</v>
      </c>
      <c r="D750" s="97" t="s">
        <v>429</v>
      </c>
      <c r="E750" s="46" t="s">
        <v>378</v>
      </c>
      <c r="F750" s="107"/>
      <c r="G750" s="161">
        <f>SUM(G751)</f>
        <v>0</v>
      </c>
      <c r="H750" s="161">
        <f>SUM(H751)</f>
        <v>0</v>
      </c>
      <c r="I750" s="13">
        <f t="shared" si="35"/>
        <v>0</v>
      </c>
    </row>
    <row r="751" spans="1:9" ht="15" hidden="1">
      <c r="A751" s="51" t="s">
        <v>357</v>
      </c>
      <c r="B751" s="36"/>
      <c r="C751" s="97" t="s">
        <v>294</v>
      </c>
      <c r="D751" s="97" t="s">
        <v>429</v>
      </c>
      <c r="E751" s="46" t="s">
        <v>358</v>
      </c>
      <c r="F751" s="107"/>
      <c r="G751" s="161">
        <f>SUM(G752)</f>
        <v>0</v>
      </c>
      <c r="H751" s="161">
        <f>SUM(H752)</f>
        <v>0</v>
      </c>
      <c r="I751" s="13">
        <f t="shared" si="35"/>
        <v>0</v>
      </c>
    </row>
    <row r="752" spans="1:9" ht="15" hidden="1">
      <c r="A752" s="54" t="s">
        <v>239</v>
      </c>
      <c r="B752" s="47"/>
      <c r="C752" s="97" t="s">
        <v>294</v>
      </c>
      <c r="D752" s="97" t="s">
        <v>429</v>
      </c>
      <c r="E752" s="46" t="s">
        <v>358</v>
      </c>
      <c r="F752" s="108" t="s">
        <v>240</v>
      </c>
      <c r="G752" s="161"/>
      <c r="H752" s="161"/>
      <c r="I752" s="13"/>
    </row>
    <row r="753" spans="1:9" ht="28.5">
      <c r="A753" s="51" t="s">
        <v>593</v>
      </c>
      <c r="B753" s="36"/>
      <c r="C753" s="97" t="s">
        <v>294</v>
      </c>
      <c r="D753" s="97" t="s">
        <v>429</v>
      </c>
      <c r="E753" s="97" t="s">
        <v>594</v>
      </c>
      <c r="F753" s="108"/>
      <c r="G753" s="167">
        <f>SUM(G754)</f>
        <v>6561.1</v>
      </c>
      <c r="H753" s="167">
        <f>SUM(H754)</f>
        <v>6561.1</v>
      </c>
      <c r="I753" s="13"/>
    </row>
    <row r="754" spans="1:9" ht="15">
      <c r="A754" s="51" t="s">
        <v>87</v>
      </c>
      <c r="B754" s="128"/>
      <c r="C754" s="97" t="s">
        <v>294</v>
      </c>
      <c r="D754" s="97" t="s">
        <v>429</v>
      </c>
      <c r="E754" s="97" t="s">
        <v>595</v>
      </c>
      <c r="F754" s="108"/>
      <c r="G754" s="161">
        <f>SUM(G762)+G755</f>
        <v>6561.1</v>
      </c>
      <c r="H754" s="161">
        <f>SUM(H762)+H755</f>
        <v>6561.1</v>
      </c>
      <c r="I754" s="13"/>
    </row>
    <row r="755" spans="1:9" ht="15" hidden="1">
      <c r="A755" s="54" t="s">
        <v>151</v>
      </c>
      <c r="B755" s="128"/>
      <c r="C755" s="97" t="s">
        <v>294</v>
      </c>
      <c r="D755" s="97" t="s">
        <v>429</v>
      </c>
      <c r="E755" s="97" t="s">
        <v>133</v>
      </c>
      <c r="F755" s="108"/>
      <c r="G755" s="161">
        <f>SUM(G757+G759)</f>
        <v>0</v>
      </c>
      <c r="H755" s="161">
        <f>SUM(H757+H759)</f>
        <v>0</v>
      </c>
      <c r="I755" s="13"/>
    </row>
    <row r="756" spans="1:9" ht="15" hidden="1">
      <c r="A756" s="54" t="s">
        <v>135</v>
      </c>
      <c r="B756" s="128"/>
      <c r="C756" s="97" t="s">
        <v>294</v>
      </c>
      <c r="D756" s="97" t="s">
        <v>429</v>
      </c>
      <c r="E756" s="97" t="s">
        <v>133</v>
      </c>
      <c r="F756" s="108" t="s">
        <v>76</v>
      </c>
      <c r="G756" s="161"/>
      <c r="H756" s="161"/>
      <c r="I756" s="13"/>
    </row>
    <row r="757" spans="1:9" ht="28.5" hidden="1">
      <c r="A757" s="54" t="s">
        <v>384</v>
      </c>
      <c r="B757" s="128"/>
      <c r="C757" s="97" t="s">
        <v>294</v>
      </c>
      <c r="D757" s="97" t="s">
        <v>429</v>
      </c>
      <c r="E757" s="97" t="s">
        <v>134</v>
      </c>
      <c r="F757" s="108"/>
      <c r="G757" s="161">
        <f>SUM(G758)</f>
        <v>0</v>
      </c>
      <c r="H757" s="161">
        <f>SUM(H758)</f>
        <v>0</v>
      </c>
      <c r="I757" s="13"/>
    </row>
    <row r="758" spans="1:9" ht="15" hidden="1">
      <c r="A758" s="54" t="s">
        <v>135</v>
      </c>
      <c r="B758" s="128"/>
      <c r="C758" s="97" t="s">
        <v>294</v>
      </c>
      <c r="D758" s="97" t="s">
        <v>429</v>
      </c>
      <c r="E758" s="97" t="s">
        <v>134</v>
      </c>
      <c r="F758" s="108" t="s">
        <v>76</v>
      </c>
      <c r="G758" s="161"/>
      <c r="H758" s="161"/>
      <c r="I758" s="13">
        <f aca="true" t="shared" si="37" ref="I758:I765">SUM(H758/G761*100)</f>
        <v>0</v>
      </c>
    </row>
    <row r="759" spans="1:9" ht="15" hidden="1">
      <c r="A759" s="51" t="s">
        <v>197</v>
      </c>
      <c r="B759" s="128"/>
      <c r="C759" s="97" t="s">
        <v>294</v>
      </c>
      <c r="D759" s="97" t="s">
        <v>429</v>
      </c>
      <c r="E759" s="97" t="s">
        <v>200</v>
      </c>
      <c r="F759" s="108"/>
      <c r="G759" s="161">
        <f>SUM(G760)</f>
        <v>0</v>
      </c>
      <c r="H759" s="161">
        <f>SUM(H760)</f>
        <v>0</v>
      </c>
      <c r="I759" s="13">
        <f t="shared" si="37"/>
        <v>0</v>
      </c>
    </row>
    <row r="760" spans="1:9" ht="15" hidden="1">
      <c r="A760" s="51" t="s">
        <v>151</v>
      </c>
      <c r="B760" s="128"/>
      <c r="C760" s="97" t="s">
        <v>294</v>
      </c>
      <c r="D760" s="97" t="s">
        <v>429</v>
      </c>
      <c r="E760" s="97" t="s">
        <v>200</v>
      </c>
      <c r="F760" s="108" t="s">
        <v>76</v>
      </c>
      <c r="G760" s="161"/>
      <c r="H760" s="161"/>
      <c r="I760" s="13" t="e">
        <f t="shared" si="37"/>
        <v>#DIV/0!</v>
      </c>
    </row>
    <row r="761" spans="1:9" ht="28.5">
      <c r="A761" s="51" t="s">
        <v>295</v>
      </c>
      <c r="B761" s="128"/>
      <c r="C761" s="97" t="s">
        <v>294</v>
      </c>
      <c r="D761" s="97" t="s">
        <v>429</v>
      </c>
      <c r="E761" s="97" t="s">
        <v>596</v>
      </c>
      <c r="F761" s="108"/>
      <c r="G761" s="161">
        <f>SUM(G762)</f>
        <v>6561.1</v>
      </c>
      <c r="H761" s="161">
        <f>SUM(H762)</f>
        <v>6561.1</v>
      </c>
      <c r="I761" s="13" t="e">
        <f t="shared" si="37"/>
        <v>#DIV/0!</v>
      </c>
    </row>
    <row r="762" spans="1:9" ht="28.5">
      <c r="A762" s="54" t="s">
        <v>480</v>
      </c>
      <c r="B762" s="130"/>
      <c r="C762" s="97" t="s">
        <v>294</v>
      </c>
      <c r="D762" s="97" t="s">
        <v>429</v>
      </c>
      <c r="E762" s="97" t="s">
        <v>596</v>
      </c>
      <c r="F762" s="124" t="s">
        <v>477</v>
      </c>
      <c r="G762" s="161">
        <v>6561.1</v>
      </c>
      <c r="H762" s="161">
        <v>6561.1</v>
      </c>
      <c r="I762" s="13" t="e">
        <f t="shared" si="37"/>
        <v>#DIV/0!</v>
      </c>
    </row>
    <row r="763" spans="1:9" ht="28.5" hidden="1">
      <c r="A763" s="54" t="s">
        <v>327</v>
      </c>
      <c r="B763" s="36"/>
      <c r="C763" s="97" t="s">
        <v>294</v>
      </c>
      <c r="D763" s="97" t="s">
        <v>429</v>
      </c>
      <c r="E763" s="97" t="s">
        <v>165</v>
      </c>
      <c r="F763" s="108" t="s">
        <v>328</v>
      </c>
      <c r="G763" s="161"/>
      <c r="H763" s="161"/>
      <c r="I763" s="13">
        <f t="shared" si="37"/>
        <v>0</v>
      </c>
    </row>
    <row r="764" spans="1:9" ht="42.75" hidden="1">
      <c r="A764" s="51" t="s">
        <v>250</v>
      </c>
      <c r="B764" s="36"/>
      <c r="C764" s="97" t="s">
        <v>166</v>
      </c>
      <c r="D764" s="97" t="s">
        <v>429</v>
      </c>
      <c r="E764" s="97" t="s">
        <v>226</v>
      </c>
      <c r="F764" s="108"/>
      <c r="G764" s="161">
        <f>SUM(G765)</f>
        <v>0</v>
      </c>
      <c r="H764" s="161">
        <f>SUM(H765)</f>
        <v>0</v>
      </c>
      <c r="I764" s="13">
        <f t="shared" si="37"/>
        <v>0</v>
      </c>
    </row>
    <row r="765" spans="1:9" ht="15" hidden="1">
      <c r="A765" s="54" t="s">
        <v>239</v>
      </c>
      <c r="B765" s="36"/>
      <c r="C765" s="97" t="s">
        <v>166</v>
      </c>
      <c r="D765" s="97" t="s">
        <v>429</v>
      </c>
      <c r="E765" s="97" t="s">
        <v>226</v>
      </c>
      <c r="F765" s="108" t="s">
        <v>240</v>
      </c>
      <c r="G765" s="161"/>
      <c r="H765" s="161"/>
      <c r="I765" s="13">
        <f t="shared" si="37"/>
        <v>0</v>
      </c>
    </row>
    <row r="766" spans="1:9" ht="15">
      <c r="A766" s="51" t="s">
        <v>227</v>
      </c>
      <c r="B766" s="36"/>
      <c r="C766" s="97" t="s">
        <v>294</v>
      </c>
      <c r="D766" s="97" t="s">
        <v>431</v>
      </c>
      <c r="E766" s="97"/>
      <c r="F766" s="108"/>
      <c r="G766" s="161">
        <f>SUM(G767+G787+G791)</f>
        <v>22863</v>
      </c>
      <c r="H766" s="161">
        <f>SUM(H767+H787+H791)</f>
        <v>22863</v>
      </c>
      <c r="I766" s="13"/>
    </row>
    <row r="767" spans="1:9" ht="28.5">
      <c r="A767" s="51" t="s">
        <v>593</v>
      </c>
      <c r="B767" s="36"/>
      <c r="C767" s="97" t="s">
        <v>294</v>
      </c>
      <c r="D767" s="97" t="s">
        <v>431</v>
      </c>
      <c r="E767" s="97" t="s">
        <v>594</v>
      </c>
      <c r="F767" s="108"/>
      <c r="G767" s="75">
        <f>SUM(G768)+G781</f>
        <v>22863</v>
      </c>
      <c r="H767" s="75">
        <f>SUM(H768)+H781</f>
        <v>22863</v>
      </c>
      <c r="I767" s="13"/>
    </row>
    <row r="768" spans="1:9" ht="42.75">
      <c r="A768" s="51" t="s">
        <v>599</v>
      </c>
      <c r="B768" s="128"/>
      <c r="C768" s="97" t="s">
        <v>294</v>
      </c>
      <c r="D768" s="97" t="s">
        <v>431</v>
      </c>
      <c r="E768" s="97" t="s">
        <v>672</v>
      </c>
      <c r="F768" s="108"/>
      <c r="G768" s="75">
        <f>SUM(G776)</f>
        <v>10962.5</v>
      </c>
      <c r="H768" s="75">
        <f>SUM(H776)</f>
        <v>10962.5</v>
      </c>
      <c r="I768" s="13"/>
    </row>
    <row r="769" spans="1:9" ht="15" hidden="1">
      <c r="A769" s="54" t="s">
        <v>151</v>
      </c>
      <c r="B769" s="128"/>
      <c r="C769" s="97" t="s">
        <v>294</v>
      </c>
      <c r="D769" s="97" t="s">
        <v>431</v>
      </c>
      <c r="E769" s="97" t="s">
        <v>133</v>
      </c>
      <c r="F769" s="108"/>
      <c r="G769" s="161">
        <f>SUM(G772)+G770</f>
        <v>0</v>
      </c>
      <c r="H769" s="161">
        <f>SUM(H772)+H770</f>
        <v>0</v>
      </c>
      <c r="I769" s="13"/>
    </row>
    <row r="770" spans="1:9" ht="28.5" hidden="1">
      <c r="A770" s="54" t="s">
        <v>384</v>
      </c>
      <c r="B770" s="128"/>
      <c r="C770" s="97" t="s">
        <v>294</v>
      </c>
      <c r="D770" s="97" t="s">
        <v>431</v>
      </c>
      <c r="E770" s="97" t="s">
        <v>134</v>
      </c>
      <c r="F770" s="108"/>
      <c r="G770" s="161">
        <f>SUM(G771)</f>
        <v>0</v>
      </c>
      <c r="H770" s="161">
        <f>SUM(H771)</f>
        <v>0</v>
      </c>
      <c r="I770" s="13"/>
    </row>
    <row r="771" spans="1:9" ht="15" hidden="1">
      <c r="A771" s="54" t="s">
        <v>135</v>
      </c>
      <c r="B771" s="128"/>
      <c r="C771" s="97" t="s">
        <v>294</v>
      </c>
      <c r="D771" s="97" t="s">
        <v>431</v>
      </c>
      <c r="E771" s="97" t="s">
        <v>134</v>
      </c>
      <c r="F771" s="108" t="s">
        <v>76</v>
      </c>
      <c r="G771" s="161"/>
      <c r="H771" s="161"/>
      <c r="I771" s="13"/>
    </row>
    <row r="772" spans="1:9" ht="15" hidden="1">
      <c r="A772" s="51" t="s">
        <v>197</v>
      </c>
      <c r="B772" s="128"/>
      <c r="C772" s="97" t="s">
        <v>294</v>
      </c>
      <c r="D772" s="97" t="s">
        <v>431</v>
      </c>
      <c r="E772" s="97" t="s">
        <v>200</v>
      </c>
      <c r="F772" s="108"/>
      <c r="G772" s="161">
        <f>SUM(G773)</f>
        <v>0</v>
      </c>
      <c r="H772" s="161">
        <f>SUM(H773)</f>
        <v>0</v>
      </c>
      <c r="I772" s="13"/>
    </row>
    <row r="773" spans="1:9" ht="15" hidden="1">
      <c r="A773" s="54" t="s">
        <v>135</v>
      </c>
      <c r="B773" s="128"/>
      <c r="C773" s="97" t="s">
        <v>294</v>
      </c>
      <c r="D773" s="97" t="s">
        <v>431</v>
      </c>
      <c r="E773" s="97" t="s">
        <v>200</v>
      </c>
      <c r="F773" s="108" t="s">
        <v>76</v>
      </c>
      <c r="G773" s="161"/>
      <c r="H773" s="161"/>
      <c r="I773" s="13">
        <f>SUM(H773/G776*100)</f>
        <v>0</v>
      </c>
    </row>
    <row r="774" spans="1:9" ht="28.5" hidden="1">
      <c r="A774" s="54" t="s">
        <v>384</v>
      </c>
      <c r="B774" s="128"/>
      <c r="C774" s="97" t="s">
        <v>294</v>
      </c>
      <c r="D774" s="97" t="s">
        <v>431</v>
      </c>
      <c r="E774" s="97" t="s">
        <v>134</v>
      </c>
      <c r="F774" s="108"/>
      <c r="G774" s="161">
        <f>SUM(G775)</f>
        <v>0</v>
      </c>
      <c r="H774" s="161">
        <f>SUM(H775)</f>
        <v>0</v>
      </c>
      <c r="I774" s="13">
        <f>SUM(H774/G777*100)</f>
        <v>0</v>
      </c>
    </row>
    <row r="775" spans="1:9" ht="15" hidden="1">
      <c r="A775" s="54" t="s">
        <v>135</v>
      </c>
      <c r="B775" s="128"/>
      <c r="C775" s="97" t="s">
        <v>294</v>
      </c>
      <c r="D775" s="97" t="s">
        <v>431</v>
      </c>
      <c r="E775" s="97" t="s">
        <v>134</v>
      </c>
      <c r="F775" s="108" t="s">
        <v>76</v>
      </c>
      <c r="G775" s="161"/>
      <c r="H775" s="161"/>
      <c r="I775" s="13" t="e">
        <f>SUM(H775/G778*100)</f>
        <v>#DIV/0!</v>
      </c>
    </row>
    <row r="776" spans="1:9" ht="28.5">
      <c r="A776" s="51" t="s">
        <v>295</v>
      </c>
      <c r="B776" s="128"/>
      <c r="C776" s="97" t="s">
        <v>294</v>
      </c>
      <c r="D776" s="97" t="s">
        <v>431</v>
      </c>
      <c r="E776" s="97" t="s">
        <v>673</v>
      </c>
      <c r="F776" s="108"/>
      <c r="G776" s="75">
        <f>SUM(G777)</f>
        <v>10962.5</v>
      </c>
      <c r="H776" s="75">
        <f>SUM(H777)</f>
        <v>10962.5</v>
      </c>
      <c r="I776" s="13" t="e">
        <f>SUM(H776/G779*100)</f>
        <v>#DIV/0!</v>
      </c>
    </row>
    <row r="777" spans="1:9" ht="28.5">
      <c r="A777" s="54" t="s">
        <v>480</v>
      </c>
      <c r="B777" s="139"/>
      <c r="C777" s="97" t="s">
        <v>294</v>
      </c>
      <c r="D777" s="97" t="s">
        <v>431</v>
      </c>
      <c r="E777" s="97" t="s">
        <v>673</v>
      </c>
      <c r="F777" s="124" t="s">
        <v>477</v>
      </c>
      <c r="G777" s="75">
        <v>10962.5</v>
      </c>
      <c r="H777" s="75">
        <v>10962.5</v>
      </c>
      <c r="I777" s="13" t="e">
        <f>SUM(H777/G780*100)</f>
        <v>#DIV/0!</v>
      </c>
    </row>
    <row r="778" spans="1:9" ht="28.5" hidden="1">
      <c r="A778" s="54" t="s">
        <v>327</v>
      </c>
      <c r="B778" s="36"/>
      <c r="C778" s="97" t="s">
        <v>294</v>
      </c>
      <c r="D778" s="97" t="s">
        <v>431</v>
      </c>
      <c r="E778" s="97" t="s">
        <v>165</v>
      </c>
      <c r="F778" s="108" t="s">
        <v>328</v>
      </c>
      <c r="G778" s="161"/>
      <c r="H778" s="161"/>
      <c r="I778" s="13" t="e">
        <f>SUM(H778/#REF!*100)</f>
        <v>#REF!</v>
      </c>
    </row>
    <row r="779" spans="1:9" ht="42.75" hidden="1">
      <c r="A779" s="51" t="s">
        <v>250</v>
      </c>
      <c r="B779" s="36"/>
      <c r="C779" s="97" t="s">
        <v>294</v>
      </c>
      <c r="D779" s="97" t="s">
        <v>431</v>
      </c>
      <c r="E779" s="97" t="s">
        <v>226</v>
      </c>
      <c r="F779" s="108"/>
      <c r="G779" s="161">
        <f>SUM(G780)</f>
        <v>0</v>
      </c>
      <c r="H779" s="161">
        <f>SUM(H780)</f>
        <v>0</v>
      </c>
      <c r="I779" s="13">
        <f>SUM(H779/G781*100)</f>
        <v>0</v>
      </c>
    </row>
    <row r="780" spans="1:9" ht="15" hidden="1">
      <c r="A780" s="54" t="s">
        <v>239</v>
      </c>
      <c r="B780" s="36"/>
      <c r="C780" s="97" t="s">
        <v>294</v>
      </c>
      <c r="D780" s="97" t="s">
        <v>431</v>
      </c>
      <c r="E780" s="97" t="s">
        <v>226</v>
      </c>
      <c r="F780" s="108" t="s">
        <v>240</v>
      </c>
      <c r="G780" s="161"/>
      <c r="H780" s="161"/>
      <c r="I780" s="13"/>
    </row>
    <row r="781" spans="1:9" ht="32.25" customHeight="1">
      <c r="A781" s="51" t="s">
        <v>600</v>
      </c>
      <c r="B781" s="36"/>
      <c r="C781" s="97" t="s">
        <v>294</v>
      </c>
      <c r="D781" s="97" t="s">
        <v>431</v>
      </c>
      <c r="E781" s="97" t="s">
        <v>674</v>
      </c>
      <c r="F781" s="108"/>
      <c r="G781" s="75">
        <f>SUM(G785)</f>
        <v>11900.5</v>
      </c>
      <c r="H781" s="75">
        <f>SUM(H785)</f>
        <v>11900.5</v>
      </c>
      <c r="I781" s="13"/>
    </row>
    <row r="782" spans="1:9" ht="15" hidden="1">
      <c r="A782" s="54" t="s">
        <v>151</v>
      </c>
      <c r="B782" s="36"/>
      <c r="C782" s="97" t="s">
        <v>294</v>
      </c>
      <c r="D782" s="97" t="s">
        <v>431</v>
      </c>
      <c r="E782" s="97" t="s">
        <v>201</v>
      </c>
      <c r="F782" s="108"/>
      <c r="G782" s="161">
        <f>SUM(G783)</f>
        <v>0</v>
      </c>
      <c r="H782" s="161">
        <f>SUM(H783)</f>
        <v>0</v>
      </c>
      <c r="I782" s="13">
        <f>SUM(H782/G785*100)</f>
        <v>0</v>
      </c>
    </row>
    <row r="783" spans="1:9" ht="28.5" hidden="1">
      <c r="A783" s="54" t="s">
        <v>136</v>
      </c>
      <c r="B783" s="128"/>
      <c r="C783" s="97" t="s">
        <v>294</v>
      </c>
      <c r="D783" s="97" t="s">
        <v>431</v>
      </c>
      <c r="E783" s="97" t="s">
        <v>137</v>
      </c>
      <c r="F783" s="108"/>
      <c r="G783" s="161">
        <f>SUM(G784)</f>
        <v>0</v>
      </c>
      <c r="H783" s="161">
        <f>SUM(H784)</f>
        <v>0</v>
      </c>
      <c r="I783" s="13">
        <f>SUM(H783/G786*100)</f>
        <v>0</v>
      </c>
    </row>
    <row r="784" spans="1:9" ht="28.5" hidden="1">
      <c r="A784" s="54" t="s">
        <v>480</v>
      </c>
      <c r="B784" s="128"/>
      <c r="C784" s="97" t="s">
        <v>294</v>
      </c>
      <c r="D784" s="97" t="s">
        <v>431</v>
      </c>
      <c r="E784" s="97" t="s">
        <v>137</v>
      </c>
      <c r="F784" s="108" t="s">
        <v>477</v>
      </c>
      <c r="G784" s="161"/>
      <c r="H784" s="161"/>
      <c r="I784" s="13"/>
    </row>
    <row r="785" spans="1:9" ht="28.5">
      <c r="A785" s="54" t="s">
        <v>295</v>
      </c>
      <c r="B785" s="36"/>
      <c r="C785" s="97" t="s">
        <v>294</v>
      </c>
      <c r="D785" s="97" t="s">
        <v>431</v>
      </c>
      <c r="E785" s="97" t="s">
        <v>675</v>
      </c>
      <c r="F785" s="108"/>
      <c r="G785" s="75">
        <f>SUM(G786)</f>
        <v>11900.5</v>
      </c>
      <c r="H785" s="75">
        <f>SUM(H786)</f>
        <v>11900.5</v>
      </c>
      <c r="I785" s="13" t="e">
        <f>SUM(H785/G787*100)</f>
        <v>#DIV/0!</v>
      </c>
    </row>
    <row r="786" spans="1:9" ht="33" customHeight="1">
      <c r="A786" s="54" t="s">
        <v>480</v>
      </c>
      <c r="B786" s="139"/>
      <c r="C786" s="97" t="s">
        <v>294</v>
      </c>
      <c r="D786" s="97" t="s">
        <v>431</v>
      </c>
      <c r="E786" s="97" t="s">
        <v>675</v>
      </c>
      <c r="F786" s="124" t="s">
        <v>477</v>
      </c>
      <c r="G786" s="75">
        <v>11900.5</v>
      </c>
      <c r="H786" s="75">
        <v>11900.5</v>
      </c>
      <c r="I786" s="13" t="e">
        <f>SUM(H786/G788*100)</f>
        <v>#DIV/0!</v>
      </c>
    </row>
    <row r="787" spans="1:9" ht="15" hidden="1">
      <c r="A787" s="51" t="s">
        <v>230</v>
      </c>
      <c r="B787" s="36"/>
      <c r="C787" s="97" t="s">
        <v>294</v>
      </c>
      <c r="D787" s="97" t="s">
        <v>431</v>
      </c>
      <c r="E787" s="97" t="s">
        <v>231</v>
      </c>
      <c r="F787" s="108"/>
      <c r="G787" s="161">
        <f>SUM(G788)</f>
        <v>0</v>
      </c>
      <c r="H787" s="161">
        <f>SUM(H788)</f>
        <v>0</v>
      </c>
      <c r="I787" s="13" t="e">
        <f aca="true" t="shared" si="38" ref="I787:I798">SUM(H787/G790*100)</f>
        <v>#DIV/0!</v>
      </c>
    </row>
    <row r="788" spans="1:9" ht="15" hidden="1">
      <c r="A788" s="51" t="s">
        <v>87</v>
      </c>
      <c r="B788" s="128"/>
      <c r="C788" s="97" t="s">
        <v>294</v>
      </c>
      <c r="D788" s="97" t="s">
        <v>431</v>
      </c>
      <c r="E788" s="97" t="s">
        <v>77</v>
      </c>
      <c r="F788" s="108"/>
      <c r="G788" s="161">
        <f>SUM(G790)</f>
        <v>0</v>
      </c>
      <c r="H788" s="161">
        <f>SUM(H790)</f>
        <v>0</v>
      </c>
      <c r="I788" s="13" t="e">
        <f t="shared" si="38"/>
        <v>#DIV/0!</v>
      </c>
    </row>
    <row r="789" spans="1:9" ht="28.5" hidden="1">
      <c r="A789" s="51" t="s">
        <v>295</v>
      </c>
      <c r="B789" s="128"/>
      <c r="C789" s="97" t="s">
        <v>294</v>
      </c>
      <c r="D789" s="97" t="s">
        <v>431</v>
      </c>
      <c r="E789" s="97" t="s">
        <v>296</v>
      </c>
      <c r="F789" s="108"/>
      <c r="G789" s="161">
        <f>SUM(G790)</f>
        <v>0</v>
      </c>
      <c r="H789" s="161">
        <f>SUM(H790)</f>
        <v>0</v>
      </c>
      <c r="I789" s="13" t="e">
        <f t="shared" si="38"/>
        <v>#DIV/0!</v>
      </c>
    </row>
    <row r="790" spans="1:9" ht="42.75" hidden="1">
      <c r="A790" s="54" t="s">
        <v>13</v>
      </c>
      <c r="B790" s="130"/>
      <c r="C790" s="97" t="s">
        <v>294</v>
      </c>
      <c r="D790" s="97" t="s">
        <v>431</v>
      </c>
      <c r="E790" s="97" t="s">
        <v>296</v>
      </c>
      <c r="F790" s="124" t="s">
        <v>206</v>
      </c>
      <c r="G790" s="161"/>
      <c r="H790" s="161"/>
      <c r="I790" s="13" t="e">
        <f t="shared" si="38"/>
        <v>#DIV/0!</v>
      </c>
    </row>
    <row r="791" spans="1:9" ht="15" hidden="1">
      <c r="A791" s="57" t="s">
        <v>317</v>
      </c>
      <c r="B791" s="36"/>
      <c r="C791" s="97" t="s">
        <v>294</v>
      </c>
      <c r="D791" s="97" t="s">
        <v>431</v>
      </c>
      <c r="E791" s="97" t="s">
        <v>318</v>
      </c>
      <c r="F791" s="108"/>
      <c r="G791" s="161">
        <f>SUM(G792)</f>
        <v>0</v>
      </c>
      <c r="H791" s="161">
        <f>SUM(H792)</f>
        <v>0</v>
      </c>
      <c r="I791" s="13" t="e">
        <f t="shared" si="38"/>
        <v>#DIV/0!</v>
      </c>
    </row>
    <row r="792" spans="1:9" ht="42.75" hidden="1">
      <c r="A792" s="53" t="s">
        <v>251</v>
      </c>
      <c r="B792" s="36"/>
      <c r="C792" s="97" t="s">
        <v>294</v>
      </c>
      <c r="D792" s="97" t="s">
        <v>431</v>
      </c>
      <c r="E792" s="97" t="s">
        <v>232</v>
      </c>
      <c r="F792" s="108"/>
      <c r="G792" s="161">
        <f>SUM(G793)</f>
        <v>0</v>
      </c>
      <c r="H792" s="161">
        <f>SUM(H793)</f>
        <v>0</v>
      </c>
      <c r="I792" s="13" t="e">
        <f t="shared" si="38"/>
        <v>#DIV/0!</v>
      </c>
    </row>
    <row r="793" spans="1:9" ht="15" hidden="1">
      <c r="A793" s="54" t="s">
        <v>151</v>
      </c>
      <c r="B793" s="36"/>
      <c r="C793" s="97" t="s">
        <v>294</v>
      </c>
      <c r="D793" s="97" t="s">
        <v>431</v>
      </c>
      <c r="E793" s="97" t="s">
        <v>232</v>
      </c>
      <c r="F793" s="124" t="s">
        <v>76</v>
      </c>
      <c r="G793" s="161"/>
      <c r="H793" s="161"/>
      <c r="I793" s="13" t="e">
        <f t="shared" si="38"/>
        <v>#DIV/0!</v>
      </c>
    </row>
    <row r="794" spans="1:9" ht="15" hidden="1">
      <c r="A794" s="59" t="s">
        <v>233</v>
      </c>
      <c r="B794" s="36"/>
      <c r="C794" s="97" t="s">
        <v>294</v>
      </c>
      <c r="D794" s="97" t="s">
        <v>98</v>
      </c>
      <c r="E794" s="97"/>
      <c r="F794" s="108"/>
      <c r="G794" s="161">
        <f>SUM(G795)</f>
        <v>0</v>
      </c>
      <c r="H794" s="161">
        <f>SUM(H795)</f>
        <v>0</v>
      </c>
      <c r="I794" s="13" t="e">
        <f t="shared" si="38"/>
        <v>#DIV/0!</v>
      </c>
    </row>
    <row r="795" spans="1:9" ht="15" hidden="1">
      <c r="A795" s="59" t="s">
        <v>234</v>
      </c>
      <c r="B795" s="36"/>
      <c r="C795" s="97" t="s">
        <v>294</v>
      </c>
      <c r="D795" s="97" t="s">
        <v>98</v>
      </c>
      <c r="E795" s="97" t="s">
        <v>164</v>
      </c>
      <c r="F795" s="108"/>
      <c r="G795" s="161">
        <f>SUM(G796)</f>
        <v>0</v>
      </c>
      <c r="H795" s="161">
        <f>SUM(H796)</f>
        <v>0</v>
      </c>
      <c r="I795" s="13" t="e">
        <f t="shared" si="38"/>
        <v>#DIV/0!</v>
      </c>
    </row>
    <row r="796" spans="1:9" ht="15" hidden="1">
      <c r="A796" s="59" t="s">
        <v>238</v>
      </c>
      <c r="B796" s="36"/>
      <c r="C796" s="97" t="s">
        <v>294</v>
      </c>
      <c r="D796" s="97" t="s">
        <v>98</v>
      </c>
      <c r="E796" s="97" t="s">
        <v>165</v>
      </c>
      <c r="F796" s="108"/>
      <c r="G796" s="161">
        <f>SUM(G797:G798)</f>
        <v>0</v>
      </c>
      <c r="H796" s="161">
        <f>SUM(H797:H798)</f>
        <v>0</v>
      </c>
      <c r="I796" s="13">
        <f t="shared" si="38"/>
        <v>0</v>
      </c>
    </row>
    <row r="797" spans="1:9" ht="15" hidden="1">
      <c r="A797" s="59" t="s">
        <v>239</v>
      </c>
      <c r="B797" s="36"/>
      <c r="C797" s="97" t="s">
        <v>294</v>
      </c>
      <c r="D797" s="97" t="s">
        <v>98</v>
      </c>
      <c r="E797" s="97" t="s">
        <v>165</v>
      </c>
      <c r="F797" s="108" t="s">
        <v>240</v>
      </c>
      <c r="G797" s="161"/>
      <c r="H797" s="161"/>
      <c r="I797" s="13" t="e">
        <f t="shared" si="38"/>
        <v>#DIV/0!</v>
      </c>
    </row>
    <row r="798" spans="1:9" ht="42.75" hidden="1">
      <c r="A798" s="51" t="s">
        <v>250</v>
      </c>
      <c r="B798" s="36"/>
      <c r="C798" s="97" t="s">
        <v>294</v>
      </c>
      <c r="D798" s="97" t="s">
        <v>98</v>
      </c>
      <c r="E798" s="97" t="s">
        <v>228</v>
      </c>
      <c r="F798" s="108" t="s">
        <v>229</v>
      </c>
      <c r="G798" s="161"/>
      <c r="H798" s="161"/>
      <c r="I798" s="13" t="e">
        <f t="shared" si="38"/>
        <v>#DIV/0!</v>
      </c>
    </row>
    <row r="799" spans="1:9" ht="14.25" customHeight="1">
      <c r="A799" s="54" t="s">
        <v>235</v>
      </c>
      <c r="B799" s="36"/>
      <c r="C799" s="97" t="s">
        <v>294</v>
      </c>
      <c r="D799" s="97" t="s">
        <v>114</v>
      </c>
      <c r="E799" s="97"/>
      <c r="F799" s="108"/>
      <c r="G799" s="161">
        <f>SUM(G802+G807+G800)</f>
        <v>1586.9</v>
      </c>
      <c r="H799" s="161">
        <f>SUM(H802+H807+H800)</f>
        <v>1586.9</v>
      </c>
      <c r="I799" s="13">
        <f>SUM(H799/G803*100)</f>
        <v>100</v>
      </c>
    </row>
    <row r="800" spans="1:9" ht="15" hidden="1">
      <c r="A800" s="54" t="s">
        <v>357</v>
      </c>
      <c r="B800" s="36"/>
      <c r="C800" s="97" t="s">
        <v>294</v>
      </c>
      <c r="D800" s="97" t="s">
        <v>114</v>
      </c>
      <c r="E800" s="97" t="s">
        <v>358</v>
      </c>
      <c r="F800" s="108"/>
      <c r="G800" s="161">
        <f>SUM(G801)</f>
        <v>0</v>
      </c>
      <c r="H800" s="161">
        <f>SUM(H801)</f>
        <v>0</v>
      </c>
      <c r="I800" s="13">
        <f>SUM(H800/G804*100)</f>
        <v>0</v>
      </c>
    </row>
    <row r="801" spans="1:9" ht="15" hidden="1">
      <c r="A801" s="54" t="s">
        <v>239</v>
      </c>
      <c r="B801" s="36"/>
      <c r="C801" s="97" t="s">
        <v>294</v>
      </c>
      <c r="D801" s="97" t="s">
        <v>114</v>
      </c>
      <c r="E801" s="97" t="s">
        <v>358</v>
      </c>
      <c r="F801" s="108" t="s">
        <v>240</v>
      </c>
      <c r="G801" s="161"/>
      <c r="H801" s="161"/>
      <c r="I801" s="13">
        <f>SUM(H801/G805*100)</f>
        <v>0</v>
      </c>
    </row>
    <row r="802" spans="1:9" ht="28.5">
      <c r="A802" s="51" t="s">
        <v>593</v>
      </c>
      <c r="B802" s="36"/>
      <c r="C802" s="97" t="s">
        <v>294</v>
      </c>
      <c r="D802" s="97" t="s">
        <v>114</v>
      </c>
      <c r="E802" s="97" t="s">
        <v>594</v>
      </c>
      <c r="F802" s="108"/>
      <c r="G802" s="75">
        <f aca="true" t="shared" si="39" ref="G802:H804">SUM(G803)</f>
        <v>1586.9</v>
      </c>
      <c r="H802" s="75">
        <f t="shared" si="39"/>
        <v>1586.9</v>
      </c>
      <c r="I802" s="13"/>
    </row>
    <row r="803" spans="1:9" ht="15">
      <c r="A803" s="51" t="s">
        <v>87</v>
      </c>
      <c r="B803" s="36"/>
      <c r="C803" s="97" t="s">
        <v>294</v>
      </c>
      <c r="D803" s="97" t="s">
        <v>114</v>
      </c>
      <c r="E803" s="97" t="s">
        <v>595</v>
      </c>
      <c r="F803" s="108"/>
      <c r="G803" s="75">
        <f t="shared" si="39"/>
        <v>1586.9</v>
      </c>
      <c r="H803" s="75">
        <f t="shared" si="39"/>
        <v>1586.9</v>
      </c>
      <c r="I803" s="13" t="e">
        <f aca="true" t="shared" si="40" ref="I803:I809">SUM(H803/G806*100)</f>
        <v>#DIV/0!</v>
      </c>
    </row>
    <row r="804" spans="1:9" ht="28.5">
      <c r="A804" s="54" t="s">
        <v>295</v>
      </c>
      <c r="B804" s="36"/>
      <c r="C804" s="97" t="s">
        <v>294</v>
      </c>
      <c r="D804" s="97" t="s">
        <v>114</v>
      </c>
      <c r="E804" s="97" t="s">
        <v>596</v>
      </c>
      <c r="F804" s="108"/>
      <c r="G804" s="75">
        <f t="shared" si="39"/>
        <v>1586.9</v>
      </c>
      <c r="H804" s="75">
        <f t="shared" si="39"/>
        <v>1586.9</v>
      </c>
      <c r="I804" s="13" t="e">
        <f t="shared" si="40"/>
        <v>#DIV/0!</v>
      </c>
    </row>
    <row r="805" spans="1:9" ht="28.5">
      <c r="A805" s="54" t="s">
        <v>480</v>
      </c>
      <c r="B805" s="139"/>
      <c r="C805" s="97" t="s">
        <v>294</v>
      </c>
      <c r="D805" s="97" t="s">
        <v>114</v>
      </c>
      <c r="E805" s="97" t="s">
        <v>596</v>
      </c>
      <c r="F805" s="124" t="s">
        <v>477</v>
      </c>
      <c r="G805" s="75">
        <v>1586.9</v>
      </c>
      <c r="H805" s="75">
        <v>1586.9</v>
      </c>
      <c r="I805" s="13" t="e">
        <f t="shared" si="40"/>
        <v>#DIV/0!</v>
      </c>
    </row>
    <row r="806" spans="1:9" ht="42.75" hidden="1">
      <c r="A806" s="51" t="s">
        <v>250</v>
      </c>
      <c r="B806" s="36"/>
      <c r="C806" s="97" t="s">
        <v>294</v>
      </c>
      <c r="D806" s="97" t="s">
        <v>114</v>
      </c>
      <c r="E806" s="97" t="s">
        <v>236</v>
      </c>
      <c r="F806" s="108" t="s">
        <v>229</v>
      </c>
      <c r="G806" s="161"/>
      <c r="H806" s="161"/>
      <c r="I806" s="13" t="e">
        <f t="shared" si="40"/>
        <v>#DIV/0!</v>
      </c>
    </row>
    <row r="807" spans="1:9" ht="15" hidden="1">
      <c r="A807" s="57" t="s">
        <v>317</v>
      </c>
      <c r="B807" s="36"/>
      <c r="C807" s="97" t="s">
        <v>294</v>
      </c>
      <c r="D807" s="97" t="s">
        <v>114</v>
      </c>
      <c r="E807" s="97" t="s">
        <v>318</v>
      </c>
      <c r="F807" s="108"/>
      <c r="G807" s="161">
        <f>SUM(G808)</f>
        <v>0</v>
      </c>
      <c r="H807" s="161">
        <f>SUM(H808)</f>
        <v>0</v>
      </c>
      <c r="I807" s="13" t="e">
        <f t="shared" si="40"/>
        <v>#DIV/0!</v>
      </c>
    </row>
    <row r="808" spans="1:9" ht="42.75" hidden="1">
      <c r="A808" s="53" t="s">
        <v>251</v>
      </c>
      <c r="B808" s="36"/>
      <c r="C808" s="97" t="s">
        <v>294</v>
      </c>
      <c r="D808" s="97" t="s">
        <v>114</v>
      </c>
      <c r="E808" s="97" t="s">
        <v>232</v>
      </c>
      <c r="F808" s="108"/>
      <c r="G808" s="161">
        <f>SUM(G809)</f>
        <v>0</v>
      </c>
      <c r="H808" s="161">
        <f>SUM(H809)</f>
        <v>0</v>
      </c>
      <c r="I808" s="13" t="e">
        <f t="shared" si="40"/>
        <v>#DIV/0!</v>
      </c>
    </row>
    <row r="809" spans="1:9" ht="15" hidden="1">
      <c r="A809" s="54" t="s">
        <v>48</v>
      </c>
      <c r="B809" s="36"/>
      <c r="C809" s="97" t="s">
        <v>294</v>
      </c>
      <c r="D809" s="97" t="s">
        <v>114</v>
      </c>
      <c r="E809" s="97" t="s">
        <v>232</v>
      </c>
      <c r="F809" s="108" t="s">
        <v>240</v>
      </c>
      <c r="G809" s="161"/>
      <c r="H809" s="161"/>
      <c r="I809" s="13">
        <f t="shared" si="40"/>
        <v>0</v>
      </c>
    </row>
    <row r="810" spans="1:9" ht="15" hidden="1">
      <c r="A810" s="53" t="s">
        <v>3</v>
      </c>
      <c r="B810" s="36"/>
      <c r="C810" s="97" t="s">
        <v>294</v>
      </c>
      <c r="D810" s="97" t="s">
        <v>429</v>
      </c>
      <c r="E810" s="97" t="s">
        <v>261</v>
      </c>
      <c r="F810" s="107"/>
      <c r="G810" s="161">
        <f>SUM(G811)</f>
        <v>0</v>
      </c>
      <c r="H810" s="161">
        <f>SUM(H811)</f>
        <v>0</v>
      </c>
      <c r="I810" s="13"/>
    </row>
    <row r="811" spans="1:9" ht="28.5" hidden="1">
      <c r="A811" s="51" t="s">
        <v>329</v>
      </c>
      <c r="B811" s="36"/>
      <c r="C811" s="97" t="s">
        <v>294</v>
      </c>
      <c r="D811" s="97" t="s">
        <v>429</v>
      </c>
      <c r="E811" s="97" t="s">
        <v>261</v>
      </c>
      <c r="F811" s="107" t="s">
        <v>262</v>
      </c>
      <c r="G811" s="161"/>
      <c r="H811" s="161"/>
      <c r="I811" s="13"/>
    </row>
    <row r="812" spans="1:9" ht="15">
      <c r="A812" s="53" t="s">
        <v>225</v>
      </c>
      <c r="B812" s="47"/>
      <c r="C812" s="97" t="s">
        <v>294</v>
      </c>
      <c r="D812" s="97" t="s">
        <v>294</v>
      </c>
      <c r="E812" s="97"/>
      <c r="F812" s="108"/>
      <c r="G812" s="161">
        <f>SUM(G815+G820)+G813</f>
        <v>12873.800000000001</v>
      </c>
      <c r="H812" s="161">
        <f>SUM(H815+H820)+H813</f>
        <v>12873.800000000001</v>
      </c>
      <c r="I812" s="13">
        <f aca="true" t="shared" si="41" ref="I812:I820">SUM(H812/G815*100)</f>
        <v>100</v>
      </c>
    </row>
    <row r="813" spans="1:9" ht="42.75" hidden="1">
      <c r="A813" s="53" t="s">
        <v>203</v>
      </c>
      <c r="B813" s="47"/>
      <c r="C813" s="97" t="s">
        <v>294</v>
      </c>
      <c r="D813" s="97" t="s">
        <v>294</v>
      </c>
      <c r="E813" s="97" t="s">
        <v>204</v>
      </c>
      <c r="F813" s="108"/>
      <c r="G813" s="161">
        <f>SUM(G814)</f>
        <v>0</v>
      </c>
      <c r="H813" s="161">
        <f>SUM(H814)</f>
        <v>0</v>
      </c>
      <c r="I813" s="13">
        <f t="shared" si="41"/>
        <v>0</v>
      </c>
    </row>
    <row r="814" spans="1:9" ht="15" hidden="1">
      <c r="A814" s="54" t="s">
        <v>151</v>
      </c>
      <c r="B814" s="47"/>
      <c r="C814" s="97" t="s">
        <v>294</v>
      </c>
      <c r="D814" s="97" t="s">
        <v>294</v>
      </c>
      <c r="E814" s="97" t="s">
        <v>204</v>
      </c>
      <c r="F814" s="108" t="s">
        <v>76</v>
      </c>
      <c r="G814" s="161"/>
      <c r="H814" s="161"/>
      <c r="I814" s="13">
        <f t="shared" si="41"/>
        <v>0</v>
      </c>
    </row>
    <row r="815" spans="1:9" ht="28.5">
      <c r="A815" s="51" t="s">
        <v>593</v>
      </c>
      <c r="B815" s="36"/>
      <c r="C815" s="97" t="s">
        <v>294</v>
      </c>
      <c r="D815" s="97" t="s">
        <v>294</v>
      </c>
      <c r="E815" s="97" t="s">
        <v>594</v>
      </c>
      <c r="F815" s="108"/>
      <c r="G815" s="75">
        <f>SUM(G816)</f>
        <v>12873.800000000001</v>
      </c>
      <c r="H815" s="75">
        <f>SUM(H816)</f>
        <v>12873.800000000001</v>
      </c>
      <c r="I815" s="13">
        <f t="shared" si="41"/>
        <v>879.8387096774194</v>
      </c>
    </row>
    <row r="816" spans="1:9" ht="28.5">
      <c r="A816" s="51" t="s">
        <v>47</v>
      </c>
      <c r="B816" s="36"/>
      <c r="C816" s="97" t="s">
        <v>294</v>
      </c>
      <c r="D816" s="97" t="s">
        <v>294</v>
      </c>
      <c r="E816" s="97" t="s">
        <v>597</v>
      </c>
      <c r="F816" s="108"/>
      <c r="G816" s="75">
        <f>SUM(G817:G819)</f>
        <v>12873.800000000001</v>
      </c>
      <c r="H816" s="75">
        <f>SUM(H817:H819)</f>
        <v>12873.800000000001</v>
      </c>
      <c r="I816" s="13">
        <f t="shared" si="41"/>
        <v>27865.367965367965</v>
      </c>
    </row>
    <row r="817" spans="1:9" ht="28.5">
      <c r="A817" s="51" t="s">
        <v>461</v>
      </c>
      <c r="B817" s="36"/>
      <c r="C817" s="97" t="s">
        <v>294</v>
      </c>
      <c r="D817" s="97" t="s">
        <v>294</v>
      </c>
      <c r="E817" s="97" t="s">
        <v>597</v>
      </c>
      <c r="F817" s="107" t="s">
        <v>462</v>
      </c>
      <c r="G817" s="75">
        <v>11364.4</v>
      </c>
      <c r="H817" s="75">
        <v>11364.4</v>
      </c>
      <c r="I817" s="13" t="e">
        <f t="shared" si="41"/>
        <v>#DIV/0!</v>
      </c>
    </row>
    <row r="818" spans="1:9" ht="15">
      <c r="A818" s="51" t="s">
        <v>463</v>
      </c>
      <c r="B818" s="36"/>
      <c r="C818" s="97" t="s">
        <v>294</v>
      </c>
      <c r="D818" s="97" t="s">
        <v>294</v>
      </c>
      <c r="E818" s="97" t="s">
        <v>597</v>
      </c>
      <c r="F818" s="107" t="s">
        <v>112</v>
      </c>
      <c r="G818" s="167">
        <v>1463.2</v>
      </c>
      <c r="H818" s="167">
        <v>1463.2</v>
      </c>
      <c r="I818" s="13" t="e">
        <f t="shared" si="41"/>
        <v>#DIV/0!</v>
      </c>
    </row>
    <row r="819" spans="1:9" ht="15.75" thickBot="1">
      <c r="A819" s="51" t="s">
        <v>467</v>
      </c>
      <c r="B819" s="36"/>
      <c r="C819" s="97" t="s">
        <v>294</v>
      </c>
      <c r="D819" s="97" t="s">
        <v>294</v>
      </c>
      <c r="E819" s="97" t="s">
        <v>597</v>
      </c>
      <c r="F819" s="108" t="s">
        <v>161</v>
      </c>
      <c r="G819" s="75">
        <v>46.2</v>
      </c>
      <c r="H819" s="75">
        <v>46.2</v>
      </c>
      <c r="I819" s="13" t="e">
        <f t="shared" si="41"/>
        <v>#DIV/0!</v>
      </c>
    </row>
    <row r="820" spans="1:9" ht="15.75" hidden="1" thickBot="1">
      <c r="A820" s="54" t="s">
        <v>121</v>
      </c>
      <c r="B820" s="47"/>
      <c r="C820" s="97" t="s">
        <v>294</v>
      </c>
      <c r="D820" s="97" t="s">
        <v>294</v>
      </c>
      <c r="E820" s="97" t="s">
        <v>122</v>
      </c>
      <c r="F820" s="108"/>
      <c r="G820" s="161">
        <f>SUM(G821+G825)+G827+G829+G831</f>
        <v>0</v>
      </c>
      <c r="H820" s="72">
        <f>SUM(H821+H825)+H827+H829+H831</f>
        <v>0</v>
      </c>
      <c r="I820" s="13" t="e">
        <f t="shared" si="41"/>
        <v>#DIV/0!</v>
      </c>
    </row>
    <row r="821" spans="1:9" ht="15.75" hidden="1" thickBot="1">
      <c r="A821" s="51" t="s">
        <v>311</v>
      </c>
      <c r="B821" s="47"/>
      <c r="C821" s="97" t="s">
        <v>294</v>
      </c>
      <c r="D821" s="97" t="s">
        <v>294</v>
      </c>
      <c r="E821" s="97" t="s">
        <v>122</v>
      </c>
      <c r="F821" s="108" t="s">
        <v>287</v>
      </c>
      <c r="G821" s="161"/>
      <c r="H821" s="72"/>
      <c r="I821" s="13"/>
    </row>
    <row r="822" spans="1:9" ht="29.25" hidden="1" thickBot="1">
      <c r="A822" s="51" t="s">
        <v>219</v>
      </c>
      <c r="B822" s="125"/>
      <c r="C822" s="97" t="s">
        <v>294</v>
      </c>
      <c r="D822" s="97" t="s">
        <v>294</v>
      </c>
      <c r="E822" s="97" t="s">
        <v>220</v>
      </c>
      <c r="F822" s="108"/>
      <c r="G822" s="161"/>
      <c r="H822" s="72"/>
      <c r="I822" s="13"/>
    </row>
    <row r="823" spans="1:9" ht="29.25" hidden="1" thickBot="1">
      <c r="A823" s="51" t="s">
        <v>219</v>
      </c>
      <c r="B823" s="125"/>
      <c r="C823" s="97" t="s">
        <v>294</v>
      </c>
      <c r="D823" s="97" t="s">
        <v>294</v>
      </c>
      <c r="E823" s="97" t="s">
        <v>220</v>
      </c>
      <c r="F823" s="108" t="s">
        <v>287</v>
      </c>
      <c r="G823" s="177"/>
      <c r="H823" s="178"/>
      <c r="I823" s="13" t="e">
        <f>SUM(H823/G826*100)</f>
        <v>#DIV/0!</v>
      </c>
    </row>
    <row r="824" spans="1:9" ht="43.5" hidden="1" thickBot="1">
      <c r="A824" s="51" t="s">
        <v>291</v>
      </c>
      <c r="B824" s="125"/>
      <c r="C824" s="97" t="s">
        <v>294</v>
      </c>
      <c r="D824" s="97" t="s">
        <v>294</v>
      </c>
      <c r="E824" s="97" t="s">
        <v>292</v>
      </c>
      <c r="F824" s="108" t="s">
        <v>287</v>
      </c>
      <c r="G824" s="177"/>
      <c r="H824" s="178"/>
      <c r="I824" s="13" t="e">
        <f>SUM(H824/G827*100)</f>
        <v>#DIV/0!</v>
      </c>
    </row>
    <row r="825" spans="1:9" ht="29.25" hidden="1" thickBot="1">
      <c r="A825" s="51" t="s">
        <v>252</v>
      </c>
      <c r="B825" s="125"/>
      <c r="C825" s="97" t="s">
        <v>294</v>
      </c>
      <c r="D825" s="97" t="s">
        <v>294</v>
      </c>
      <c r="E825" s="97" t="s">
        <v>381</v>
      </c>
      <c r="F825" s="108"/>
      <c r="G825" s="177">
        <f>SUM(G826)</f>
        <v>0</v>
      </c>
      <c r="H825" s="178">
        <f>SUM(H826)</f>
        <v>0</v>
      </c>
      <c r="I825" s="13"/>
    </row>
    <row r="826" spans="1:9" ht="15.75" hidden="1" thickBot="1">
      <c r="A826" s="54" t="s">
        <v>151</v>
      </c>
      <c r="B826" s="36"/>
      <c r="C826" s="97" t="s">
        <v>294</v>
      </c>
      <c r="D826" s="97" t="s">
        <v>294</v>
      </c>
      <c r="E826" s="97" t="s">
        <v>381</v>
      </c>
      <c r="F826" s="124" t="s">
        <v>76</v>
      </c>
      <c r="G826" s="161"/>
      <c r="H826" s="72"/>
      <c r="I826" s="13" t="e">
        <f>SUM(H826/G829*100)</f>
        <v>#DIV/0!</v>
      </c>
    </row>
    <row r="827" spans="1:9" ht="43.5" hidden="1" thickBot="1">
      <c r="A827" s="51" t="s">
        <v>451</v>
      </c>
      <c r="B827" s="47"/>
      <c r="C827" s="97" t="s">
        <v>294</v>
      </c>
      <c r="D827" s="97" t="s">
        <v>294</v>
      </c>
      <c r="E827" s="97" t="s">
        <v>331</v>
      </c>
      <c r="F827" s="108"/>
      <c r="G827" s="177">
        <f>SUM(G828)</f>
        <v>0</v>
      </c>
      <c r="H827" s="178">
        <f>SUM(H828)</f>
        <v>0</v>
      </c>
      <c r="I827" s="13"/>
    </row>
    <row r="828" spans="1:9" ht="15.75" hidden="1" thickBot="1">
      <c r="A828" s="54" t="s">
        <v>151</v>
      </c>
      <c r="B828" s="47"/>
      <c r="C828" s="97" t="s">
        <v>294</v>
      </c>
      <c r="D828" s="97" t="s">
        <v>294</v>
      </c>
      <c r="E828" s="97" t="s">
        <v>331</v>
      </c>
      <c r="F828" s="124" t="s">
        <v>76</v>
      </c>
      <c r="G828" s="177"/>
      <c r="H828" s="178"/>
      <c r="I828" s="13"/>
    </row>
    <row r="829" spans="1:9" ht="29.25" hidden="1" thickBot="1">
      <c r="A829" s="51" t="s">
        <v>452</v>
      </c>
      <c r="B829" s="47"/>
      <c r="C829" s="97" t="s">
        <v>294</v>
      </c>
      <c r="D829" s="97" t="s">
        <v>294</v>
      </c>
      <c r="E829" s="97" t="s">
        <v>332</v>
      </c>
      <c r="F829" s="108"/>
      <c r="G829" s="177">
        <f>SUM(G830)</f>
        <v>0</v>
      </c>
      <c r="H829" s="178">
        <f>SUM(H830)</f>
        <v>0</v>
      </c>
      <c r="I829" s="13"/>
    </row>
    <row r="830" spans="1:9" ht="15.75" hidden="1" thickBot="1">
      <c r="A830" s="54" t="s">
        <v>151</v>
      </c>
      <c r="B830" s="47"/>
      <c r="C830" s="97" t="s">
        <v>294</v>
      </c>
      <c r="D830" s="97" t="s">
        <v>294</v>
      </c>
      <c r="E830" s="97" t="s">
        <v>332</v>
      </c>
      <c r="F830" s="124" t="s">
        <v>76</v>
      </c>
      <c r="G830" s="177"/>
      <c r="H830" s="178"/>
      <c r="I830" s="13" t="e">
        <f>SUM(H830/G833*100)</f>
        <v>#DIV/0!</v>
      </c>
    </row>
    <row r="831" spans="1:9" ht="43.5" hidden="1" thickBot="1">
      <c r="A831" s="54" t="s">
        <v>453</v>
      </c>
      <c r="B831" s="47"/>
      <c r="C831" s="97" t="s">
        <v>294</v>
      </c>
      <c r="D831" s="97" t="s">
        <v>294</v>
      </c>
      <c r="E831" s="97" t="s">
        <v>146</v>
      </c>
      <c r="F831" s="124"/>
      <c r="G831" s="177">
        <f>SUM(G832)</f>
        <v>0</v>
      </c>
      <c r="H831" s="178">
        <f>SUM(H832)</f>
        <v>0</v>
      </c>
      <c r="I831" s="13" t="e">
        <f>SUM(H831/G834*100)</f>
        <v>#DIV/0!</v>
      </c>
    </row>
    <row r="832" spans="1:9" ht="15.75" hidden="1" thickBot="1">
      <c r="A832" s="54" t="s">
        <v>151</v>
      </c>
      <c r="B832" s="47"/>
      <c r="C832" s="97" t="s">
        <v>294</v>
      </c>
      <c r="D832" s="97" t="s">
        <v>294</v>
      </c>
      <c r="E832" s="97" t="s">
        <v>146</v>
      </c>
      <c r="F832" s="124" t="s">
        <v>76</v>
      </c>
      <c r="G832" s="177"/>
      <c r="H832" s="178"/>
      <c r="I832" s="13" t="e">
        <f>SUM(H832/G835*100)</f>
        <v>#DIV/0!</v>
      </c>
    </row>
    <row r="833" spans="1:9" ht="29.25" hidden="1" thickBot="1">
      <c r="A833" s="51" t="s">
        <v>333</v>
      </c>
      <c r="B833" s="47"/>
      <c r="C833" s="97" t="s">
        <v>294</v>
      </c>
      <c r="D833" s="97" t="s">
        <v>5</v>
      </c>
      <c r="E833" s="97" t="s">
        <v>64</v>
      </c>
      <c r="F833" s="108" t="s">
        <v>287</v>
      </c>
      <c r="G833" s="177"/>
      <c r="H833" s="178"/>
      <c r="I833" s="24" t="e">
        <f>SUM(H833/G836*100)</f>
        <v>#DIV/0!</v>
      </c>
    </row>
    <row r="834" spans="1:9" ht="29.25" hidden="1" thickBot="1">
      <c r="A834" s="51" t="s">
        <v>65</v>
      </c>
      <c r="B834" s="47"/>
      <c r="C834" s="97" t="s">
        <v>294</v>
      </c>
      <c r="D834" s="97" t="s">
        <v>5</v>
      </c>
      <c r="E834" s="97" t="s">
        <v>66</v>
      </c>
      <c r="F834" s="108" t="s">
        <v>287</v>
      </c>
      <c r="G834" s="177"/>
      <c r="H834" s="178"/>
      <c r="I834" s="26">
        <f>SUM(H834/G837*100)</f>
        <v>0</v>
      </c>
    </row>
    <row r="835" spans="1:9" ht="29.25" hidden="1" thickBot="1">
      <c r="A835" s="57" t="s">
        <v>334</v>
      </c>
      <c r="B835" s="47"/>
      <c r="C835" s="97" t="s">
        <v>294</v>
      </c>
      <c r="D835" s="97" t="s">
        <v>5</v>
      </c>
      <c r="E835" s="97" t="s">
        <v>335</v>
      </c>
      <c r="F835" s="108" t="s">
        <v>287</v>
      </c>
      <c r="G835" s="177"/>
      <c r="H835" s="178"/>
      <c r="I835" s="27">
        <f>-76000-174.5-350</f>
        <v>-76524.5</v>
      </c>
    </row>
    <row r="836" spans="1:8" ht="43.5" hidden="1" thickBot="1">
      <c r="A836" s="150" t="s">
        <v>171</v>
      </c>
      <c r="B836" s="156"/>
      <c r="C836" s="99" t="s">
        <v>294</v>
      </c>
      <c r="D836" s="99" t="s">
        <v>5</v>
      </c>
      <c r="E836" s="99" t="s">
        <v>172</v>
      </c>
      <c r="F836" s="157" t="s">
        <v>287</v>
      </c>
      <c r="G836" s="179"/>
      <c r="H836" s="180"/>
    </row>
    <row r="837" spans="1:12" ht="16.5" thickBot="1">
      <c r="A837" s="151" t="s">
        <v>159</v>
      </c>
      <c r="B837" s="158"/>
      <c r="C837" s="100"/>
      <c r="D837" s="100"/>
      <c r="E837" s="100"/>
      <c r="F837" s="159"/>
      <c r="G837" s="152">
        <f>SUM(G11+G35+G54+G286+G319+G501+G546+G640+G739)</f>
        <v>3286204.4999999995</v>
      </c>
      <c r="H837" s="48">
        <f>SUM(H11+H35+H54+H286+H319+H501+H546+H640+H739)</f>
        <v>3317794.3000000003</v>
      </c>
      <c r="K837" s="33">
        <f>SUM(G837-G11-G35-G56-G75-G103-G286-G475)</f>
        <v>3061205.8999999994</v>
      </c>
      <c r="L837" s="33">
        <f>SUM(H837-H11-H35-H56-H75-H103-H286-H475)</f>
        <v>3092442.4</v>
      </c>
    </row>
    <row r="838" spans="7:8" ht="12" customHeight="1">
      <c r="G838" s="37"/>
      <c r="H838" s="38"/>
    </row>
    <row r="839" spans="7:8" ht="12.75" hidden="1">
      <c r="G839" s="38">
        <f>3229168-40830.2</f>
        <v>3188337.8</v>
      </c>
      <c r="H839" s="45">
        <f>3276557.9-74115.2</f>
        <v>3202442.6999999997</v>
      </c>
    </row>
    <row r="840" ht="12.75" hidden="1"/>
    <row r="841" spans="7:8" ht="12.75" hidden="1">
      <c r="G841" s="38">
        <f>SUM(G837-G839)</f>
        <v>97866.69999999972</v>
      </c>
      <c r="H841" s="38">
        <f>SUM(H837-H839)</f>
        <v>115351.60000000056</v>
      </c>
    </row>
    <row r="842" spans="7:12" ht="12.75">
      <c r="G842" s="45"/>
      <c r="K842">
        <f>SUM(1118213/K837)</f>
        <v>0.3652851315881758</v>
      </c>
      <c r="L842">
        <f>SUM(1118213/L837)</f>
        <v>0.36159541726630057</v>
      </c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2014-12-17T11:12:12Z</cp:lastPrinted>
  <dcterms:created xsi:type="dcterms:W3CDTF">2010-10-13T06:28:56Z</dcterms:created>
  <dcterms:modified xsi:type="dcterms:W3CDTF">2014-12-23T07:23:56Z</dcterms:modified>
  <cp:category/>
  <cp:version/>
  <cp:contentType/>
  <cp:contentStatus/>
</cp:coreProperties>
</file>