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5260" windowHeight="5835" activeTab="0"/>
  </bookViews>
  <sheets>
    <sheet name="ГАДы" sheetId="1" r:id="rId1"/>
    <sheet name="функцион.2014" sheetId="2" r:id="rId2"/>
    <sheet name="ведомствен.2014" sheetId="3" r:id="rId3"/>
    <sheet name="прогр.заимств." sheetId="4" r:id="rId4"/>
    <sheet name="прогр.заимств.2015-2016" sheetId="5" r:id="rId5"/>
    <sheet name="источн.2014" sheetId="6" r:id="rId6"/>
    <sheet name="источн.2015-2016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<sst xmlns="http://schemas.openxmlformats.org/spreadsheetml/2006/main" count="8044" uniqueCount="1056">
  <si>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</si>
  <si>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</si>
  <si>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</si>
  <si>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</si>
  <si>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</si>
  <si>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</si>
  <si>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</si>
  <si>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</si>
  <si>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</si>
  <si>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Наименование источника средств</t>
  </si>
  <si>
    <t>Сумма,
тыс. руб.</t>
  </si>
  <si>
    <t>01  00  00  00  00  0000  000</t>
  </si>
  <si>
    <t>Источники внутреннего финансирования дефицита бюджетов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</si>
  <si>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</si>
  <si>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</si>
  <si>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</si>
  <si>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</si>
  <si>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</si>
  <si>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</si>
  <si>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</si>
  <si>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</si>
  <si>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</si>
  <si>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</si>
  <si>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</si>
  <si>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</si>
  <si>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</si>
  <si>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</si>
  <si>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</si>
  <si>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</si>
  <si>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</si>
  <si>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</si>
  <si>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</si>
  <si>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</si>
  <si>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</si>
  <si>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</si>
  <si>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</si>
  <si>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</si>
  <si>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</si>
  <si>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</si>
  <si>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</si>
  <si>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</si>
  <si>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</si>
  <si>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</si>
  <si>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</si>
  <si>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</si>
  <si>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</si>
  <si>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</si>
  <si>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</si>
  <si>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</si>
  <si>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</si>
  <si>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</si>
  <si>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</si>
  <si>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</si>
  <si>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</si>
  <si>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</si>
  <si>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</si>
  <si>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</si>
  <si>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</si>
  <si>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</si>
  <si>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</si>
  <si>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</si>
  <si>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</si>
  <si>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</si>
  <si>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Код бюджетной классификации РФ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</si>
  <si>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</si>
  <si>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</si>
  <si>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</si>
  <si>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</si>
  <si>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</si>
  <si>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</si>
  <si>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</si>
  <si>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</si>
  <si>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</si>
  <si>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</si>
  <si>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</si>
  <si>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</si>
  <si>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</si>
  <si>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</si>
  <si>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</si>
  <si>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</si>
  <si>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441 82 00</t>
  </si>
  <si>
    <t>441 82 10</t>
  </si>
  <si>
    <t>612</t>
  </si>
  <si>
    <t>470 82 00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</si>
  <si>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</si>
  <si>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</si>
  <si>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</si>
  <si>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</si>
  <si>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</si>
  <si>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</si>
  <si>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</si>
  <si>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</si>
  <si>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</si>
  <si>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</si>
  <si>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</si>
  <si>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</si>
  <si>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</si>
  <si>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</si>
  <si>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</si>
  <si>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</si>
  <si>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</si>
  <si>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</si>
  <si>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</si>
  <si>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</si>
  <si>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</si>
  <si>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</si>
  <si>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</si>
  <si>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</si>
  <si>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</si>
  <si>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</si>
  <si>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</si>
  <si>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</si>
  <si>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</si>
  <si>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</si>
  <si>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</si>
  <si>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</si>
  <si>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</si>
  <si>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</si>
  <si>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</si>
  <si>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</si>
  <si>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</si>
  <si>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</si>
  <si>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</si>
  <si>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</si>
  <si>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</si>
  <si>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</si>
  <si>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</si>
  <si>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</si>
  <si>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</si>
  <si>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</si>
  <si>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</si>
  <si>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</si>
  <si>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</si>
  <si>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</si>
  <si>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</si>
  <si>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</si>
  <si>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</si>
  <si>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</si>
  <si>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</si>
  <si>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</si>
  <si>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</si>
  <si>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</si>
  <si>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</si>
  <si>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</si>
  <si>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</si>
  <si>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</si>
  <si>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</si>
  <si>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</si>
  <si>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</si>
  <si>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</si>
  <si>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</si>
  <si>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</si>
  <si>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</si>
  <si>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</si>
  <si>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</si>
  <si>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</si>
  <si>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</si>
  <si>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</si>
  <si>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</si>
  <si>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</si>
  <si>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</si>
  <si>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</si>
  <si>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</si>
  <si>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</si>
  <si>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</si>
  <si>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</si>
  <si>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</si>
  <si>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</si>
  <si>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</si>
  <si>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</si>
  <si>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</si>
  <si>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</si>
  <si>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</si>
  <si>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</si>
  <si>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700</t>
  </si>
  <si>
    <t>800</t>
  </si>
  <si>
    <t>Иные источники внутреннего финансирования  дефицитов бюджетов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</si>
  <si>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</si>
  <si>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</si>
  <si>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</si>
  <si>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</si>
  <si>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</si>
  <si>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</si>
  <si>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</si>
  <si>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</si>
  <si>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</si>
  <si>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</si>
  <si>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</si>
  <si>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</si>
  <si>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</si>
  <si>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</si>
  <si>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</si>
  <si>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</si>
  <si>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</si>
  <si>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</si>
  <si>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</si>
  <si>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</si>
  <si>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</si>
  <si>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</si>
  <si>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</si>
  <si>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</si>
  <si>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</si>
  <si>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</si>
  <si>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</si>
  <si>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</si>
  <si>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</si>
  <si>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</si>
  <si>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</si>
  <si>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</si>
  <si>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</si>
  <si>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</si>
  <si>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</si>
  <si>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</si>
  <si>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</si>
  <si>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</si>
  <si>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</si>
  <si>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</si>
  <si>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</si>
  <si>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</si>
  <si>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</si>
  <si>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Меры социальной поддержки граждан</t>
  </si>
  <si>
    <t>520 00 00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</si>
  <si>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</si>
  <si>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</si>
  <si>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</si>
  <si>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</si>
  <si>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</si>
  <si>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</si>
  <si>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</si>
  <si>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</si>
  <si>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</si>
  <si>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Государственная поддержка в сфере образования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</si>
  <si>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</si>
  <si>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01  06  04  00  04  0000  810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</si>
  <si>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</si>
  <si>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</si>
  <si>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</si>
  <si>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</si>
  <si>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</si>
  <si>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</si>
  <si>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</si>
  <si>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Поликлиники, амбулатории, диагностические центры</t>
  </si>
  <si>
    <t>471 00 00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</si>
  <si>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</si>
  <si>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</si>
  <si>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</si>
  <si>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</si>
  <si>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</si>
  <si>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</si>
  <si>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</si>
  <si>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</si>
  <si>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</si>
  <si>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</si>
  <si>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</si>
  <si>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</si>
  <si>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</si>
  <si>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</si>
  <si>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</si>
  <si>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</si>
  <si>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</si>
  <si>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</si>
  <si>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</si>
  <si>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</si>
  <si>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</si>
  <si>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</si>
  <si>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</si>
  <si>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</si>
  <si>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</si>
  <si>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>к решению Собрания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</si>
  <si>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</si>
  <si>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</si>
  <si>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</si>
  <si>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</si>
  <si>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</si>
  <si>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</si>
  <si>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</si>
  <si>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</si>
  <si>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</si>
  <si>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</si>
  <si>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</si>
  <si>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</si>
  <si>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</si>
  <si>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</si>
  <si>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</si>
  <si>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</si>
  <si>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</si>
  <si>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</si>
  <si>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</si>
  <si>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</si>
  <si>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</si>
  <si>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</si>
  <si>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</si>
  <si>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</si>
  <si>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436 01 00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</si>
  <si>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</si>
  <si>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</si>
  <si>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</si>
  <si>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</si>
  <si>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</si>
  <si>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</si>
  <si>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</si>
  <si>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</si>
  <si>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</si>
  <si>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</si>
  <si>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</si>
  <si>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</si>
  <si>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</si>
  <si>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</si>
  <si>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</si>
  <si>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</si>
  <si>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</si>
  <si>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Исполнение государственных и муниципальных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</si>
  <si>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01  06  05  00  00  0000  000</t>
  </si>
  <si>
    <t>Бюджетные кредиты, предоставленные внутри  страны в валюте Российской Федерации</t>
  </si>
  <si>
    <t>01  06  05  00  00  0000  600</t>
  </si>
  <si>
    <t>Возврат бюджетных кредитов, предоставленных  внутри страны в валюте Российской Федерации</t>
  </si>
  <si>
    <t>01  06  05  01  04  0000  640</t>
  </si>
  <si>
    <t>Возврат бюджетных кредитов, предоставленных юридическим лицам из бюджетов городских округов в валюте РФ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</si>
  <si>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</si>
  <si>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</si>
  <si>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</si>
  <si>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</si>
  <si>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</si>
  <si>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</si>
  <si>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</si>
  <si>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</si>
  <si>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</si>
  <si>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</si>
  <si>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</si>
  <si>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</si>
  <si>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</si>
  <si>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</si>
  <si>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</si>
  <si>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</si>
  <si>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</si>
  <si>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</si>
  <si>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</si>
  <si>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</si>
  <si>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</si>
  <si>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</si>
  <si>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</si>
  <si>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</si>
  <si>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</si>
  <si>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</si>
  <si>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</si>
  <si>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</si>
  <si>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</si>
  <si>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Погашение кредитов, предоставленных кредитными организациями в валюте Российской Федерации</t>
  </si>
  <si>
    <t>01  02  00  00  04  0000  810</t>
  </si>
  <si>
    <t>01  03  00  00  00  0000  700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</si>
  <si>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</si>
  <si>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01  05  00  00  00  0000  000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</si>
  <si>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</si>
  <si>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</si>
  <si>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</si>
  <si>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</si>
  <si>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</si>
  <si>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</si>
  <si>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01  05  02  01  04  0000  610</t>
  </si>
  <si>
    <t>Уменьшение прочих остатков денежных средств  бюджетов городских округов</t>
  </si>
  <si>
    <t>01  06  00  00  00  0000  000</t>
  </si>
  <si>
    <t>01  06  04  00  00  0000  000</t>
  </si>
  <si>
    <t>Исполнение государственных и муниципальных  гарантий в валюте Российской Федерации</t>
  </si>
  <si>
    <t>01  06  04  00  00  0000  800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</si>
  <si>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</si>
  <si>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</si>
  <si>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</si>
  <si>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</si>
  <si>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</si>
  <si>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</si>
  <si>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</si>
  <si>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</si>
  <si>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</si>
  <si>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</si>
  <si>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</si>
  <si>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</si>
  <si>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</si>
  <si>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</si>
  <si>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</si>
  <si>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</si>
  <si>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</si>
  <si>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</si>
  <si>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</si>
  <si>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</si>
  <si>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</si>
  <si>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</si>
  <si>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</si>
  <si>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</si>
  <si>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</si>
  <si>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</si>
  <si>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</si>
  <si>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</si>
  <si>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</si>
  <si>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</si>
  <si>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</si>
  <si>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</si>
  <si>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</si>
  <si>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</si>
  <si>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</si>
  <si>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</si>
  <si>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</si>
  <si>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</si>
  <si>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</si>
  <si>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</si>
  <si>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</si>
  <si>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</si>
  <si>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</si>
  <si>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</si>
  <si>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</si>
  <si>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</si>
  <si>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</si>
  <si>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</si>
  <si>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</si>
  <si>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</si>
  <si>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</si>
  <si>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</si>
  <si>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</si>
  <si>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</si>
  <si>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</si>
  <si>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</si>
  <si>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</si>
  <si>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</si>
  <si>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</si>
  <si>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</si>
  <si>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</si>
  <si>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</si>
  <si>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</si>
  <si>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</si>
  <si>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</si>
  <si>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</si>
  <si>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</si>
  <si>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</si>
  <si>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</si>
  <si>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</si>
  <si>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</si>
  <si>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</si>
  <si>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01  03  00  00  04  0000  710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</si>
  <si>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</si>
  <si>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</si>
  <si>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</si>
  <si>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</si>
  <si>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</si>
  <si>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</si>
  <si>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</si>
  <si>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</si>
  <si>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</si>
  <si>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</si>
  <si>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</si>
  <si>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</si>
  <si>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</si>
  <si>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</si>
  <si>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</si>
  <si>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</si>
  <si>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</si>
  <si>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</si>
  <si>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</si>
  <si>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</si>
  <si>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</si>
  <si>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</si>
  <si>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</si>
  <si>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</si>
  <si>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</si>
  <si>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</si>
  <si>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</si>
  <si>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</si>
  <si>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</si>
  <si>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</si>
  <si>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</si>
  <si>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</si>
  <si>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</si>
  <si>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</si>
  <si>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</si>
  <si>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</si>
  <si>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</si>
  <si>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</si>
  <si>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</si>
  <si>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</si>
  <si>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</si>
  <si>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</si>
  <si>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</si>
  <si>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</si>
  <si>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</si>
  <si>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 xml:space="preserve">Муниципальная целевая программа "Безопасность учреждений культуры" на 2013-2015 годы </t>
  </si>
  <si>
    <t>Приложение 10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</si>
  <si>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</si>
  <si>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</si>
  <si>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</si>
  <si>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</si>
  <si>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</si>
  <si>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</si>
  <si>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</si>
  <si>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</si>
  <si>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 2014 год                 (тыс. руб.)</t>
  </si>
  <si>
    <t>НА 2014 ГОД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</si>
  <si>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</si>
  <si>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</si>
  <si>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</si>
  <si>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</si>
  <si>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</si>
  <si>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</si>
  <si>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</si>
  <si>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</si>
  <si>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</si>
  <si>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</si>
  <si>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</si>
  <si>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</si>
  <si>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</si>
  <si>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</si>
  <si>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</si>
  <si>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РАСПРЕДЕЛЕНИЕ БЮДЖЕТНЫХ АССИГНОВАНИЙ НА 2014 ГОД</t>
  </si>
  <si>
    <t>Расходы на оплату задолженности по договорам 2013 года</t>
  </si>
  <si>
    <t>655 00 10</t>
  </si>
  <si>
    <t>600</t>
  </si>
  <si>
    <t>477 82 00</t>
  </si>
  <si>
    <t>477 82 30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</si>
  <si>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</si>
  <si>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</si>
  <si>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</si>
  <si>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</si>
  <si>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</si>
  <si>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</si>
  <si>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</si>
  <si>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</si>
  <si>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</si>
  <si>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</si>
  <si>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</si>
  <si>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</si>
  <si>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</si>
  <si>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</si>
  <si>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</si>
  <si>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</si>
  <si>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</si>
  <si>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</si>
  <si>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</si>
  <si>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</si>
  <si>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</si>
  <si>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</si>
  <si>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</si>
  <si>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</si>
  <si>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</si>
  <si>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</si>
  <si>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</si>
  <si>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</si>
  <si>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</si>
  <si>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</si>
  <si>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</si>
  <si>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</si>
  <si>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</si>
  <si>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</si>
  <si>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</si>
  <si>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</si>
  <si>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</si>
  <si>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</si>
  <si>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</si>
  <si>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</si>
  <si>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</si>
  <si>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</si>
  <si>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</si>
  <si>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</si>
  <si>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</si>
  <si>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</si>
  <si>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</si>
  <si>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</si>
  <si>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</si>
  <si>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</si>
  <si>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</si>
  <si>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</si>
  <si>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</si>
  <si>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</si>
  <si>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>487 99 01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</si>
  <si>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</si>
  <si>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</si>
  <si>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</si>
  <si>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</si>
  <si>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</si>
  <si>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 xml:space="preserve">Предоставление субсидий бюджетным,
автономным учреждениям и иным некоммерческим организациям
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</si>
  <si>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</si>
  <si>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</si>
  <si>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</si>
  <si>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</si>
  <si>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</si>
  <si>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</si>
  <si>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</si>
  <si>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</si>
  <si>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</si>
  <si>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</si>
  <si>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</si>
  <si>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</si>
  <si>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</si>
  <si>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</si>
  <si>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</si>
  <si>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</si>
  <si>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</si>
  <si>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</si>
  <si>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</si>
  <si>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</si>
  <si>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</si>
  <si>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</si>
  <si>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</si>
  <si>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</si>
  <si>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</si>
  <si>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</si>
  <si>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</si>
  <si>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</si>
  <si>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</si>
  <si>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</si>
  <si>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</si>
  <si>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</si>
  <si>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</si>
  <si>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</si>
  <si>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</si>
  <si>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</si>
  <si>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</si>
  <si>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</si>
  <si>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</si>
  <si>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</si>
  <si>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</si>
  <si>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</si>
  <si>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</si>
  <si>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</si>
  <si>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на 2014 год  (тыс. руб.)</t>
  </si>
  <si>
    <t>Коды бюджетной  классификации</t>
  </si>
  <si>
    <t xml:space="preserve">от                     № </t>
  </si>
  <si>
    <t xml:space="preserve">Источники 
внутреннего финансирования дефицита бюджета Миасского  городского округа 
на 2014 год   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</si>
  <si>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</si>
  <si>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</si>
  <si>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 средств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</si>
  <si>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</si>
  <si>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01  03  01  00  00  0000  000</t>
  </si>
  <si>
    <t>01  03  01  00  00  0000  800</t>
  </si>
  <si>
    <t>01  03  01  00  04  0000  810</t>
  </si>
  <si>
    <t>Муниципальная  программа "Развитие физической культуры и спорта в Миасском городском округе на 2012-2016 годы"</t>
  </si>
  <si>
    <t>Финансовое обеспечение муниципального задания на оказание государственных услуг</t>
  </si>
  <si>
    <t>Организации по внешкольной работе с детьми</t>
  </si>
  <si>
    <t>Обеспечение деятельности  (оказание услуг) подведомственных казенных учреждений в области физической культуры и спорта</t>
  </si>
  <si>
    <t>Обеспечение деятельности (оказание услуг) подведомственных казенных учреждений в области физической культуры и спорта</t>
  </si>
  <si>
    <t>Охрана объектов растительного и животного мира и среды их обитания</t>
  </si>
  <si>
    <t>Обеспечение жилыми помещениями  детей-сирот и детей, оставшихся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</si>
  <si>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 xml:space="preserve">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</si>
  <si>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441 82 24</t>
  </si>
  <si>
    <t>МП "Экология Миасского городского округа 2014-2016 гг."</t>
  </si>
  <si>
    <t>МП "Экология Миасского городского округа 2014-2016гг"</t>
  </si>
  <si>
    <t>471 82 24</t>
  </si>
  <si>
    <t>Муниципальная программа " Развитие здравоохранения Миасского городского округа на 2014 год и плановый период 2015 и 2016 годов"</t>
  </si>
  <si>
    <t>795 00 38</t>
  </si>
  <si>
    <t>001 59 30</t>
  </si>
  <si>
    <t>Национальный проект "Доступное и комфортное жилье - гражданам России" на территории Миасского городского округа на 2011-2015 годы.</t>
  </si>
  <si>
    <t>795 19 00</t>
  </si>
  <si>
    <t>Подпрограмма "Подготовка земельных участков для освоения в целях жилищного строительства"</t>
  </si>
  <si>
    <t>795 19 12</t>
  </si>
  <si>
    <t>Подпрограмма "Оказание молодым семьям господдержки для улучшения жил.условий"</t>
  </si>
  <si>
    <t>Национальный проект "Доступное и комфортное жилье - гражданам России" на территории МГО на 2011-2015 гг.</t>
  </si>
  <si>
    <t>795 19 14</t>
  </si>
  <si>
    <t>795 00 79</t>
  </si>
  <si>
    <t>Озеленение</t>
  </si>
  <si>
    <t>600 03 00</t>
  </si>
  <si>
    <t>795 00 69</t>
  </si>
  <si>
    <t>Национальный проект "Доступное и комфортное жилье - гражданам России" на территории МГО на 2011-2015гг.</t>
  </si>
  <si>
    <t xml:space="preserve">Подпрограмма "Модернизация объектов коммунальной инфраструктуры" </t>
  </si>
  <si>
    <t>Бюджетные инвестиции в объекты капитального строительства государственной (муниципальной) собственности</t>
  </si>
  <si>
    <t>795 00 21</t>
  </si>
  <si>
    <t>420 82 24</t>
  </si>
  <si>
    <t>420 82 20</t>
  </si>
  <si>
    <t>421 82 24</t>
  </si>
  <si>
    <t>421 82 20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</si>
  <si>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</si>
  <si>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</si>
  <si>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421 82 59</t>
  </si>
  <si>
    <t>Муниципальная программа "Снижение административных барьеров, оптимизация и повышение качества государственных и муниицпальных услуг на базе Муниципального автономного учреждения "Многофункциональный центр предоставления государственных и муниципальных услуг" на 2014-2016 годы"</t>
  </si>
  <si>
    <t>Муниципальная программа  "Миасс - безопасный город" на 2014-2016 годы</t>
  </si>
  <si>
    <t>МП "Капитальное строительство на территории Миасского городского округа на 2014-2016 годы"</t>
  </si>
  <si>
    <t>Муниципальная программа "Капитальное строительство на территории Миасского городского округа на 2014-2016 годы"</t>
  </si>
  <si>
    <t>Муниципальная  программа "Организация мероприятий и создание условий  для содержания объектов инженерной инфраструктуры на территории Миасского городского округа на 2013 - 2015 годы"</t>
  </si>
  <si>
    <t>Муниципальная программа "Снос и обрезка сухих, аварийных , больных деревьев, посадка деревьев и кустарников на территории МГО на 2011-2013 годы"</t>
  </si>
  <si>
    <t xml:space="preserve">Муниципальная программа улучшения водоснабжения частного сектора МГО на 2013 - 2015 годы  </t>
  </si>
  <si>
    <t>МП по реализации НП "Доступное и комфортное жилье - гражданам России"  на территории МГО на 2014-2020 г.г., подпрограмма "Модернизация объектов коммунальной инфраструктуры"</t>
  </si>
  <si>
    <t>МП по реализации НП "Доступное и комфортное жилье - гражданам России"  на территории МГО на 2014-2020 г.г.</t>
  </si>
  <si>
    <t>Подпрограмма "Оказание молодым семьям господдержки для улучшения жилищных условий"</t>
  </si>
  <si>
    <t>Муниципальная программа "Внедрение спутниковых навигационных технологий с использованием системы ГЛОНАСС в Миасском городском округе на 2014-2015гг."</t>
  </si>
  <si>
    <t>795 00 47</t>
  </si>
  <si>
    <t>Государственные программы Челябинской области</t>
  </si>
  <si>
    <t>Государственная программа Челябинской области "Развитие образования в Челябинской области" на 2014-2015 годы</t>
  </si>
  <si>
    <t>544 00 00</t>
  </si>
  <si>
    <t>544 29 00</t>
  </si>
  <si>
    <t xml:space="preserve">Муниципальная программа "Доступная среда на 2014-2015 годы" </t>
  </si>
  <si>
    <t>Государственная программа Челябинской области "Развитие физической культуры и спорта в Челябинской области" на 2014 год</t>
  </si>
  <si>
    <t>544 16 00</t>
  </si>
  <si>
    <t xml:space="preserve"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 за счет средств бюджетов </t>
  </si>
  <si>
    <t>Обеспечение мероприятий по капитальному ремонту многоквартирных домов,  переселению граждан из аварийного жилищного фонда и модернизации систем коммунальной инфраструктуры</t>
  </si>
  <si>
    <t>098 96 00</t>
  </si>
  <si>
    <t>Другие мероприятия по реализации муниципальных функций</t>
  </si>
  <si>
    <t>005 15 01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</si>
  <si>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</si>
  <si>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544 40 00</t>
  </si>
  <si>
    <t>Подпрограмма "Развитие адаптивной физической культуры и спорта" на 2014 год</t>
  </si>
  <si>
    <t>544 16 02</t>
  </si>
  <si>
    <t>098 96 01</t>
  </si>
  <si>
    <t>Обеспечение мероприятий по капитальному ремонту многоквартирных домов</t>
  </si>
  <si>
    <t>098 96 02</t>
  </si>
  <si>
    <t>Обеспечение мероприятий по переселению граждан из аварийного жилищного фонда</t>
  </si>
  <si>
    <t>098 95 00</t>
  </si>
  <si>
    <t>098 95 02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</si>
  <si>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 содействия реформированию жилищно-коммунального хозяйства</t>
  </si>
  <si>
    <t>Федеральные целевые программы</t>
  </si>
  <si>
    <t>100 00 00</t>
  </si>
  <si>
    <t>Федеральная целевая программа " Жилище"</t>
  </si>
  <si>
    <t>100 50 00</t>
  </si>
  <si>
    <t>Субсидии на меропрития подпрограммы "Обеспечение жильем молодых семей" Федеральной целевой программы "Жилище" на 2011-2015 годы</t>
  </si>
  <si>
    <t>100 50 20</t>
  </si>
  <si>
    <t>Госудаственная программа Челябинской области "Обеспечение доступным и комфортным жильем граждан Российской Федерации" в Челябинской области на 2014-2020гг.</t>
  </si>
  <si>
    <t>544 07 00</t>
  </si>
  <si>
    <t>544 07 04</t>
  </si>
  <si>
    <t>Подпрограмма "Развитие физической культуры, массового спорта и спорта высших достижений" на 2014 год</t>
  </si>
  <si>
    <t>544 16 01</t>
  </si>
  <si>
    <t>Государственная программа Челябинской области "Доступная среда" на 2014-2015 годы</t>
  </si>
  <si>
    <t>544 22 00</t>
  </si>
  <si>
    <t>Спорт высших достижений</t>
  </si>
  <si>
    <t>Физкультурно-оздоровительная работа и спортивные мероприятия</t>
  </si>
  <si>
    <t>512 00 00</t>
  </si>
  <si>
    <t>Оказание адресной финансовой поддержки спортивным организациям, лсуществляющий подготовку спортивного резерва для сборных команд РФ</t>
  </si>
  <si>
    <t>512 50 81</t>
  </si>
  <si>
    <t>420 82 22</t>
  </si>
  <si>
    <t>420 82 23</t>
  </si>
  <si>
    <t>Муниципальная программа "Безопасность образовательных организаций Миасского городского округа на 2014-2015 годы"</t>
  </si>
  <si>
    <t>795 00 43</t>
  </si>
  <si>
    <t>421 82 22</t>
  </si>
  <si>
    <t>Муниципальная программа "программа развития образования в Миасском городском округе на 2014-2015 годы"</t>
  </si>
  <si>
    <t>795 00 45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</si>
  <si>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 за счет средств субсидий из областного бюджета</t>
  </si>
  <si>
    <t>432 01 72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</si>
  <si>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</si>
  <si>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544 25 00</t>
  </si>
  <si>
    <t>Подпрограмма "Патриотическое воспитание молодых граждан Челябинской области" на 2014 год</t>
  </si>
  <si>
    <t>544 25 01</t>
  </si>
  <si>
    <t>Компенсация расходов автотранспортных предприятий, связанных с предоставлением сезонных льгот пенсионерам садоводам, пенсионерам огородникам на автомобильном транспорте городских и пригородных (садовых) маршрутов за счет средств областного бюджета</t>
  </si>
  <si>
    <t>313 02 72</t>
  </si>
  <si>
    <t>340 82 20</t>
  </si>
  <si>
    <t>340 82 24</t>
  </si>
  <si>
    <t>Адресная субсидия гражданам в связи с ростом платы за коммунальные услуги</t>
  </si>
  <si>
    <t>505 78 00</t>
  </si>
  <si>
    <t>Муниципальная программа "Организация мероприятий и создание условий для обеспечения жизнедеятельности Миасского городского округа в 2014 году"</t>
  </si>
  <si>
    <t>795 00 82</t>
  </si>
  <si>
    <t>Муниципальная программа "Регулирование численности безнадзорных собак на территории Миасского городского округа на 2014-2016гг."</t>
  </si>
  <si>
    <t>795 00 81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</si>
  <si>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</si>
  <si>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"Модернизация объектов коммунальной инфраструктуры"</t>
  </si>
  <si>
    <t>544 07 02</t>
  </si>
  <si>
    <t>Приложение 3</t>
  </si>
  <si>
    <t>Муниципальнае программы</t>
  </si>
  <si>
    <t xml:space="preserve">01 </t>
  </si>
  <si>
    <t>Муниципальная программа "Поддержки и развития малого и среднего предпринимательства в Миасском городском округе на 2014-2015 годы"</t>
  </si>
  <si>
    <t>795 00 03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</si>
  <si>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на 2014 год</t>
  </si>
  <si>
    <t>505 50 82</t>
  </si>
  <si>
    <t>Реализация мероприятий государственной программы Российской федерации "Доступная среда" на 2011-2015 годы</t>
  </si>
  <si>
    <t>514 50 27</t>
  </si>
  <si>
    <t>Приложение 5</t>
  </si>
  <si>
    <t xml:space="preserve">Программа муниципальных внутренних заимствований </t>
  </si>
  <si>
    <t xml:space="preserve">на 2014 год </t>
  </si>
  <si>
    <t>1. Источники внутренних заимствований</t>
  </si>
  <si>
    <t>тыс.руб.</t>
  </si>
  <si>
    <t>Сумма,                 2014г.</t>
  </si>
  <si>
    <t>Сумма,                 2013г.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</si>
  <si>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</si>
  <si>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</si>
  <si>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</si>
  <si>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</si>
  <si>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</si>
  <si>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на плановый период 2015 и 2016 гг.</t>
  </si>
  <si>
    <t>Сумма,                 2015г.</t>
  </si>
  <si>
    <t>Сумма,                 2016г.</t>
  </si>
  <si>
    <t>Приложение 11</t>
  </si>
  <si>
    <t xml:space="preserve">от                         № </t>
  </si>
  <si>
    <t xml:space="preserve">Источники 
внутреннего финансирования дефицита бюджета Миасского  городского округа 
на на  плановый период 2015 и 2016 гг.  </t>
  </si>
  <si>
    <t>Сумма, 2015 год
тыс. руб.</t>
  </si>
  <si>
    <t>Сумма, 2016 год
тыс. руб.</t>
  </si>
  <si>
    <t>Погашение бюджетами городских округов бюджетных кредитов от других бюджетов бюджетной системы Российской Федерации  в валюте Российской Федерации</t>
  </si>
  <si>
    <t>Изменение остатков средств на счетах по учету  средств бюджета</t>
  </si>
  <si>
    <t>Государственная программа  Челябинской области  "Развитие образования в Челябинской области" на 2014 год</t>
  </si>
  <si>
    <t>Муниципальная программа "Программа развития образования в Миасском городском округе на 2014-2015 годы"</t>
  </si>
  <si>
    <t>795 00 41</t>
  </si>
  <si>
    <t>Муниципальная программа "Противодействие злоупотреблению наркотическими средствами и их незаконному обороту в миасском городском округе на 2014-2015гг."</t>
  </si>
  <si>
    <t>Приложение 4</t>
  </si>
  <si>
    <t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</t>
  </si>
  <si>
    <t>345 50 64</t>
  </si>
  <si>
    <t>Резервные фонды исполнительных органов государственной власти субъектов Российской Федерации</t>
  </si>
  <si>
    <t>01  03  01  00  00  0000  700</t>
  </si>
  <si>
    <t>01  03  01  00  04  0000  710</t>
  </si>
  <si>
    <t>Миасского городского округа</t>
  </si>
  <si>
    <t xml:space="preserve">Перечень 
главных администраторов доходов бюджета Миасского городского округа </t>
  </si>
  <si>
    <t>Код бюджетной классификации Российской Федерации</t>
  </si>
  <si>
    <t>Наименование главного администратора доходов 
бюджета Миасского городского округа, 
кода бюджетной классификации Российской Федерации</t>
  </si>
  <si>
    <t>главного админист-ратора доходов</t>
  </si>
  <si>
    <t>доходов бюджета Миасского городского округа</t>
  </si>
  <si>
    <t>007</t>
  </si>
  <si>
    <r>
      <t>Контрольно-счетная палата Челябинской области</t>
    </r>
    <r>
      <rPr>
        <b/>
        <sz val="14"/>
        <color indexed="8"/>
        <rFont val="Arial"/>
        <family val="2"/>
      </rPr>
      <t xml:space="preserve"> *</t>
    </r>
  </si>
  <si>
    <t>1 16 18040 04 0000 140</t>
  </si>
  <si>
    <t xml:space="preserve"> Денежные взыскания (штрафы) за нарушение бюджетного законодательства 
(в части бюджетов городских округов)</t>
  </si>
  <si>
    <t>008</t>
  </si>
  <si>
    <r>
      <t xml:space="preserve">Министерство сельского хозяйства Челябинской области </t>
    </r>
    <r>
      <rPr>
        <b/>
        <sz val="14"/>
        <color indexed="8"/>
        <rFont val="Arial"/>
        <family val="2"/>
      </rPr>
      <t>*</t>
    </r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</si>
  <si>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</si>
  <si>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</si>
  <si>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009</t>
  </si>
  <si>
    <r>
      <t>Министерство по радиационной и экологической безопасности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</si>
  <si>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</si>
  <si>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</si>
  <si>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</si>
  <si>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</si>
  <si>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</si>
  <si>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</si>
  <si>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</si>
  <si>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</si>
  <si>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</si>
  <si>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</si>
  <si>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011</t>
  </si>
  <si>
    <r>
      <t>Министерство строительства, инфраструктуры и дорожного хозяйства Челябинской области</t>
    </r>
    <r>
      <rPr>
        <b/>
        <sz val="14"/>
        <color indexed="8"/>
        <rFont val="Arial"/>
        <family val="2"/>
      </rPr>
      <t xml:space="preserve"> *</t>
    </r>
  </si>
  <si>
    <t>016</t>
  </si>
  <si>
    <r>
      <t xml:space="preserve">Министерство здравоохранения Челябинской области </t>
    </r>
    <r>
      <rPr>
        <b/>
        <sz val="14"/>
        <color indexed="8"/>
        <rFont val="Arial"/>
        <family val="2"/>
      </rPr>
      <t>*</t>
    </r>
  </si>
  <si>
    <t>019</t>
  </si>
  <si>
    <r>
      <t>Министерство промышленности и природных ресурсов Челябинской области</t>
    </r>
    <r>
      <rPr>
        <b/>
        <sz val="14"/>
        <color indexed="8"/>
        <rFont val="Arial"/>
        <family val="2"/>
      </rPr>
      <t xml:space="preserve"> *</t>
    </r>
  </si>
  <si>
    <t>1 16 25010 01 0000 140</t>
  </si>
  <si>
    <t>Денежные взыскания (штрафы) за нарушение законодательства Российской Федерации о недрах</t>
  </si>
  <si>
    <t>034</t>
  </si>
  <si>
    <r>
      <t xml:space="preserve">Главное контрольное управление Челябинской области </t>
    </r>
    <r>
      <rPr>
        <b/>
        <sz val="14"/>
        <color indexed="8"/>
        <rFont val="Arial"/>
        <family val="2"/>
      </rPr>
      <t>*</t>
    </r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</si>
  <si>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</si>
  <si>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</si>
  <si>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Главное управление Министерства внутренних дел Российской Федерации по Челябинской области
(Отдел Министерства внутренних дел Российской Федерации 
по городу Миассу Челябинской области)</t>
  </si>
  <si>
    <t>1 08 07083 01 0000 110</t>
  </si>
  <si>
    <t>Государственная пошлина за совершение действий, связанных с лицензированием, с проведением аттестации в  случаях, если такая аттестация предусмотрена законодательством Российской  Федерации, зачисляемая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</si>
  <si>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</si>
  <si>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</si>
  <si>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</si>
  <si>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</si>
  <si>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</si>
  <si>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</si>
  <si>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</si>
  <si>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</si>
  <si>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</si>
  <si>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</si>
  <si>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</si>
  <si>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</si>
  <si>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</si>
  <si>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</si>
  <si>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</si>
  <si>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</si>
  <si>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</si>
  <si>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</si>
  <si>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</si>
  <si>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 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</si>
  <si>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</si>
  <si>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</si>
  <si>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1 14 01040 04 0000 410</t>
  </si>
  <si>
    <t>Доходы  от продажи квартир, находящихся в собственности городских округов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</si>
  <si>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</si>
  <si>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</si>
  <si>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</si>
  <si>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</si>
  <si>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</si>
  <si>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</si>
  <si>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</si>
  <si>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</si>
  <si>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</si>
  <si>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</si>
  <si>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1 16 51020 02 0000 140</t>
  </si>
  <si>
    <t>Денежные взыскания (штрафы), установленные законами субъектов Российской Федерации за несоблюдение  муниципальных правовых актов, зачисляемые в бюджеты городских округов</t>
  </si>
  <si>
    <t>2 02 02008 04 0000 151</t>
  </si>
  <si>
    <t>Субсидии бюджетам городских округов на обеспечение жильем молодых семей</t>
  </si>
  <si>
    <t>2 02 02009 04 0000 151</t>
  </si>
  <si>
    <t xml:space="preserve">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</si>
  <si>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</si>
  <si>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
поселениях (за исключением автомобильных дорог федерального значения)</t>
  </si>
  <si>
    <t>2 02 02051 04 0000 151</t>
  </si>
  <si>
    <t>Субсидии бюджетам городских округов на реализацию федеральных целевых программ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</si>
  <si>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</si>
  <si>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</si>
  <si>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</si>
  <si>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</si>
  <si>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2 02 02088 04 0002 151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</si>
  <si>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</si>
  <si>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2 02 02088 04 0004 151</t>
  </si>
  <si>
    <t xml:space="preserve"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- Фонда содействия  реформированию  жилищно-коммунального хозяйства                            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</si>
  <si>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</si>
  <si>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</si>
  <si>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</si>
  <si>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</si>
  <si>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2 02 02089 04 0004 151</t>
  </si>
  <si>
    <t>Субсидии бюджетам городских округов на обеспечение мероприятий по переселению граждан из аварийного  жилищного фонда с учетом необходимости развития малоэтажного жилищного строительства за счет средств бюджетов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</si>
  <si>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</si>
  <si>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</si>
  <si>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</si>
  <si>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</si>
  <si>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</si>
  <si>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</si>
  <si>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</si>
  <si>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</si>
  <si>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2 02 03119 04 0000 151</t>
  </si>
  <si>
    <t>Субвенции бюджетам городских округов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</si>
  <si>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2 02 03077 04 0000 151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</si>
  <si>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</si>
  <si>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2 02 04061 04 0000 151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</si>
  <si>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</si>
  <si>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Финансовое управление Администрации Миасского городского округа - исполнительно-распорядительный орган Администрации Миасского городского округа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</si>
  <si>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</si>
  <si>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</si>
  <si>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</si>
  <si>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</si>
  <si>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</si>
  <si>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</si>
  <si>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</si>
  <si>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</si>
  <si>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2 08 04000 04 0000 180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</si>
  <si>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</si>
  <si>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Управление социальной защиты населения 
Администрации Миасского городского округа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</si>
  <si>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</si>
  <si>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</si>
  <si>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</si>
  <si>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</si>
  <si>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</si>
  <si>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</si>
  <si>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</si>
  <si>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</si>
  <si>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</si>
  <si>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</si>
  <si>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</si>
  <si>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</si>
  <si>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</si>
  <si>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</si>
  <si>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2 02 02133 04 0000 151</t>
  </si>
  <si>
    <t>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</si>
  <si>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Муниципальное казенное учреждение Миасского городского округа "Образование"</t>
  </si>
  <si>
    <t>1 13 01994 04 0010 130</t>
  </si>
  <si>
    <t>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</si>
  <si>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2 02 02141 04 0000 151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</si>
  <si>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</si>
  <si>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2 02 02145 04 0000 151</t>
  </si>
  <si>
    <t>Субсидии бюджетам городских округов на модернизацию региональных систем общего образования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</si>
  <si>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</si>
  <si>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</si>
  <si>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</si>
  <si>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</si>
  <si>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</si>
  <si>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</si>
  <si>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Муниципальное казенное учреждение "Управление культуры" 
Миасского городского округа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</si>
  <si>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</si>
  <si>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</si>
  <si>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</si>
  <si>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</si>
  <si>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Муниципальное казенное учреждение "Управление здравоохранения" 
Миасского городского округа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</si>
  <si>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</si>
  <si>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 в части укрепления материально-технической базы медицинских учреждений</t>
  </si>
  <si>
    <t>Собрание депутатов Миасского городского округа</t>
  </si>
  <si>
    <t>Контрольно-счетная палата Миасского городского округа</t>
  </si>
  <si>
    <t xml:space="preserve">Иные доходы бюджета Миасского городского округа,
администрирование которых может осуществляться главными администраторами доходов бюджета Миасского городского округа в пределах их компетенции: 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</si>
  <si>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</si>
  <si>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</si>
  <si>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</si>
  <si>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</si>
  <si>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</si>
  <si>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</si>
  <si>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</si>
  <si>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</si>
  <si>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</si>
  <si>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</si>
  <si>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</si>
  <si>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</si>
  <si>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1 13 02994 04 0000 130</t>
  </si>
  <si>
    <t>Прочие доходы от компенсации затрат бюджетов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</si>
  <si>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</si>
  <si>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</si>
  <si>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</si>
  <si>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</si>
  <si>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</si>
  <si>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</si>
  <si>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</si>
  <si>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</si>
  <si>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</si>
  <si>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</si>
  <si>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</si>
  <si>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</si>
  <si>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</si>
  <si>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</si>
  <si>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</si>
  <si>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</si>
  <si>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1 16 37030 04 0000 140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</si>
  <si>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</si>
  <si>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</si>
  <si>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</si>
  <si>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1 17 01040 04 0000 180</t>
  </si>
  <si>
    <t>Невыясненные поступления, зачисляемые в бюджеты городских округов</t>
  </si>
  <si>
    <t>1 17 02010 04 0000 180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</si>
  <si>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</si>
  <si>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1 17 05040 04 0000 180</t>
  </si>
  <si>
    <t>Прочие неналоговые доходы бюджетов городских округов</t>
  </si>
  <si>
    <t>1 17 12040 04 0000 180</t>
  </si>
  <si>
    <t>Целевые отчисления от лотерей городских округов</t>
  </si>
  <si>
    <t>1 17 14020 04 0000 180</t>
  </si>
  <si>
    <t>Средства самообложения граждан, зачисляемые в бюджеты городских округов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</si>
  <si>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</si>
  <si>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</si>
  <si>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2 02 02150 04 0000 151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</si>
  <si>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</si>
  <si>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2 02 02999 04 0000 151</t>
  </si>
  <si>
    <t>Прочие субсидии бюджетам городских округов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</si>
  <si>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</si>
  <si>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</si>
  <si>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</si>
  <si>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</si>
  <si>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2 02 04999 04 0000 151</t>
  </si>
  <si>
    <t>Прочие межбюджетные трансферты, передаваемые бюджетам городских округов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</si>
  <si>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</si>
  <si>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</si>
  <si>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2 03 04010 04 0000 180</t>
  </si>
  <si>
    <t>Предоставление государственными (муниципальными) организациями грантов для получателей средств бюджетов городских округов</t>
  </si>
  <si>
    <t>2 03 04020 04 0000 180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</si>
  <si>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городских округов</t>
  </si>
  <si>
    <t>2 03 04099 04 0000 180</t>
  </si>
  <si>
    <t>Прочие безвозмездные поступления от государственных (муниципальных) организаций в бюджеты городских округов</t>
  </si>
  <si>
    <t>2 04 04010 04 0000 180</t>
  </si>
  <si>
    <t>Предоставление негосударственными организациями грантов для получателей средств  бюджетов городских округов</t>
  </si>
  <si>
    <t>2 04 04020 04 0000 180</t>
  </si>
  <si>
    <t>Поступления от денежных пожертвований, предоставляемых негосударственными организациями получателям средств  бюджетов городских округов</t>
  </si>
  <si>
    <t>2 04 04099 04 0000 180</t>
  </si>
  <si>
    <t>Прочие безвозмездные поступления от негосударственных организаций в бюджеты городских округов</t>
  </si>
  <si>
    <t>2 07 04010 04 0000 180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</si>
  <si>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 </t>
  </si>
  <si>
    <t>2 07 04020 04 0000 180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</si>
  <si>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</si>
  <si>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2 07 04050 04 0000 180</t>
  </si>
  <si>
    <t>Прочие безвозмездные поступления в бюджеты городских округов</t>
  </si>
  <si>
    <t>2 18 04010 04 0000 151</t>
  </si>
  <si>
    <t xml:space="preserve"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</si>
  <si>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</si>
  <si>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</si>
  <si>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</si>
  <si>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</si>
  <si>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</si>
  <si>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</si>
  <si>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</si>
  <si>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</si>
  <si>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Примечание.</t>
  </si>
  <si>
    <r>
      <t xml:space="preserve"> *</t>
    </r>
    <r>
      <rPr>
        <sz val="10"/>
        <color indexed="8"/>
        <rFont val="Arial"/>
        <family val="2"/>
      </rPr>
      <t xml:space="preserve"> Главными администраторами доходов бюджета Миасского городского округа являются уполномоченные органы исполнительной власти Челябинской области (Постановление Правительства Челябинской области от 20.03.2008 г. №52-П "О порядке осуществления органами государственной власти Челябинской области и (или) находящимися в их ведении областными казенными учреждениями бюджетных полномочий главных администраторов доходов бюджетов бюджетной системы Российской Федерации")</t>
    </r>
  </si>
  <si>
    <t>Приложение  1</t>
  </si>
  <si>
    <t>Приложение  2</t>
  </si>
  <si>
    <t>Приложение  6</t>
  </si>
  <si>
    <t>Приложение 7</t>
  </si>
  <si>
    <t>Медицинская помощь в дневных стационарах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</si>
  <si>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</si>
  <si>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340 53 92</t>
  </si>
  <si>
    <t>Реализация мероприятий федеральной целевой программы "Культура России (2012-2018 годы)"</t>
  </si>
  <si>
    <t>440 50 14</t>
  </si>
  <si>
    <t>007 04 00</t>
  </si>
  <si>
    <t>к  Решению Собрания депутатов</t>
  </si>
  <si>
    <t>от 19.12.2014 г. №2</t>
  </si>
  <si>
    <t>к Решению Собрания</t>
  </si>
  <si>
    <t>от  19.12.2014 г. №2</t>
  </si>
  <si>
    <t>от  19.12.2014 г.№2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</si>
</sst>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  <font>
      <sz val="8"/>
      <color indexed="8"/>
      <name val="Arial"/>
      <family val="2"/>
    </font>
    <font>
      <b/>
      <sz val="11"/>
      <name val="Arial Cyr"/>
      <family val="2"/>
    </font>
    <font>
      <i/>
      <sz val="11.5"/>
      <name val="Arial"/>
      <family val="2"/>
    </font>
    <font>
      <b/>
      <sz val="11.5"/>
      <name val="Arial Cyr"/>
      <family val="2"/>
    </font>
    <font>
      <i/>
      <sz val="11.5"/>
      <name val="Arial Cyr"/>
      <family val="0"/>
    </font>
    <font>
      <sz val="11.5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8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11" fillId="0" borderId="0" xfId="57" applyNumberFormat="1" applyFont="1" applyAlignment="1">
      <alignment horizontal="left"/>
      <protection/>
    </xf>
    <xf numFmtId="0" fontId="11" fillId="0" borderId="0" xfId="57" applyFont="1">
      <alignment/>
      <protection/>
    </xf>
    <xf numFmtId="0" fontId="0" fillId="0" borderId="0" xfId="0" applyFont="1" applyAlignment="1">
      <alignment horizontal="right"/>
    </xf>
    <xf numFmtId="0" fontId="9" fillId="0" borderId="0" xfId="57" applyFont="1" applyAlignment="1">
      <alignment/>
      <protection/>
    </xf>
    <xf numFmtId="0" fontId="11" fillId="0" borderId="0" xfId="57" applyFont="1" applyAlignment="1">
      <alignment/>
      <protection/>
    </xf>
    <xf numFmtId="49" fontId="7" fillId="0" borderId="15" xfId="57" applyNumberFormat="1" applyFont="1" applyBorder="1" applyAlignment="1">
      <alignment horizontal="left" vertical="center" wrapText="1"/>
      <protection/>
    </xf>
    <xf numFmtId="0" fontId="5" fillId="0" borderId="15" xfId="56" applyFont="1" applyBorder="1" applyAlignment="1">
      <alignment vertical="justify"/>
      <protection/>
    </xf>
    <xf numFmtId="164" fontId="7" fillId="0" borderId="15" xfId="57" applyNumberFormat="1" applyFont="1" applyBorder="1" applyAlignment="1">
      <alignment vertical="center" wrapText="1"/>
      <protection/>
    </xf>
    <xf numFmtId="0" fontId="9" fillId="0" borderId="16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 readingOrder="1"/>
    </xf>
    <xf numFmtId="0" fontId="7" fillId="0" borderId="0" xfId="57" applyFont="1">
      <alignment/>
      <protection/>
    </xf>
    <xf numFmtId="0" fontId="9" fillId="0" borderId="17" xfId="0" applyFont="1" applyBorder="1" applyAlignment="1">
      <alignment horizontal="left" vertical="justify" wrapText="1"/>
    </xf>
    <xf numFmtId="0" fontId="9" fillId="0" borderId="15" xfId="0" applyFont="1" applyBorder="1" applyAlignment="1">
      <alignment vertical="center" wrapText="1"/>
    </xf>
    <xf numFmtId="49" fontId="7" fillId="0" borderId="15" xfId="57" applyNumberFormat="1" applyFont="1" applyBorder="1" applyAlignment="1">
      <alignment horizontal="left" vertical="center"/>
      <protection/>
    </xf>
    <xf numFmtId="0" fontId="9" fillId="0" borderId="15" xfId="0" applyFont="1" applyBorder="1" applyAlignment="1">
      <alignment vertical="justify"/>
    </xf>
    <xf numFmtId="164" fontId="7" fillId="0" borderId="15" xfId="57" applyNumberFormat="1" applyFont="1" applyBorder="1" applyAlignment="1">
      <alignment vertical="center"/>
      <protection/>
    </xf>
    <xf numFmtId="0" fontId="9" fillId="0" borderId="15" xfId="0" applyNumberFormat="1" applyFont="1" applyBorder="1" applyAlignment="1">
      <alignment vertical="justify"/>
    </xf>
    <xf numFmtId="0" fontId="9" fillId="0" borderId="15" xfId="0" applyFont="1" applyFill="1" applyBorder="1" applyAlignment="1">
      <alignment vertical="center" wrapText="1"/>
    </xf>
    <xf numFmtId="49" fontId="7" fillId="0" borderId="0" xfId="57" applyNumberFormat="1" applyFont="1" applyAlignment="1">
      <alignment horizontal="left"/>
      <protection/>
    </xf>
    <xf numFmtId="0" fontId="7" fillId="0" borderId="0" xfId="57" applyFont="1" applyAlignment="1">
      <alignment/>
      <protection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9" fontId="7" fillId="0" borderId="18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16" fillId="0" borderId="0" xfId="57" applyNumberFormat="1" applyFont="1" applyFill="1" applyAlignment="1">
      <alignment horizontal="left"/>
      <protection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Alignment="1">
      <alignment/>
    </xf>
    <xf numFmtId="0" fontId="9" fillId="0" borderId="16" xfId="0" applyFont="1" applyFill="1" applyBorder="1" applyAlignment="1">
      <alignment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8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5" fillId="0" borderId="0" xfId="0" applyNumberFormat="1" applyFont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5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5" fillId="0" borderId="2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6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5" fillId="0" borderId="0" xfId="0" applyFont="1" applyAlignment="1">
      <alignment/>
    </xf>
    <xf numFmtId="164" fontId="36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5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3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25" borderId="2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25" borderId="22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 wrapText="1"/>
    </xf>
    <xf numFmtId="43" fontId="7" fillId="0" borderId="0" xfId="0" applyNumberFormat="1" applyFont="1" applyAlignment="1">
      <alignment horizontal="center"/>
    </xf>
    <xf numFmtId="49" fontId="7" fillId="0" borderId="25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vertical="justify"/>
    </xf>
    <xf numFmtId="49" fontId="13" fillId="0" borderId="27" xfId="0" applyNumberFormat="1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justify"/>
    </xf>
    <xf numFmtId="0" fontId="7" fillId="0" borderId="29" xfId="0" applyFont="1" applyBorder="1" applyAlignment="1">
      <alignment/>
    </xf>
    <xf numFmtId="49" fontId="13" fillId="25" borderId="18" xfId="0" applyNumberFormat="1" applyFont="1" applyFill="1" applyBorder="1" applyAlignment="1">
      <alignment horizontal="left" vertical="center" wrapText="1"/>
    </xf>
    <xf numFmtId="49" fontId="38" fillId="25" borderId="18" xfId="0" applyNumberFormat="1" applyFont="1" applyFill="1" applyBorder="1" applyAlignment="1">
      <alignment horizontal="left" vertical="center" wrapText="1"/>
    </xf>
    <xf numFmtId="49" fontId="7" fillId="25" borderId="18" xfId="0" applyNumberFormat="1" applyFont="1" applyFill="1" applyBorder="1" applyAlignment="1">
      <alignment horizontal="left"/>
    </xf>
    <xf numFmtId="49" fontId="13" fillId="0" borderId="31" xfId="0" applyNumberFormat="1" applyFont="1" applyBorder="1" applyAlignment="1">
      <alignment horizontal="left" vertical="center" wrapText="1"/>
    </xf>
    <xf numFmtId="49" fontId="13" fillId="0" borderId="32" xfId="0" applyNumberFormat="1" applyFont="1" applyFill="1" applyBorder="1" applyAlignment="1">
      <alignment horizontal="left" vertical="center" wrapText="1"/>
    </xf>
    <xf numFmtId="165" fontId="39" fillId="0" borderId="33" xfId="0" applyNumberFormat="1" applyFont="1" applyFill="1" applyBorder="1" applyAlignment="1">
      <alignment horizontal="center" vertical="center"/>
    </xf>
    <xf numFmtId="165" fontId="40" fillId="0" borderId="34" xfId="0" applyNumberFormat="1" applyFont="1" applyFill="1" applyBorder="1" applyAlignment="1">
      <alignment horizontal="center" vertical="center" wrapText="1"/>
    </xf>
    <xf numFmtId="165" fontId="40" fillId="0" borderId="34" xfId="0" applyNumberFormat="1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/>
    </xf>
    <xf numFmtId="165" fontId="40" fillId="25" borderId="34" xfId="0" applyNumberFormat="1" applyFont="1" applyFill="1" applyBorder="1" applyAlignment="1">
      <alignment horizontal="center" vertical="center" wrapText="1"/>
    </xf>
    <xf numFmtId="165" fontId="40" fillId="25" borderId="34" xfId="0" applyNumberFormat="1" applyFont="1" applyFill="1" applyBorder="1" applyAlignment="1">
      <alignment horizontal="center" vertical="center"/>
    </xf>
    <xf numFmtId="165" fontId="39" fillId="0" borderId="34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49" fontId="7" fillId="0" borderId="37" xfId="0" applyNumberFormat="1" applyFont="1" applyBorder="1" applyAlignment="1">
      <alignment horizontal="left" vertical="justify"/>
    </xf>
    <xf numFmtId="0" fontId="7" fillId="0" borderId="38" xfId="0" applyFont="1" applyBorder="1" applyAlignment="1">
      <alignment horizontal="left" vertical="justify"/>
    </xf>
    <xf numFmtId="49" fontId="7" fillId="0" borderId="18" xfId="0" applyNumberFormat="1" applyFont="1" applyFill="1" applyBorder="1" applyAlignment="1">
      <alignment horizontal="left"/>
    </xf>
    <xf numFmtId="0" fontId="7" fillId="0" borderId="22" xfId="0" applyFont="1" applyFill="1" applyBorder="1" applyAlignment="1">
      <alignment horizontal="left" vertical="justify"/>
    </xf>
    <xf numFmtId="49" fontId="7" fillId="0" borderId="18" xfId="0" applyNumberFormat="1" applyFont="1" applyFill="1" applyBorder="1" applyAlignment="1">
      <alignment horizontal="left" vertical="top" wrapText="1"/>
    </xf>
    <xf numFmtId="0" fontId="7" fillId="25" borderId="22" xfId="0" applyFont="1" applyFill="1" applyBorder="1" applyAlignment="1">
      <alignment horizontal="left" vertical="justify" wrapText="1"/>
    </xf>
    <xf numFmtId="0" fontId="7" fillId="25" borderId="22" xfId="0" applyNumberFormat="1" applyFont="1" applyFill="1" applyBorder="1" applyAlignment="1">
      <alignment horizontal="left" vertical="center" wrapText="1"/>
    </xf>
    <xf numFmtId="0" fontId="6" fillId="25" borderId="24" xfId="0" applyFont="1" applyFill="1" applyBorder="1" applyAlignment="1">
      <alignment horizontal="left"/>
    </xf>
    <xf numFmtId="49" fontId="6" fillId="25" borderId="18" xfId="0" applyNumberFormat="1" applyFont="1" applyFill="1" applyBorder="1" applyAlignment="1">
      <alignment horizontal="left"/>
    </xf>
    <xf numFmtId="0" fontId="7" fillId="0" borderId="32" xfId="0" applyFont="1" applyBorder="1" applyAlignment="1">
      <alignment horizontal="left" vertical="justify" wrapText="1"/>
    </xf>
    <xf numFmtId="164" fontId="7" fillId="0" borderId="15" xfId="57" applyNumberFormat="1" applyFont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0" fontId="42" fillId="0" borderId="0" xfId="57" applyFont="1" applyAlignment="1">
      <alignment horizontal="center" vertical="center" wrapText="1"/>
      <protection/>
    </xf>
    <xf numFmtId="164" fontId="7" fillId="0" borderId="0" xfId="57" applyNumberFormat="1" applyFont="1">
      <alignment/>
      <protection/>
    </xf>
    <xf numFmtId="49" fontId="9" fillId="0" borderId="15" xfId="0" applyNumberFormat="1" applyFont="1" applyBorder="1" applyAlignment="1">
      <alignment horizontal="left" vertical="justify"/>
    </xf>
    <xf numFmtId="0" fontId="7" fillId="0" borderId="22" xfId="0" applyFont="1" applyFill="1" applyBorder="1" applyAlignment="1">
      <alignment vertical="center" wrapText="1"/>
    </xf>
    <xf numFmtId="0" fontId="5" fillId="0" borderId="15" xfId="56" applyFont="1" applyBorder="1" applyAlignment="1">
      <alignment horizontal="left" vertical="center" wrapText="1"/>
      <protection/>
    </xf>
    <xf numFmtId="0" fontId="4" fillId="0" borderId="18" xfId="0" applyFont="1" applyBorder="1" applyAlignment="1">
      <alignment horizontal="left" vertical="center" wrapText="1"/>
    </xf>
    <xf numFmtId="165" fontId="40" fillId="0" borderId="39" xfId="0" applyNumberFormat="1" applyFont="1" applyFill="1" applyBorder="1" applyAlignment="1">
      <alignment horizontal="center" vertical="center" wrapText="1"/>
    </xf>
    <xf numFmtId="0" fontId="7" fillId="25" borderId="23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164" fontId="39" fillId="0" borderId="4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64" fontId="41" fillId="0" borderId="34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/>
    </xf>
    <xf numFmtId="0" fontId="7" fillId="0" borderId="42" xfId="0" applyFont="1" applyBorder="1" applyAlignment="1">
      <alignment horizontal="left" vertical="justify" wrapText="1"/>
    </xf>
    <xf numFmtId="49" fontId="7" fillId="0" borderId="18" xfId="0" applyNumberFormat="1" applyFont="1" applyBorder="1" applyAlignment="1">
      <alignment horizontal="justify" vertical="top" wrapText="1"/>
    </xf>
    <xf numFmtId="49" fontId="43" fillId="24" borderId="18" xfId="0" applyNumberFormat="1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43" fillId="0" borderId="18" xfId="0" applyNumberFormat="1" applyFont="1" applyBorder="1" applyAlignment="1">
      <alignment horizontal="left" vertical="center" wrapText="1"/>
    </xf>
    <xf numFmtId="49" fontId="43" fillId="0" borderId="43" xfId="0" applyNumberFormat="1" applyFont="1" applyBorder="1" applyAlignment="1">
      <alignment horizontal="left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justify"/>
    </xf>
    <xf numFmtId="49" fontId="0" fillId="0" borderId="26" xfId="0" applyNumberFormat="1" applyBorder="1" applyAlignment="1">
      <alignment/>
    </xf>
    <xf numFmtId="2" fontId="2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left" vertical="center" wrapText="1"/>
    </xf>
    <xf numFmtId="49" fontId="13" fillId="0" borderId="4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 vertical="center" wrapText="1"/>
    </xf>
    <xf numFmtId="49" fontId="7" fillId="25" borderId="43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/>
    </xf>
    <xf numFmtId="49" fontId="4" fillId="0" borderId="43" xfId="0" applyNumberFormat="1" applyFont="1" applyFill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38" fillId="0" borderId="4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left" vertical="top" wrapText="1"/>
    </xf>
    <xf numFmtId="49" fontId="7" fillId="0" borderId="43" xfId="0" applyNumberFormat="1" applyFont="1" applyBorder="1" applyAlignment="1">
      <alignment horizontal="justify" vertical="top" wrapText="1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left" vertical="top" wrapText="1"/>
    </xf>
    <xf numFmtId="49" fontId="4" fillId="0" borderId="43" xfId="0" applyNumberFormat="1" applyFont="1" applyBorder="1" applyAlignment="1">
      <alignment horizontal="left" vertical="center" wrapText="1"/>
    </xf>
    <xf numFmtId="49" fontId="13" fillId="25" borderId="43" xfId="0" applyNumberFormat="1" applyFont="1" applyFill="1" applyBorder="1" applyAlignment="1">
      <alignment horizontal="center" vertical="center" wrapText="1"/>
    </xf>
    <xf numFmtId="49" fontId="7" fillId="25" borderId="43" xfId="0" applyNumberFormat="1" applyFont="1" applyFill="1" applyBorder="1" applyAlignment="1">
      <alignment horizontal="center" vertical="center" wrapText="1"/>
    </xf>
    <xf numFmtId="49" fontId="13" fillId="25" borderId="16" xfId="0" applyNumberFormat="1" applyFont="1" applyFill="1" applyBorder="1" applyAlignment="1">
      <alignment horizontal="left" vertical="center" wrapText="1"/>
    </xf>
    <xf numFmtId="49" fontId="38" fillId="25" borderId="43" xfId="0" applyNumberFormat="1" applyFont="1" applyFill="1" applyBorder="1" applyAlignment="1">
      <alignment horizontal="center" vertical="center" wrapText="1"/>
    </xf>
    <xf numFmtId="49" fontId="6" fillId="25" borderId="43" xfId="0" applyNumberFormat="1" applyFont="1" applyFill="1" applyBorder="1" applyAlignment="1">
      <alignment horizontal="center"/>
    </xf>
    <xf numFmtId="49" fontId="6" fillId="25" borderId="43" xfId="0" applyNumberFormat="1" applyFont="1" applyFill="1" applyBorder="1" applyAlignment="1">
      <alignment horizontal="left"/>
    </xf>
    <xf numFmtId="49" fontId="13" fillId="25" borderId="43" xfId="0" applyNumberFormat="1" applyFont="1" applyFill="1" applyBorder="1" applyAlignment="1">
      <alignment horizontal="left" vertical="center" wrapText="1"/>
    </xf>
    <xf numFmtId="49" fontId="43" fillId="24" borderId="43" xfId="0" applyNumberFormat="1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 vertical="center" wrapText="1"/>
    </xf>
    <xf numFmtId="49" fontId="38" fillId="25" borderId="16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25" borderId="43" xfId="0" applyNumberFormat="1" applyFont="1" applyFill="1" applyBorder="1" applyAlignment="1">
      <alignment horizontal="left"/>
    </xf>
    <xf numFmtId="49" fontId="8" fillId="0" borderId="43" xfId="0" applyNumberFormat="1" applyFont="1" applyBorder="1" applyAlignment="1">
      <alignment horizontal="left" vertical="center" wrapText="1"/>
    </xf>
    <xf numFmtId="49" fontId="38" fillId="25" borderId="43" xfId="0" applyNumberFormat="1" applyFont="1" applyFill="1" applyBorder="1" applyAlignment="1">
      <alignment horizontal="center"/>
    </xf>
    <xf numFmtId="49" fontId="38" fillId="25" borderId="43" xfId="0" applyNumberFormat="1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vertical="justify"/>
    </xf>
    <xf numFmtId="0" fontId="7" fillId="25" borderId="13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6" fillId="25" borderId="45" xfId="0" applyFont="1" applyFill="1" applyBorder="1" applyAlignment="1">
      <alignment horizontal="justify"/>
    </xf>
    <xf numFmtId="0" fontId="6" fillId="25" borderId="45" xfId="0" applyFont="1" applyFill="1" applyBorder="1" applyAlignment="1">
      <alignment horizontal="left" wrapText="1"/>
    </xf>
    <xf numFmtId="0" fontId="6" fillId="25" borderId="13" xfId="0" applyFont="1" applyFill="1" applyBorder="1" applyAlignment="1">
      <alignment horizontal="left" vertical="center" wrapText="1"/>
    </xf>
    <xf numFmtId="0" fontId="6" fillId="25" borderId="45" xfId="0" applyFont="1" applyFill="1" applyBorder="1" applyAlignment="1">
      <alignment wrapText="1"/>
    </xf>
    <xf numFmtId="0" fontId="7" fillId="25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25" borderId="13" xfId="0" applyFont="1" applyFill="1" applyBorder="1" applyAlignment="1">
      <alignment horizontal="left" vertical="justify" wrapText="1"/>
    </xf>
    <xf numFmtId="0" fontId="7" fillId="25" borderId="13" xfId="0" applyFont="1" applyFill="1" applyBorder="1" applyAlignment="1">
      <alignment vertical="center" wrapText="1"/>
    </xf>
    <xf numFmtId="0" fontId="7" fillId="25" borderId="13" xfId="0" applyNumberFormat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" fillId="25" borderId="13" xfId="0" applyFont="1" applyFill="1" applyBorder="1" applyAlignment="1">
      <alignment vertical="center" wrapText="1"/>
    </xf>
    <xf numFmtId="0" fontId="7" fillId="0" borderId="46" xfId="0" applyFont="1" applyBorder="1" applyAlignment="1">
      <alignment horizontal="left" vertical="center" wrapText="1"/>
    </xf>
    <xf numFmtId="49" fontId="7" fillId="0" borderId="47" xfId="0" applyNumberFormat="1" applyFont="1" applyBorder="1" applyAlignment="1">
      <alignment vertical="justify"/>
    </xf>
    <xf numFmtId="0" fontId="13" fillId="0" borderId="12" xfId="0" applyNumberFormat="1" applyFont="1" applyBorder="1" applyAlignment="1">
      <alignment horizontal="left" vertical="center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39" fillId="0" borderId="41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 wrapText="1"/>
    </xf>
    <xf numFmtId="164" fontId="40" fillId="0" borderId="34" xfId="0" applyNumberFormat="1" applyFont="1" applyFill="1" applyBorder="1" applyAlignment="1">
      <alignment horizontal="center" vertical="center"/>
    </xf>
    <xf numFmtId="164" fontId="39" fillId="0" borderId="34" xfId="0" applyNumberFormat="1" applyFont="1" applyFill="1" applyBorder="1" applyAlignment="1">
      <alignment horizontal="center" vertical="center" wrapText="1"/>
    </xf>
    <xf numFmtId="164" fontId="40" fillId="25" borderId="34" xfId="0" applyNumberFormat="1" applyFont="1" applyFill="1" applyBorder="1" applyAlignment="1">
      <alignment horizontal="center" vertical="center" wrapText="1"/>
    </xf>
    <xf numFmtId="164" fontId="39" fillId="0" borderId="33" xfId="0" applyNumberFormat="1" applyFont="1" applyFill="1" applyBorder="1" applyAlignment="1">
      <alignment horizontal="center" vertical="center" wrapText="1"/>
    </xf>
    <xf numFmtId="164" fontId="40" fillId="25" borderId="34" xfId="0" applyNumberFormat="1" applyFont="1" applyFill="1" applyBorder="1" applyAlignment="1">
      <alignment horizontal="center" vertical="center"/>
    </xf>
    <xf numFmtId="164" fontId="40" fillId="0" borderId="39" xfId="0" applyNumberFormat="1" applyFont="1" applyFill="1" applyBorder="1" applyAlignment="1">
      <alignment horizontal="center" vertical="center" wrapText="1"/>
    </xf>
    <xf numFmtId="164" fontId="39" fillId="0" borderId="4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65" fontId="0" fillId="0" borderId="0" xfId="0" applyNumberFormat="1" applyAlignment="1">
      <alignment/>
    </xf>
    <xf numFmtId="164" fontId="41" fillId="0" borderId="34" xfId="0" applyNumberFormat="1" applyFont="1" applyFill="1" applyBorder="1" applyAlignment="1">
      <alignment horizontal="center" vertical="center" wrapText="1"/>
    </xf>
    <xf numFmtId="164" fontId="41" fillId="0" borderId="34" xfId="0" applyNumberFormat="1" applyFont="1" applyFill="1" applyBorder="1" applyAlignment="1">
      <alignment horizontal="center" vertical="center"/>
    </xf>
    <xf numFmtId="49" fontId="39" fillId="0" borderId="48" xfId="0" applyNumberFormat="1" applyFont="1" applyBorder="1" applyAlignment="1">
      <alignment horizontal="left" vertical="center" wrapText="1"/>
    </xf>
    <xf numFmtId="0" fontId="40" fillId="0" borderId="49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49" fontId="40" fillId="0" borderId="18" xfId="0" applyNumberFormat="1" applyFont="1" applyBorder="1" applyAlignment="1">
      <alignment horizontal="left" vertical="center" wrapText="1"/>
    </xf>
    <xf numFmtId="49" fontId="40" fillId="0" borderId="15" xfId="0" applyNumberFormat="1" applyFont="1" applyBorder="1" applyAlignment="1">
      <alignment horizontal="left" vertical="center" wrapText="1"/>
    </xf>
    <xf numFmtId="49" fontId="40" fillId="0" borderId="51" xfId="0" applyNumberFormat="1" applyFont="1" applyBorder="1" applyAlignment="1">
      <alignment horizontal="left" vertical="center" wrapText="1"/>
    </xf>
    <xf numFmtId="49" fontId="40" fillId="0" borderId="51" xfId="0" applyNumberFormat="1" applyFont="1" applyFill="1" applyBorder="1" applyAlignment="1">
      <alignment horizontal="left" vertical="center" wrapText="1"/>
    </xf>
    <xf numFmtId="49" fontId="40" fillId="24" borderId="51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49" fontId="39" fillId="0" borderId="18" xfId="0" applyNumberFormat="1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51" xfId="0" applyFont="1" applyBorder="1" applyAlignment="1">
      <alignment horizontal="left" vertical="center" wrapText="1"/>
    </xf>
    <xf numFmtId="49" fontId="40" fillId="0" borderId="18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Border="1" applyAlignment="1">
      <alignment horizontal="left" vertical="center" wrapText="1"/>
    </xf>
    <xf numFmtId="49" fontId="40" fillId="0" borderId="34" xfId="0" applyNumberFormat="1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/>
    </xf>
    <xf numFmtId="49" fontId="40" fillId="0" borderId="52" xfId="0" applyNumberFormat="1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left" vertical="center"/>
    </xf>
    <xf numFmtId="49" fontId="40" fillId="0" borderId="18" xfId="0" applyNumberFormat="1" applyFont="1" applyFill="1" applyBorder="1" applyAlignment="1">
      <alignment horizontal="left" vertical="center"/>
    </xf>
    <xf numFmtId="49" fontId="40" fillId="0" borderId="15" xfId="0" applyNumberFormat="1" applyFont="1" applyFill="1" applyBorder="1" applyAlignment="1">
      <alignment horizontal="left" vertical="center"/>
    </xf>
    <xf numFmtId="49" fontId="40" fillId="0" borderId="51" xfId="0" applyNumberFormat="1" applyFont="1" applyFill="1" applyBorder="1" applyAlignment="1">
      <alignment horizontal="left" vertical="center"/>
    </xf>
    <xf numFmtId="49" fontId="40" fillId="25" borderId="18" xfId="0" applyNumberFormat="1" applyFont="1" applyFill="1" applyBorder="1" applyAlignment="1">
      <alignment horizontal="left" vertical="center"/>
    </xf>
    <xf numFmtId="49" fontId="40" fillId="25" borderId="15" xfId="0" applyNumberFormat="1" applyFont="1" applyFill="1" applyBorder="1" applyAlignment="1">
      <alignment horizontal="left" vertical="center"/>
    </xf>
    <xf numFmtId="49" fontId="40" fillId="25" borderId="51" xfId="0" applyNumberFormat="1" applyFont="1" applyFill="1" applyBorder="1" applyAlignment="1">
      <alignment horizontal="left" vertical="center"/>
    </xf>
    <xf numFmtId="49" fontId="39" fillId="0" borderId="18" xfId="0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/>
    </xf>
    <xf numFmtId="49" fontId="41" fillId="0" borderId="15" xfId="0" applyNumberFormat="1" applyFont="1" applyFill="1" applyBorder="1" applyAlignment="1">
      <alignment horizontal="left" vertical="center"/>
    </xf>
    <xf numFmtId="49" fontId="41" fillId="0" borderId="51" xfId="0" applyNumberFormat="1" applyFont="1" applyFill="1" applyBorder="1" applyAlignment="1">
      <alignment horizontal="left" vertical="center"/>
    </xf>
    <xf numFmtId="49" fontId="40" fillId="25" borderId="15" xfId="0" applyNumberFormat="1" applyFont="1" applyFill="1" applyBorder="1" applyAlignment="1">
      <alignment horizontal="left" vertical="center" wrapText="1"/>
    </xf>
    <xf numFmtId="186" fontId="40" fillId="0" borderId="51" xfId="65" applyNumberFormat="1" applyFont="1" applyFill="1" applyBorder="1" applyAlignment="1">
      <alignment horizontal="left" vertical="center"/>
    </xf>
    <xf numFmtId="49" fontId="41" fillId="0" borderId="18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1" fillId="0" borderId="15" xfId="0" applyNumberFormat="1" applyFont="1" applyBorder="1" applyAlignment="1">
      <alignment horizontal="left" vertical="center" wrapText="1"/>
    </xf>
    <xf numFmtId="49" fontId="41" fillId="0" borderId="51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49" fontId="41" fillId="0" borderId="51" xfId="0" applyNumberFormat="1" applyFont="1" applyBorder="1" applyAlignment="1">
      <alignment horizontal="left" vertical="center"/>
    </xf>
    <xf numFmtId="49" fontId="41" fillId="0" borderId="18" xfId="0" applyNumberFormat="1" applyFont="1" applyBorder="1" applyAlignment="1">
      <alignment horizontal="left" vertical="center" wrapText="1"/>
    </xf>
    <xf numFmtId="49" fontId="41" fillId="0" borderId="15" xfId="0" applyNumberFormat="1" applyFont="1" applyFill="1" applyBorder="1" applyAlignment="1">
      <alignment horizontal="left" vertical="center" wrapText="1"/>
    </xf>
    <xf numFmtId="49" fontId="40" fillId="0" borderId="22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Fill="1" applyBorder="1" applyAlignment="1">
      <alignment horizontal="left" vertical="center" wrapText="1"/>
    </xf>
    <xf numFmtId="49" fontId="40" fillId="0" borderId="43" xfId="0" applyNumberFormat="1" applyFont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/>
    </xf>
    <xf numFmtId="49" fontId="45" fillId="24" borderId="18" xfId="0" applyNumberFormat="1" applyFont="1" applyFill="1" applyBorder="1" applyAlignment="1">
      <alignment horizontal="left" vertical="center" wrapText="1"/>
    </xf>
    <xf numFmtId="49" fontId="41" fillId="0" borderId="51" xfId="0" applyNumberFormat="1" applyFont="1" applyFill="1" applyBorder="1" applyAlignment="1">
      <alignment horizontal="left" vertical="center" wrapText="1"/>
    </xf>
    <xf numFmtId="49" fontId="46" fillId="0" borderId="18" xfId="0" applyNumberFormat="1" applyFont="1" applyBorder="1" applyAlignment="1">
      <alignment horizontal="left" vertical="center" wrapText="1"/>
    </xf>
    <xf numFmtId="49" fontId="41" fillId="0" borderId="51" xfId="0" applyNumberFormat="1" applyFont="1" applyBorder="1" applyAlignment="1">
      <alignment horizontal="left" vertical="center" wrapText="1"/>
    </xf>
    <xf numFmtId="49" fontId="39" fillId="25" borderId="18" xfId="0" applyNumberFormat="1" applyFont="1" applyFill="1" applyBorder="1" applyAlignment="1">
      <alignment horizontal="left" vertical="center" wrapText="1"/>
    </xf>
    <xf numFmtId="49" fontId="44" fillId="25" borderId="18" xfId="0" applyNumberFormat="1" applyFont="1" applyFill="1" applyBorder="1" applyAlignment="1">
      <alignment horizontal="left" vertical="center" wrapText="1"/>
    </xf>
    <xf numFmtId="49" fontId="44" fillId="25" borderId="18" xfId="0" applyNumberFormat="1" applyFont="1" applyFill="1" applyBorder="1" applyAlignment="1">
      <alignment horizontal="left" vertical="center"/>
    </xf>
    <xf numFmtId="49" fontId="39" fillId="0" borderId="53" xfId="0" applyNumberFormat="1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0" fontId="40" fillId="0" borderId="54" xfId="0" applyFont="1" applyBorder="1" applyAlignment="1">
      <alignment horizontal="left" vertical="center" wrapText="1"/>
    </xf>
    <xf numFmtId="49" fontId="40" fillId="25" borderId="18" xfId="0" applyNumberFormat="1" applyFont="1" applyFill="1" applyBorder="1" applyAlignment="1">
      <alignment horizontal="left" vertical="center" wrapText="1"/>
    </xf>
    <xf numFmtId="49" fontId="40" fillId="25" borderId="51" xfId="0" applyNumberFormat="1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left" vertical="center" wrapText="1"/>
    </xf>
    <xf numFmtId="49" fontId="39" fillId="0" borderId="51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Border="1" applyAlignment="1">
      <alignment horizontal="left" vertical="center" wrapText="1"/>
    </xf>
    <xf numFmtId="49" fontId="47" fillId="25" borderId="18" xfId="0" applyNumberFormat="1" applyFont="1" applyFill="1" applyBorder="1" applyAlignment="1">
      <alignment horizontal="left" vertical="center"/>
    </xf>
    <xf numFmtId="0" fontId="47" fillId="25" borderId="51" xfId="0" applyFont="1" applyFill="1" applyBorder="1" applyAlignment="1">
      <alignment horizontal="left" vertical="center"/>
    </xf>
    <xf numFmtId="49" fontId="40" fillId="0" borderId="55" xfId="0" applyNumberFormat="1" applyFont="1" applyBorder="1" applyAlignment="1">
      <alignment horizontal="left" vertical="center" wrapText="1"/>
    </xf>
    <xf numFmtId="49" fontId="40" fillId="0" borderId="52" xfId="0" applyNumberFormat="1" applyFont="1" applyFill="1" applyBorder="1" applyAlignment="1">
      <alignment horizontal="left" vertical="center" wrapText="1"/>
    </xf>
    <xf numFmtId="49" fontId="40" fillId="0" borderId="38" xfId="0" applyNumberFormat="1" applyFont="1" applyFill="1" applyBorder="1" applyAlignment="1">
      <alignment horizontal="left" vertical="center" wrapText="1"/>
    </xf>
    <xf numFmtId="49" fontId="40" fillId="0" borderId="42" xfId="0" applyNumberFormat="1" applyFont="1" applyFill="1" applyBorder="1" applyAlignment="1">
      <alignment horizontal="left" vertical="center" wrapText="1"/>
    </xf>
    <xf numFmtId="164" fontId="40" fillId="0" borderId="34" xfId="65" applyNumberFormat="1" applyFont="1" applyFill="1" applyBorder="1" applyAlignment="1">
      <alignment horizontal="center" vertical="center"/>
    </xf>
    <xf numFmtId="164" fontId="40" fillId="25" borderId="34" xfId="65" applyNumberFormat="1" applyFont="1" applyFill="1" applyBorder="1" applyAlignment="1">
      <alignment horizontal="center" vertical="center"/>
    </xf>
    <xf numFmtId="164" fontId="41" fillId="0" borderId="34" xfId="65" applyNumberFormat="1" applyFont="1" applyFill="1" applyBorder="1" applyAlignment="1">
      <alignment horizontal="center" vertical="center"/>
    </xf>
    <xf numFmtId="164" fontId="40" fillId="0" borderId="34" xfId="0" applyNumberFormat="1" applyFont="1" applyBorder="1" applyAlignment="1">
      <alignment horizontal="center" vertical="center"/>
    </xf>
    <xf numFmtId="165" fontId="40" fillId="0" borderId="34" xfId="65" applyNumberFormat="1" applyFont="1" applyFill="1" applyBorder="1" applyAlignment="1">
      <alignment horizontal="center" vertical="center"/>
    </xf>
    <xf numFmtId="49" fontId="39" fillId="0" borderId="52" xfId="0" applyNumberFormat="1" applyFont="1" applyBorder="1" applyAlignment="1">
      <alignment horizontal="left" vertical="center" wrapText="1"/>
    </xf>
    <xf numFmtId="49" fontId="39" fillId="0" borderId="54" xfId="0" applyNumberFormat="1" applyFont="1" applyBorder="1" applyAlignment="1">
      <alignment horizontal="left" vertical="center" wrapText="1"/>
    </xf>
    <xf numFmtId="49" fontId="39" fillId="0" borderId="15" xfId="0" applyNumberFormat="1" applyFont="1" applyBorder="1" applyAlignment="1">
      <alignment horizontal="left" vertical="center" wrapText="1"/>
    </xf>
    <xf numFmtId="49" fontId="39" fillId="0" borderId="51" xfId="0" applyNumberFormat="1" applyFont="1" applyBorder="1" applyAlignment="1">
      <alignment horizontal="left" vertical="center" wrapText="1"/>
    </xf>
    <xf numFmtId="49" fontId="39" fillId="24" borderId="51" xfId="0" applyNumberFormat="1" applyFont="1" applyFill="1" applyBorder="1" applyAlignment="1">
      <alignment horizontal="left" vertical="center" wrapText="1"/>
    </xf>
    <xf numFmtId="49" fontId="41" fillId="0" borderId="18" xfId="0" applyNumberFormat="1" applyFont="1" applyFill="1" applyBorder="1" applyAlignment="1">
      <alignment horizontal="left" vertical="center" wrapText="1"/>
    </xf>
    <xf numFmtId="49" fontId="40" fillId="0" borderId="53" xfId="0" applyNumberFormat="1" applyFont="1" applyFill="1" applyBorder="1" applyAlignment="1">
      <alignment horizontal="left" vertical="center" wrapText="1"/>
    </xf>
    <xf numFmtId="49" fontId="39" fillId="0" borderId="31" xfId="0" applyNumberFormat="1" applyFont="1" applyFill="1" applyBorder="1" applyAlignment="1">
      <alignment horizontal="left" vertical="center" wrapText="1"/>
    </xf>
    <xf numFmtId="49" fontId="39" fillId="0" borderId="27" xfId="0" applyNumberFormat="1" applyFont="1" applyFill="1" applyBorder="1" applyAlignment="1">
      <alignment horizontal="left" vertical="center" wrapText="1"/>
    </xf>
    <xf numFmtId="49" fontId="39" fillId="0" borderId="32" xfId="0" applyNumberFormat="1" applyFont="1" applyFill="1" applyBorder="1" applyAlignment="1">
      <alignment horizontal="left" vertical="center" wrapText="1"/>
    </xf>
    <xf numFmtId="165" fontId="40" fillId="25" borderId="34" xfId="65" applyNumberFormat="1" applyFont="1" applyFill="1" applyBorder="1" applyAlignment="1">
      <alignment horizontal="center" vertical="center"/>
    </xf>
    <xf numFmtId="165" fontId="40" fillId="0" borderId="34" xfId="0" applyNumberFormat="1" applyFont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0" fontId="5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25" xfId="55" applyFont="1" applyBorder="1">
      <alignment/>
      <protection/>
    </xf>
    <xf numFmtId="0" fontId="5" fillId="0" borderId="20" xfId="55" applyFont="1" applyBorder="1" applyAlignment="1">
      <alignment horizontal="center" vertical="justify"/>
      <protection/>
    </xf>
    <xf numFmtId="0" fontId="5" fillId="0" borderId="21" xfId="55" applyFont="1" applyBorder="1" applyAlignment="1">
      <alignment horizontal="left" wrapText="1"/>
      <protection/>
    </xf>
    <xf numFmtId="164" fontId="5" fillId="0" borderId="19" xfId="55" applyNumberFormat="1" applyFont="1" applyBorder="1" applyAlignment="1">
      <alignment horizontal="center" vertical="center"/>
      <protection/>
    </xf>
    <xf numFmtId="165" fontId="5" fillId="0" borderId="0" xfId="55" applyNumberFormat="1" applyFont="1">
      <alignment/>
      <protection/>
    </xf>
    <xf numFmtId="0" fontId="5" fillId="0" borderId="22" xfId="55" applyFont="1" applyBorder="1" applyAlignment="1">
      <alignment horizontal="center"/>
      <protection/>
    </xf>
    <xf numFmtId="164" fontId="5" fillId="0" borderId="13" xfId="55" applyNumberFormat="1" applyFont="1" applyBorder="1" applyAlignment="1">
      <alignment horizontal="center" vertical="center"/>
      <protection/>
    </xf>
    <xf numFmtId="0" fontId="5" fillId="0" borderId="56" xfId="55" applyFont="1" applyBorder="1" applyAlignment="1">
      <alignment horizontal="center"/>
      <protection/>
    </xf>
    <xf numFmtId="0" fontId="5" fillId="0" borderId="20" xfId="55" applyFont="1" applyBorder="1" applyAlignment="1">
      <alignment horizontal="left" wrapText="1"/>
      <protection/>
    </xf>
    <xf numFmtId="164" fontId="5" fillId="0" borderId="20" xfId="55" applyNumberFormat="1" applyFont="1" applyBorder="1" applyAlignment="1">
      <alignment horizontal="center" vertical="center"/>
      <protection/>
    </xf>
    <xf numFmtId="0" fontId="5" fillId="0" borderId="23" xfId="55" applyFont="1" applyBorder="1" applyAlignment="1">
      <alignment wrapText="1"/>
      <protection/>
    </xf>
    <xf numFmtId="0" fontId="5" fillId="0" borderId="57" xfId="55" applyFont="1" applyBorder="1" applyAlignment="1">
      <alignment horizontal="center"/>
      <protection/>
    </xf>
    <xf numFmtId="164" fontId="5" fillId="0" borderId="14" xfId="55" applyNumberFormat="1" applyFont="1" applyBorder="1" applyAlignment="1">
      <alignment horizontal="center" vertical="center"/>
      <protection/>
    </xf>
    <xf numFmtId="0" fontId="5" fillId="0" borderId="20" xfId="55" applyFont="1" applyBorder="1">
      <alignment/>
      <protection/>
    </xf>
    <xf numFmtId="0" fontId="5" fillId="0" borderId="23" xfId="55" applyFont="1" applyBorder="1" applyAlignment="1">
      <alignment horizontal="center"/>
      <protection/>
    </xf>
    <xf numFmtId="164" fontId="5" fillId="0" borderId="46" xfId="55" applyNumberFormat="1" applyFont="1" applyBorder="1" applyAlignment="1">
      <alignment horizontal="center" vertical="center"/>
      <protection/>
    </xf>
    <xf numFmtId="0" fontId="5" fillId="0" borderId="10" xfId="55" applyFont="1" applyBorder="1">
      <alignment/>
      <protection/>
    </xf>
    <xf numFmtId="0" fontId="5" fillId="0" borderId="19" xfId="55" applyFont="1" applyBorder="1" applyAlignment="1">
      <alignment horizontal="left" wrapText="1"/>
      <protection/>
    </xf>
    <xf numFmtId="164" fontId="5" fillId="0" borderId="21" xfId="55" applyNumberFormat="1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/>
      <protection/>
    </xf>
    <xf numFmtId="164" fontId="7" fillId="0" borderId="58" xfId="57" applyNumberFormat="1" applyFont="1" applyBorder="1" applyAlignment="1">
      <alignment horizontal="center" vertical="center" wrapText="1"/>
      <protection/>
    </xf>
    <xf numFmtId="164" fontId="7" fillId="0" borderId="13" xfId="57" applyNumberFormat="1" applyFont="1" applyBorder="1" applyAlignment="1">
      <alignment horizontal="center" vertical="center" wrapText="1"/>
      <protection/>
    </xf>
    <xf numFmtId="0" fontId="5" fillId="0" borderId="46" xfId="55" applyFont="1" applyBorder="1" applyAlignment="1">
      <alignment horizontal="center"/>
      <protection/>
    </xf>
    <xf numFmtId="164" fontId="5" fillId="0" borderId="28" xfId="55" applyNumberFormat="1" applyFont="1" applyBorder="1" applyAlignment="1">
      <alignment horizontal="center" vertical="center"/>
      <protection/>
    </xf>
    <xf numFmtId="0" fontId="5" fillId="0" borderId="12" xfId="55" applyFont="1" applyBorder="1" applyAlignment="1">
      <alignment wrapText="1"/>
      <protection/>
    </xf>
    <xf numFmtId="164" fontId="5" fillId="0" borderId="22" xfId="55" applyNumberFormat="1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/>
      <protection/>
    </xf>
    <xf numFmtId="164" fontId="5" fillId="0" borderId="57" xfId="55" applyNumberFormat="1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/>
      <protection/>
    </xf>
    <xf numFmtId="164" fontId="5" fillId="0" borderId="56" xfId="55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9" fillId="0" borderId="0" xfId="57" applyFont="1" applyAlignment="1">
      <alignment wrapText="1"/>
      <protection/>
    </xf>
    <xf numFmtId="0" fontId="48" fillId="0" borderId="0" xfId="57" applyFont="1" applyAlignment="1">
      <alignment horizontal="center" vertical="center" wrapText="1"/>
      <protection/>
    </xf>
    <xf numFmtId="49" fontId="13" fillId="0" borderId="15" xfId="57" applyNumberFormat="1" applyFont="1" applyBorder="1" applyAlignment="1">
      <alignment horizontal="left" vertical="center" wrapText="1"/>
      <protection/>
    </xf>
    <xf numFmtId="0" fontId="15" fillId="0" borderId="15" xfId="0" applyFont="1" applyBorder="1" applyAlignment="1">
      <alignment vertical="center" wrapText="1"/>
    </xf>
    <xf numFmtId="164" fontId="13" fillId="0" borderId="15" xfId="57" applyNumberFormat="1" applyFont="1" applyBorder="1" applyAlignment="1">
      <alignment horizontal="center" vertical="center" wrapText="1"/>
      <protection/>
    </xf>
    <xf numFmtId="0" fontId="13" fillId="0" borderId="0" xfId="57" applyFont="1">
      <alignment/>
      <protection/>
    </xf>
    <xf numFmtId="0" fontId="5" fillId="0" borderId="15" xfId="56" applyFont="1" applyBorder="1" applyAlignment="1">
      <alignment vertical="justify" wrapText="1"/>
      <protection/>
    </xf>
    <xf numFmtId="164" fontId="13" fillId="0" borderId="15" xfId="57" applyNumberFormat="1" applyFont="1" applyBorder="1" applyAlignment="1">
      <alignment vertical="center" wrapText="1"/>
      <protection/>
    </xf>
    <xf numFmtId="49" fontId="13" fillId="0" borderId="15" xfId="57" applyNumberFormat="1" applyFont="1" applyBorder="1" applyAlignment="1">
      <alignment horizontal="left" vertical="center"/>
      <protection/>
    </xf>
    <xf numFmtId="49" fontId="15" fillId="0" borderId="15" xfId="0" applyNumberFormat="1" applyFont="1" applyBorder="1" applyAlignment="1">
      <alignment horizontal="left" vertical="justify" wrapText="1"/>
    </xf>
    <xf numFmtId="164" fontId="13" fillId="0" borderId="15" xfId="57" applyNumberFormat="1" applyFont="1" applyBorder="1" applyAlignment="1">
      <alignment vertical="center"/>
      <protection/>
    </xf>
    <xf numFmtId="0" fontId="9" fillId="0" borderId="15" xfId="0" applyFont="1" applyBorder="1" applyAlignment="1">
      <alignment vertical="justify" wrapText="1"/>
    </xf>
    <xf numFmtId="0" fontId="9" fillId="0" borderId="15" xfId="0" applyNumberFormat="1" applyFont="1" applyBorder="1" applyAlignment="1">
      <alignment vertical="justify" wrapText="1"/>
    </xf>
    <xf numFmtId="0" fontId="7" fillId="25" borderId="24" xfId="0" applyFont="1" applyFill="1" applyBorder="1" applyAlignment="1">
      <alignment horizontal="left" vertical="center" wrapText="1"/>
    </xf>
    <xf numFmtId="0" fontId="49" fillId="24" borderId="0" xfId="54" applyFont="1" applyFill="1" applyAlignment="1">
      <alignment horizontal="center" vertical="center" wrapText="1"/>
      <protection/>
    </xf>
    <xf numFmtId="0" fontId="49" fillId="25" borderId="0" xfId="54" applyFont="1" applyFill="1" applyAlignment="1">
      <alignment horizontal="center" vertical="center" wrapText="1"/>
      <protection/>
    </xf>
    <xf numFmtId="0" fontId="49" fillId="24" borderId="0" xfId="54" applyFont="1" applyFill="1" applyAlignment="1">
      <alignment horizontal="right" vertical="center" wrapText="1"/>
      <protection/>
    </xf>
    <xf numFmtId="0" fontId="49" fillId="0" borderId="0" xfId="54" applyFont="1" applyFill="1">
      <alignment/>
      <protection/>
    </xf>
    <xf numFmtId="0" fontId="49" fillId="24" borderId="0" xfId="54" applyFont="1" applyFill="1" applyAlignment="1">
      <alignment horizontal="right" vertical="center"/>
      <protection/>
    </xf>
    <xf numFmtId="0" fontId="50" fillId="24" borderId="0" xfId="54" applyFont="1" applyFill="1" applyAlignment="1">
      <alignment horizontal="right" vertical="center" wrapText="1"/>
      <protection/>
    </xf>
    <xf numFmtId="0" fontId="49" fillId="25" borderId="15" xfId="54" applyFont="1" applyFill="1" applyBorder="1" applyAlignment="1">
      <alignment horizontal="center" vertical="center" wrapText="1"/>
      <protection/>
    </xf>
    <xf numFmtId="0" fontId="50" fillId="24" borderId="15" xfId="54" applyFont="1" applyFill="1" applyBorder="1" applyAlignment="1">
      <alignment horizontal="left" vertical="center" wrapText="1"/>
      <protection/>
    </xf>
    <xf numFmtId="49" fontId="49" fillId="24" borderId="58" xfId="54" applyNumberFormat="1" applyFont="1" applyFill="1" applyBorder="1" applyAlignment="1">
      <alignment horizontal="center" vertical="center" wrapText="1"/>
      <protection/>
    </xf>
    <xf numFmtId="49" fontId="49" fillId="25" borderId="15" xfId="54" applyNumberFormat="1" applyFont="1" applyFill="1" applyBorder="1" applyAlignment="1">
      <alignment horizontal="center" vertical="center" wrapText="1"/>
      <protection/>
    </xf>
    <xf numFmtId="0" fontId="49" fillId="24" borderId="15" xfId="54" applyFont="1" applyFill="1" applyBorder="1" applyAlignment="1">
      <alignment vertical="center" wrapText="1"/>
      <protection/>
    </xf>
    <xf numFmtId="0" fontId="49" fillId="24" borderId="15" xfId="54" applyFont="1" applyFill="1" applyBorder="1" applyAlignment="1">
      <alignment horizontal="left" vertical="center" wrapText="1"/>
      <protection/>
    </xf>
    <xf numFmtId="0" fontId="50" fillId="24" borderId="15" xfId="54" applyFont="1" applyFill="1" applyBorder="1" applyAlignment="1">
      <alignment vertical="center" wrapText="1"/>
      <protection/>
    </xf>
    <xf numFmtId="0" fontId="50" fillId="0" borderId="0" xfId="54" applyFont="1" applyFill="1">
      <alignment/>
      <protection/>
    </xf>
    <xf numFmtId="0" fontId="49" fillId="24" borderId="0" xfId="54" applyFont="1" applyFill="1">
      <alignment/>
      <protection/>
    </xf>
    <xf numFmtId="0" fontId="49" fillId="24" borderId="15" xfId="54" applyNumberFormat="1" applyFont="1" applyFill="1" applyBorder="1" applyAlignment="1">
      <alignment vertical="center" wrapText="1"/>
      <protection/>
    </xf>
    <xf numFmtId="0" fontId="49" fillId="25" borderId="15" xfId="54" applyNumberFormat="1" applyFont="1" applyFill="1" applyBorder="1" applyAlignment="1">
      <alignment vertical="center" wrapText="1"/>
      <protection/>
    </xf>
    <xf numFmtId="0" fontId="49" fillId="25" borderId="0" xfId="54" applyFont="1" applyFill="1">
      <alignment/>
      <protection/>
    </xf>
    <xf numFmtId="0" fontId="1" fillId="25" borderId="15" xfId="54" applyFont="1" applyFill="1" applyBorder="1" applyAlignment="1">
      <alignment horizontal="center" vertical="center" wrapText="1"/>
      <protection/>
    </xf>
    <xf numFmtId="49" fontId="1" fillId="25" borderId="15" xfId="54" applyNumberFormat="1" applyFont="1" applyFill="1" applyBorder="1" applyAlignment="1">
      <alignment horizontal="center" vertical="center" wrapText="1"/>
      <protection/>
    </xf>
    <xf numFmtId="0" fontId="1" fillId="25" borderId="15" xfId="54" applyFont="1" applyFill="1" applyBorder="1" applyAlignment="1">
      <alignment vertical="center" wrapText="1"/>
      <protection/>
    </xf>
    <xf numFmtId="0" fontId="1" fillId="25" borderId="0" xfId="54" applyFont="1" applyFill="1">
      <alignment/>
      <protection/>
    </xf>
    <xf numFmtId="49" fontId="52" fillId="25" borderId="15" xfId="54" applyNumberFormat="1" applyFont="1" applyFill="1" applyBorder="1" applyAlignment="1">
      <alignment horizontal="center" vertical="center" wrapText="1"/>
      <protection/>
    </xf>
    <xf numFmtId="49" fontId="49" fillId="24" borderId="15" xfId="54" applyNumberFormat="1" applyFont="1" applyFill="1" applyBorder="1" applyAlignment="1">
      <alignment horizontal="left" vertical="center" wrapText="1"/>
      <protection/>
    </xf>
    <xf numFmtId="49" fontId="0" fillId="25" borderId="15" xfId="54" applyNumberFormat="1" applyFont="1" applyFill="1" applyBorder="1" applyAlignment="1">
      <alignment horizontal="center" vertical="center" wrapText="1"/>
      <protection/>
    </xf>
    <xf numFmtId="49" fontId="1" fillId="25" borderId="15" xfId="54" applyNumberFormat="1" applyFont="1" applyFill="1" applyBorder="1" applyAlignment="1">
      <alignment horizontal="left" vertical="center" wrapText="1"/>
      <protection/>
    </xf>
    <xf numFmtId="0" fontId="1" fillId="0" borderId="0" xfId="54" applyFont="1" applyFill="1">
      <alignment/>
      <protection/>
    </xf>
    <xf numFmtId="0" fontId="49" fillId="24" borderId="15" xfId="54" applyFont="1" applyFill="1" applyBorder="1" applyAlignment="1">
      <alignment wrapText="1"/>
      <protection/>
    </xf>
    <xf numFmtId="0" fontId="53" fillId="24" borderId="0" xfId="54" applyFont="1" applyFill="1">
      <alignment/>
      <protection/>
    </xf>
    <xf numFmtId="0" fontId="53" fillId="0" borderId="0" xfId="54" applyFont="1" applyFill="1">
      <alignment/>
      <protection/>
    </xf>
    <xf numFmtId="0" fontId="56" fillId="26" borderId="15" xfId="54" applyFont="1" applyFill="1" applyBorder="1" applyAlignment="1">
      <alignment horizontal="center" vertical="center" wrapText="1"/>
      <protection/>
    </xf>
    <xf numFmtId="49" fontId="56" fillId="26" borderId="15" xfId="54" applyNumberFormat="1" applyFont="1" applyFill="1" applyBorder="1" applyAlignment="1">
      <alignment horizontal="center" vertical="center" wrapText="1"/>
      <protection/>
    </xf>
    <xf numFmtId="0" fontId="56" fillId="26" borderId="15" xfId="54" applyFont="1" applyFill="1" applyBorder="1" applyAlignment="1">
      <alignment vertical="center" wrapText="1"/>
      <protection/>
    </xf>
    <xf numFmtId="0" fontId="57" fillId="26" borderId="0" xfId="54" applyFont="1" applyFill="1">
      <alignment/>
      <protection/>
    </xf>
    <xf numFmtId="0" fontId="49" fillId="25" borderId="0" xfId="54" applyFont="1" applyFill="1" applyAlignment="1">
      <alignment vertical="center"/>
      <protection/>
    </xf>
    <xf numFmtId="0" fontId="1" fillId="25" borderId="15" xfId="54" applyFont="1" applyFill="1" applyBorder="1" applyAlignment="1">
      <alignment vertical="center"/>
      <protection/>
    </xf>
    <xf numFmtId="0" fontId="53" fillId="25" borderId="0" xfId="54" applyFont="1" applyFill="1">
      <alignment/>
      <protection/>
    </xf>
    <xf numFmtId="49" fontId="50" fillId="24" borderId="15" xfId="54" applyNumberFormat="1" applyFont="1" applyFill="1" applyBorder="1" applyAlignment="1">
      <alignment horizontal="left" vertical="center" wrapText="1"/>
      <protection/>
    </xf>
    <xf numFmtId="0" fontId="1" fillId="24" borderId="15" xfId="54" applyNumberFormat="1" applyFont="1" applyFill="1" applyBorder="1" applyAlignment="1">
      <alignment vertical="center" wrapText="1"/>
      <protection/>
    </xf>
    <xf numFmtId="0" fontId="1" fillId="25" borderId="58" xfId="54" applyFont="1" applyFill="1" applyBorder="1" applyAlignment="1">
      <alignment horizontal="center" vertical="center" wrapText="1"/>
      <protection/>
    </xf>
    <xf numFmtId="0" fontId="49" fillId="25" borderId="58" xfId="54" applyFont="1" applyFill="1" applyBorder="1" applyAlignment="1">
      <alignment horizontal="center" vertical="center" wrapText="1"/>
      <protection/>
    </xf>
    <xf numFmtId="0" fontId="49" fillId="0" borderId="0" xfId="54" applyFont="1" applyFill="1" applyAlignment="1">
      <alignment horizontal="center" vertical="center" wrapText="1"/>
      <protection/>
    </xf>
    <xf numFmtId="0" fontId="49" fillId="0" borderId="0" xfId="54" applyFont="1" applyFill="1" applyAlignment="1">
      <alignment vertical="center" wrapText="1"/>
      <protection/>
    </xf>
    <xf numFmtId="0" fontId="49" fillId="25" borderId="15" xfId="54" applyFont="1" applyFill="1" applyBorder="1" applyAlignment="1">
      <alignment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4" fillId="24" borderId="0" xfId="54" applyFont="1" applyFill="1" applyAlignment="1">
      <alignment horizontal="center" vertical="center" wrapText="1"/>
      <protection/>
    </xf>
    <xf numFmtId="0" fontId="49" fillId="24" borderId="0" xfId="54" applyFont="1" applyFill="1" applyBorder="1" applyAlignment="1">
      <alignment horizontal="center" vertical="center" wrapText="1"/>
      <protection/>
    </xf>
    <xf numFmtId="0" fontId="49" fillId="25" borderId="15" xfId="54" applyFont="1" applyFill="1" applyBorder="1" applyAlignment="1">
      <alignment horizontal="center" vertical="center" wrapText="1"/>
      <protection/>
    </xf>
    <xf numFmtId="49" fontId="50" fillId="24" borderId="58" xfId="54" applyNumberFormat="1" applyFont="1" applyFill="1" applyBorder="1" applyAlignment="1">
      <alignment horizontal="left" vertical="center" wrapText="1"/>
      <protection/>
    </xf>
    <xf numFmtId="49" fontId="50" fillId="24" borderId="16" xfId="54" applyNumberFormat="1" applyFont="1" applyFill="1" applyBorder="1" applyAlignment="1">
      <alignment horizontal="left" vertical="center" wrapText="1"/>
      <protection/>
    </xf>
    <xf numFmtId="0" fontId="50" fillId="24" borderId="58" xfId="54" applyFont="1" applyFill="1" applyBorder="1" applyAlignment="1">
      <alignment horizontal="left" vertical="center" wrapText="1"/>
      <protection/>
    </xf>
    <xf numFmtId="0" fontId="50" fillId="24" borderId="16" xfId="54" applyFont="1" applyFill="1" applyBorder="1" applyAlignment="1">
      <alignment horizontal="left" vertical="center" wrapText="1"/>
      <protection/>
    </xf>
    <xf numFmtId="0" fontId="49" fillId="25" borderId="58" xfId="54" applyFont="1" applyFill="1" applyBorder="1" applyAlignment="1">
      <alignment horizontal="center" vertical="center" wrapText="1"/>
      <protection/>
    </xf>
    <xf numFmtId="0" fontId="49" fillId="24" borderId="16" xfId="54" applyFont="1" applyFill="1" applyBorder="1" applyAlignment="1">
      <alignment horizontal="center" vertical="center" wrapText="1"/>
      <protection/>
    </xf>
    <xf numFmtId="0" fontId="49" fillId="24" borderId="0" xfId="54" applyFont="1" applyFill="1" applyAlignment="1">
      <alignment horizontal="left" vertical="center" wrapText="1"/>
      <protection/>
    </xf>
    <xf numFmtId="0" fontId="51" fillId="0" borderId="0" xfId="54" applyFont="1" applyFill="1" applyAlignment="1">
      <alignment horizontal="left" vertical="center" wrapText="1"/>
      <protection/>
    </xf>
    <xf numFmtId="0" fontId="49" fillId="0" borderId="0" xfId="54" applyFont="1" applyFill="1" applyAlignment="1">
      <alignment horizontal="left" vertical="center" wrapText="1"/>
      <protection/>
    </xf>
    <xf numFmtId="0" fontId="1" fillId="0" borderId="0" xfId="0" applyFont="1" applyFill="1" applyAlignment="1">
      <alignment horizontal="left" wrapText="1"/>
    </xf>
    <xf numFmtId="0" fontId="7" fillId="0" borderId="25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left" vertical="center" wrapText="1"/>
    </xf>
    <xf numFmtId="0" fontId="7" fillId="0" borderId="15" xfId="57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 vertical="justify" wrapText="1"/>
      <protection/>
    </xf>
    <xf numFmtId="0" fontId="12" fillId="0" borderId="0" xfId="57" applyFont="1" applyAlignment="1">
      <alignment horizontal="center" vertical="justify"/>
      <protection/>
    </xf>
    <xf numFmtId="0" fontId="7" fillId="0" borderId="60" xfId="57" applyFont="1" applyBorder="1" applyAlignment="1">
      <alignment horizontal="center" vertical="center" wrapText="1"/>
      <protection/>
    </xf>
    <xf numFmtId="0" fontId="7" fillId="0" borderId="38" xfId="57" applyFont="1" applyBorder="1" applyAlignment="1">
      <alignment horizontal="center" vertical="center" wrapText="1"/>
      <protection/>
    </xf>
    <xf numFmtId="0" fontId="7" fillId="0" borderId="52" xfId="57" applyFont="1" applyBorder="1" applyAlignment="1">
      <alignment horizontal="center" vertical="center" wrapText="1"/>
      <protection/>
    </xf>
    <xf numFmtId="49" fontId="37" fillId="0" borderId="15" xfId="57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 wrapText="1"/>
    </xf>
    <xf numFmtId="0" fontId="13" fillId="0" borderId="60" xfId="57" applyFont="1" applyBorder="1" applyAlignment="1">
      <alignment horizontal="center" vertical="center" wrapText="1"/>
      <protection/>
    </xf>
    <xf numFmtId="0" fontId="13" fillId="0" borderId="38" xfId="57" applyFont="1" applyBorder="1" applyAlignment="1">
      <alignment horizontal="center" vertical="center" wrapText="1"/>
      <protection/>
    </xf>
    <xf numFmtId="0" fontId="13" fillId="0" borderId="52" xfId="57" applyFont="1" applyBorder="1" applyAlignment="1">
      <alignment horizontal="center" vertical="center" wrapText="1"/>
      <protection/>
    </xf>
    <xf numFmtId="49" fontId="14" fillId="0" borderId="15" xfId="57" applyNumberFormat="1" applyFont="1" applyBorder="1" applyAlignment="1">
      <alignment horizontal="center" vertical="center" wrapText="1"/>
      <protection/>
    </xf>
    <xf numFmtId="0" fontId="13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бюджет на 2008 год 1" xfId="55"/>
    <cellStyle name="Обычный_Источники" xfId="56"/>
    <cellStyle name="Обычный_Приложение №1+№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zoomScalePageLayoutView="0" workbookViewId="0" topLeftCell="A1">
      <selection activeCell="A5" sqref="A5:C5"/>
    </sheetView>
  </sheetViews>
  <sheetFormatPr defaultColWidth="9.00390625" defaultRowHeight="12.75"/>
  <cols>
    <col min="1" max="1" width="9.75390625" style="454" customWidth="1"/>
    <col min="2" max="2" width="22.375" style="414" customWidth="1"/>
    <col min="3" max="3" width="91.00390625" style="455" customWidth="1"/>
    <col min="4" max="16384" width="9.125" style="416" customWidth="1"/>
  </cols>
  <sheetData>
    <row r="1" spans="1:3" ht="12.75">
      <c r="A1" s="413"/>
      <c r="C1" s="415" t="s">
        <v>1041</v>
      </c>
    </row>
    <row r="2" spans="1:3" ht="12.75">
      <c r="A2" s="413"/>
      <c r="C2" s="415" t="s">
        <v>1051</v>
      </c>
    </row>
    <row r="3" spans="1:3" ht="12.75">
      <c r="A3" s="413"/>
      <c r="C3" s="415" t="s">
        <v>788</v>
      </c>
    </row>
    <row r="4" spans="1:3" ht="12.75">
      <c r="A4" s="413"/>
      <c r="C4" s="417" t="s">
        <v>1052</v>
      </c>
    </row>
    <row r="5" spans="1:3" ht="49.5" customHeight="1">
      <c r="A5" s="459" t="s">
        <v>789</v>
      </c>
      <c r="B5" s="459"/>
      <c r="C5" s="459"/>
    </row>
    <row r="6" spans="1:3" ht="12.75">
      <c r="A6" s="460"/>
      <c r="B6" s="460"/>
      <c r="C6" s="418"/>
    </row>
    <row r="7" spans="1:3" ht="27" customHeight="1">
      <c r="A7" s="461" t="s">
        <v>790</v>
      </c>
      <c r="B7" s="461"/>
      <c r="C7" s="461" t="s">
        <v>791</v>
      </c>
    </row>
    <row r="8" spans="1:3" ht="54" customHeight="1">
      <c r="A8" s="419" t="s">
        <v>792</v>
      </c>
      <c r="B8" s="419" t="s">
        <v>793</v>
      </c>
      <c r="C8" s="461"/>
    </row>
    <row r="9" spans="1:3" ht="24" customHeight="1">
      <c r="A9" s="462" t="s">
        <v>794</v>
      </c>
      <c r="B9" s="463"/>
      <c r="C9" s="420" t="s">
        <v>795</v>
      </c>
    </row>
    <row r="10" spans="1:3" ht="30" customHeight="1">
      <c r="A10" s="421" t="s">
        <v>794</v>
      </c>
      <c r="B10" s="422" t="s">
        <v>796</v>
      </c>
      <c r="C10" s="423" t="s">
        <v>797</v>
      </c>
    </row>
    <row r="11" spans="1:3" ht="24" customHeight="1">
      <c r="A11" s="462" t="s">
        <v>798</v>
      </c>
      <c r="B11" s="463"/>
      <c r="C11" s="420" t="s">
        <v>799</v>
      </c>
    </row>
    <row r="12" spans="1:3" ht="30.75" customHeight="1">
      <c r="A12" s="421" t="s">
        <v>798</v>
      </c>
      <c r="B12" s="422" t="s">
        <v>800</v>
      </c>
      <c r="C12" s="423" t="s">
        <v>801</v>
      </c>
    </row>
    <row r="13" spans="1:3" ht="35.25" customHeight="1">
      <c r="A13" s="462" t="s">
        <v>802</v>
      </c>
      <c r="B13" s="463"/>
      <c r="C13" s="420" t="s">
        <v>803</v>
      </c>
    </row>
    <row r="14" spans="1:3" ht="29.25" customHeight="1">
      <c r="A14" s="421" t="s">
        <v>802</v>
      </c>
      <c r="B14" s="422" t="s">
        <v>804</v>
      </c>
      <c r="C14" s="424" t="s">
        <v>805</v>
      </c>
    </row>
    <row r="15" spans="1:3" ht="28.5" customHeight="1">
      <c r="A15" s="421" t="s">
        <v>802</v>
      </c>
      <c r="B15" s="422" t="s">
        <v>806</v>
      </c>
      <c r="C15" s="424" t="s">
        <v>807</v>
      </c>
    </row>
    <row r="16" spans="1:3" ht="27" customHeight="1">
      <c r="A16" s="421" t="s">
        <v>802</v>
      </c>
      <c r="B16" s="422" t="s">
        <v>808</v>
      </c>
      <c r="C16" s="424" t="s">
        <v>809</v>
      </c>
    </row>
    <row r="17" spans="1:3" ht="27.75" customHeight="1">
      <c r="A17" s="421" t="s">
        <v>802</v>
      </c>
      <c r="B17" s="422" t="s">
        <v>810</v>
      </c>
      <c r="C17" s="424" t="s">
        <v>811</v>
      </c>
    </row>
    <row r="18" spans="1:3" ht="27.75" customHeight="1">
      <c r="A18" s="421" t="s">
        <v>802</v>
      </c>
      <c r="B18" s="422" t="s">
        <v>812</v>
      </c>
      <c r="C18" s="424" t="s">
        <v>813</v>
      </c>
    </row>
    <row r="19" spans="1:3" ht="29.25" customHeight="1">
      <c r="A19" s="462" t="s">
        <v>814</v>
      </c>
      <c r="B19" s="463"/>
      <c r="C19" s="420" t="s">
        <v>815</v>
      </c>
    </row>
    <row r="20" spans="1:3" ht="29.25" customHeight="1">
      <c r="A20" s="421" t="s">
        <v>814</v>
      </c>
      <c r="B20" s="422" t="s">
        <v>800</v>
      </c>
      <c r="C20" s="423" t="s">
        <v>801</v>
      </c>
    </row>
    <row r="21" spans="1:3" ht="24" customHeight="1">
      <c r="A21" s="462" t="s">
        <v>816</v>
      </c>
      <c r="B21" s="463"/>
      <c r="C21" s="425" t="s">
        <v>817</v>
      </c>
    </row>
    <row r="22" spans="1:3" ht="28.5" customHeight="1">
      <c r="A22" s="421" t="s">
        <v>816</v>
      </c>
      <c r="B22" s="422" t="s">
        <v>800</v>
      </c>
      <c r="C22" s="423" t="s">
        <v>801</v>
      </c>
    </row>
    <row r="23" spans="1:3" ht="36.75" customHeight="1">
      <c r="A23" s="462" t="s">
        <v>818</v>
      </c>
      <c r="B23" s="463"/>
      <c r="C23" s="420" t="s">
        <v>819</v>
      </c>
    </row>
    <row r="24" spans="1:3" ht="28.5" customHeight="1">
      <c r="A24" s="421" t="s">
        <v>818</v>
      </c>
      <c r="B24" s="422" t="s">
        <v>820</v>
      </c>
      <c r="C24" s="424" t="s">
        <v>821</v>
      </c>
    </row>
    <row r="25" spans="1:3" ht="24" customHeight="1">
      <c r="A25" s="462" t="s">
        <v>822</v>
      </c>
      <c r="B25" s="463"/>
      <c r="C25" s="420" t="s">
        <v>823</v>
      </c>
    </row>
    <row r="26" spans="1:3" ht="30" customHeight="1">
      <c r="A26" s="421" t="s">
        <v>822</v>
      </c>
      <c r="B26" s="422" t="s">
        <v>796</v>
      </c>
      <c r="C26" s="423" t="s">
        <v>797</v>
      </c>
    </row>
    <row r="27" spans="1:3" ht="41.25" customHeight="1">
      <c r="A27" s="421" t="s">
        <v>822</v>
      </c>
      <c r="B27" s="422" t="s">
        <v>824</v>
      </c>
      <c r="C27" s="424" t="s">
        <v>825</v>
      </c>
    </row>
    <row r="28" spans="1:3" ht="29.25" customHeight="1">
      <c r="A28" s="421" t="s">
        <v>822</v>
      </c>
      <c r="B28" s="422" t="s">
        <v>800</v>
      </c>
      <c r="C28" s="423" t="s">
        <v>801</v>
      </c>
    </row>
    <row r="29" spans="1:3" s="426" customFormat="1" ht="57" customHeight="1">
      <c r="A29" s="464">
        <v>188</v>
      </c>
      <c r="B29" s="465"/>
      <c r="C29" s="425" t="s">
        <v>826</v>
      </c>
    </row>
    <row r="30" spans="1:3" s="426" customFormat="1" ht="24" customHeight="1">
      <c r="A30" s="464">
        <v>283</v>
      </c>
      <c r="B30" s="465"/>
      <c r="C30" s="425" t="s">
        <v>199</v>
      </c>
    </row>
    <row r="31" spans="1:3" ht="51.75" customHeight="1">
      <c r="A31" s="419">
        <v>283</v>
      </c>
      <c r="B31" s="422" t="s">
        <v>827</v>
      </c>
      <c r="C31" s="423" t="s">
        <v>828</v>
      </c>
    </row>
    <row r="32" spans="1:3" ht="26.25" customHeight="1">
      <c r="A32" s="419">
        <v>283</v>
      </c>
      <c r="B32" s="422" t="s">
        <v>829</v>
      </c>
      <c r="C32" s="423" t="s">
        <v>830</v>
      </c>
    </row>
    <row r="33" spans="1:3" ht="51">
      <c r="A33" s="419">
        <v>283</v>
      </c>
      <c r="B33" s="422" t="s">
        <v>831</v>
      </c>
      <c r="C33" s="423" t="s">
        <v>832</v>
      </c>
    </row>
    <row r="34" spans="1:3" ht="41.25" customHeight="1">
      <c r="A34" s="419">
        <v>283</v>
      </c>
      <c r="B34" s="422" t="s">
        <v>833</v>
      </c>
      <c r="C34" s="423" t="s">
        <v>834</v>
      </c>
    </row>
    <row r="35" spans="1:3" ht="28.5" customHeight="1">
      <c r="A35" s="419">
        <v>283</v>
      </c>
      <c r="B35" s="422" t="s">
        <v>835</v>
      </c>
      <c r="C35" s="423" t="s">
        <v>836</v>
      </c>
    </row>
    <row r="36" spans="1:3" ht="54" customHeight="1">
      <c r="A36" s="419">
        <v>283</v>
      </c>
      <c r="B36" s="422" t="s">
        <v>837</v>
      </c>
      <c r="C36" s="428" t="s">
        <v>838</v>
      </c>
    </row>
    <row r="37" spans="1:3" ht="52.5" customHeight="1">
      <c r="A37" s="419">
        <v>283</v>
      </c>
      <c r="B37" s="422" t="s">
        <v>839</v>
      </c>
      <c r="C37" s="428" t="s">
        <v>840</v>
      </c>
    </row>
    <row r="38" spans="1:3" ht="42.75" customHeight="1">
      <c r="A38" s="419">
        <v>283</v>
      </c>
      <c r="B38" s="422" t="s">
        <v>841</v>
      </c>
      <c r="C38" s="428" t="s">
        <v>842</v>
      </c>
    </row>
    <row r="39" spans="1:3" s="430" customFormat="1" ht="32.25" customHeight="1">
      <c r="A39" s="419">
        <v>283</v>
      </c>
      <c r="B39" s="422" t="s">
        <v>843</v>
      </c>
      <c r="C39" s="429" t="s">
        <v>844</v>
      </c>
    </row>
    <row r="40" spans="1:3" ht="25.5">
      <c r="A40" s="419">
        <v>283</v>
      </c>
      <c r="B40" s="422" t="s">
        <v>845</v>
      </c>
      <c r="C40" s="423" t="s">
        <v>846</v>
      </c>
    </row>
    <row r="41" spans="1:3" ht="51">
      <c r="A41" s="419">
        <v>283</v>
      </c>
      <c r="B41" s="422" t="s">
        <v>847</v>
      </c>
      <c r="C41" s="423" t="s">
        <v>848</v>
      </c>
    </row>
    <row r="42" spans="1:3" ht="54.75" customHeight="1">
      <c r="A42" s="419">
        <v>283</v>
      </c>
      <c r="B42" s="422" t="s">
        <v>849</v>
      </c>
      <c r="C42" s="423" t="s">
        <v>850</v>
      </c>
    </row>
    <row r="43" spans="1:3" ht="21" customHeight="1">
      <c r="A43" s="419">
        <v>283</v>
      </c>
      <c r="B43" s="422" t="s">
        <v>851</v>
      </c>
      <c r="C43" s="423" t="s">
        <v>852</v>
      </c>
    </row>
    <row r="44" spans="1:3" ht="51">
      <c r="A44" s="419">
        <v>283</v>
      </c>
      <c r="B44" s="422" t="s">
        <v>853</v>
      </c>
      <c r="C44" s="428" t="s">
        <v>854</v>
      </c>
    </row>
    <row r="45" spans="1:3" ht="67.5" customHeight="1">
      <c r="A45" s="419">
        <v>283</v>
      </c>
      <c r="B45" s="422" t="s">
        <v>855</v>
      </c>
      <c r="C45" s="428" t="s">
        <v>856</v>
      </c>
    </row>
    <row r="46" spans="1:3" ht="27.75" customHeight="1">
      <c r="A46" s="419">
        <v>283</v>
      </c>
      <c r="B46" s="422" t="s">
        <v>857</v>
      </c>
      <c r="C46" s="423" t="s">
        <v>858</v>
      </c>
    </row>
    <row r="47" spans="1:3" ht="32.25" customHeight="1">
      <c r="A47" s="419">
        <v>283</v>
      </c>
      <c r="B47" s="422" t="s">
        <v>859</v>
      </c>
      <c r="C47" s="423" t="s">
        <v>860</v>
      </c>
    </row>
    <row r="48" spans="1:3" ht="42" customHeight="1">
      <c r="A48" s="419">
        <v>283</v>
      </c>
      <c r="B48" s="422" t="s">
        <v>861</v>
      </c>
      <c r="C48" s="423" t="s">
        <v>862</v>
      </c>
    </row>
    <row r="49" spans="1:3" s="434" customFormat="1" ht="42" customHeight="1">
      <c r="A49" s="431">
        <v>283</v>
      </c>
      <c r="B49" s="432" t="s">
        <v>863</v>
      </c>
      <c r="C49" s="433" t="s">
        <v>864</v>
      </c>
    </row>
    <row r="50" spans="1:3" ht="21" customHeight="1">
      <c r="A50" s="419">
        <v>283</v>
      </c>
      <c r="B50" s="435" t="s">
        <v>865</v>
      </c>
      <c r="C50" s="436" t="s">
        <v>866</v>
      </c>
    </row>
    <row r="51" spans="1:3" ht="30.75" customHeight="1">
      <c r="A51" s="419">
        <v>283</v>
      </c>
      <c r="B51" s="435" t="s">
        <v>867</v>
      </c>
      <c r="C51" s="436" t="s">
        <v>868</v>
      </c>
    </row>
    <row r="52" spans="1:3" ht="43.5" customHeight="1">
      <c r="A52" s="419">
        <v>283</v>
      </c>
      <c r="B52" s="435" t="s">
        <v>869</v>
      </c>
      <c r="C52" s="423" t="s">
        <v>870</v>
      </c>
    </row>
    <row r="53" spans="1:3" ht="29.25" customHeight="1">
      <c r="A53" s="419">
        <v>283</v>
      </c>
      <c r="B53" s="435" t="s">
        <v>871</v>
      </c>
      <c r="C53" s="436" t="s">
        <v>872</v>
      </c>
    </row>
    <row r="54" spans="1:3" s="439" customFormat="1" ht="27.75" customHeight="1">
      <c r="A54" s="431">
        <v>283</v>
      </c>
      <c r="B54" s="437" t="s">
        <v>873</v>
      </c>
      <c r="C54" s="438" t="s">
        <v>874</v>
      </c>
    </row>
    <row r="55" spans="1:3" ht="55.5" customHeight="1">
      <c r="A55" s="419">
        <v>283</v>
      </c>
      <c r="B55" s="422" t="s">
        <v>875</v>
      </c>
      <c r="C55" s="423" t="s">
        <v>876</v>
      </c>
    </row>
    <row r="56" spans="1:3" ht="54.75" customHeight="1">
      <c r="A56" s="419">
        <v>283</v>
      </c>
      <c r="B56" s="422" t="s">
        <v>877</v>
      </c>
      <c r="C56" s="423" t="s">
        <v>878</v>
      </c>
    </row>
    <row r="57" spans="1:3" ht="69" customHeight="1">
      <c r="A57" s="419">
        <v>283</v>
      </c>
      <c r="B57" s="422" t="s">
        <v>879</v>
      </c>
      <c r="C57" s="423" t="s">
        <v>880</v>
      </c>
    </row>
    <row r="58" spans="1:3" ht="27" customHeight="1">
      <c r="A58" s="419">
        <v>283</v>
      </c>
      <c r="B58" s="422" t="s">
        <v>881</v>
      </c>
      <c r="C58" s="423" t="s">
        <v>882</v>
      </c>
    </row>
    <row r="59" spans="1:3" ht="27.75" customHeight="1">
      <c r="A59" s="419">
        <v>283</v>
      </c>
      <c r="B59" s="422" t="s">
        <v>883</v>
      </c>
      <c r="C59" s="423" t="s">
        <v>884</v>
      </c>
    </row>
    <row r="60" spans="1:3" ht="44.25" customHeight="1">
      <c r="A60" s="419">
        <v>283</v>
      </c>
      <c r="B60" s="422" t="s">
        <v>885</v>
      </c>
      <c r="C60" s="423" t="s">
        <v>886</v>
      </c>
    </row>
    <row r="61" spans="1:3" ht="29.25" customHeight="1">
      <c r="A61" s="419">
        <v>283</v>
      </c>
      <c r="B61" s="435" t="s">
        <v>887</v>
      </c>
      <c r="C61" s="423" t="s">
        <v>888</v>
      </c>
    </row>
    <row r="62" spans="1:3" ht="27.75" customHeight="1">
      <c r="A62" s="419">
        <v>283</v>
      </c>
      <c r="B62" s="422" t="s">
        <v>889</v>
      </c>
      <c r="C62" s="423" t="s">
        <v>890</v>
      </c>
    </row>
    <row r="63" spans="1:3" ht="40.5" customHeight="1">
      <c r="A63" s="419">
        <v>283</v>
      </c>
      <c r="B63" s="422" t="s">
        <v>891</v>
      </c>
      <c r="C63" s="423" t="s">
        <v>892</v>
      </c>
    </row>
    <row r="64" spans="1:3" ht="52.5" customHeight="1">
      <c r="A64" s="419">
        <v>283</v>
      </c>
      <c r="B64" s="422" t="s">
        <v>893</v>
      </c>
      <c r="C64" s="423" t="s">
        <v>894</v>
      </c>
    </row>
    <row r="65" spans="1:3" s="434" customFormat="1" ht="52.5" customHeight="1">
      <c r="A65" s="431">
        <v>283</v>
      </c>
      <c r="B65" s="432" t="s">
        <v>895</v>
      </c>
      <c r="C65" s="433" t="s">
        <v>896</v>
      </c>
    </row>
    <row r="66" spans="1:3" ht="27.75" customHeight="1">
      <c r="A66" s="419">
        <v>283</v>
      </c>
      <c r="B66" s="422" t="s">
        <v>897</v>
      </c>
      <c r="C66" s="423" t="s">
        <v>898</v>
      </c>
    </row>
    <row r="67" spans="1:3" s="434" customFormat="1" ht="52.5" customHeight="1">
      <c r="A67" s="431">
        <v>283</v>
      </c>
      <c r="B67" s="432" t="s">
        <v>899</v>
      </c>
      <c r="C67" s="433" t="s">
        <v>900</v>
      </c>
    </row>
    <row r="68" spans="1:3" s="426" customFormat="1" ht="42" customHeight="1">
      <c r="A68" s="464">
        <v>284</v>
      </c>
      <c r="B68" s="465"/>
      <c r="C68" s="420" t="s">
        <v>901</v>
      </c>
    </row>
    <row r="69" spans="1:3" ht="12.75">
      <c r="A69" s="419">
        <v>284</v>
      </c>
      <c r="B69" s="422" t="s">
        <v>902</v>
      </c>
      <c r="C69" s="423" t="s">
        <v>903</v>
      </c>
    </row>
    <row r="70" spans="1:3" ht="25.5">
      <c r="A70" s="419">
        <v>284</v>
      </c>
      <c r="B70" s="422" t="s">
        <v>904</v>
      </c>
      <c r="C70" s="423" t="s">
        <v>905</v>
      </c>
    </row>
    <row r="71" spans="1:3" ht="24.75" customHeight="1">
      <c r="A71" s="419">
        <v>284</v>
      </c>
      <c r="B71" s="422" t="s">
        <v>906</v>
      </c>
      <c r="C71" s="440" t="s">
        <v>907</v>
      </c>
    </row>
    <row r="72" spans="1:3" ht="30" customHeight="1">
      <c r="A72" s="419">
        <v>284</v>
      </c>
      <c r="B72" s="422" t="s">
        <v>908</v>
      </c>
      <c r="C72" s="423" t="s">
        <v>909</v>
      </c>
    </row>
    <row r="73" spans="1:3" ht="64.5" customHeight="1">
      <c r="A73" s="419">
        <v>284</v>
      </c>
      <c r="B73" s="422" t="s">
        <v>910</v>
      </c>
      <c r="C73" s="423" t="s">
        <v>911</v>
      </c>
    </row>
    <row r="74" spans="1:3" s="426" customFormat="1" ht="30.75" customHeight="1">
      <c r="A74" s="462" t="s">
        <v>261</v>
      </c>
      <c r="B74" s="463"/>
      <c r="C74" s="420" t="s">
        <v>912</v>
      </c>
    </row>
    <row r="75" spans="1:3" ht="27" customHeight="1">
      <c r="A75" s="419">
        <v>285</v>
      </c>
      <c r="B75" s="422" t="s">
        <v>913</v>
      </c>
      <c r="C75" s="423" t="s">
        <v>914</v>
      </c>
    </row>
    <row r="76" spans="1:3" s="439" customFormat="1" ht="42" customHeight="1">
      <c r="A76" s="431">
        <v>285</v>
      </c>
      <c r="B76" s="432" t="s">
        <v>915</v>
      </c>
      <c r="C76" s="433" t="s">
        <v>916</v>
      </c>
    </row>
    <row r="77" spans="1:3" ht="42.75" customHeight="1">
      <c r="A77" s="419">
        <v>285</v>
      </c>
      <c r="B77" s="422" t="s">
        <v>917</v>
      </c>
      <c r="C77" s="423" t="s">
        <v>918</v>
      </c>
    </row>
    <row r="78" spans="1:3" ht="39.75" customHeight="1">
      <c r="A78" s="419">
        <v>285</v>
      </c>
      <c r="B78" s="422" t="s">
        <v>919</v>
      </c>
      <c r="C78" s="423" t="s">
        <v>920</v>
      </c>
    </row>
    <row r="79" spans="1:3" ht="30.75" customHeight="1">
      <c r="A79" s="419">
        <v>285</v>
      </c>
      <c r="B79" s="422" t="s">
        <v>921</v>
      </c>
      <c r="C79" s="423" t="s">
        <v>922</v>
      </c>
    </row>
    <row r="80" spans="1:3" ht="29.25" customHeight="1">
      <c r="A80" s="419">
        <v>285</v>
      </c>
      <c r="B80" s="422" t="s">
        <v>923</v>
      </c>
      <c r="C80" s="423" t="s">
        <v>924</v>
      </c>
    </row>
    <row r="81" spans="1:3" s="434" customFormat="1" ht="71.25" customHeight="1">
      <c r="A81" s="431">
        <v>285</v>
      </c>
      <c r="B81" s="432" t="s">
        <v>925</v>
      </c>
      <c r="C81" s="433" t="s">
        <v>926</v>
      </c>
    </row>
    <row r="82" spans="1:3" ht="35.25" customHeight="1">
      <c r="A82" s="464">
        <v>287</v>
      </c>
      <c r="B82" s="465"/>
      <c r="C82" s="425" t="s">
        <v>487</v>
      </c>
    </row>
    <row r="83" spans="1:3" s="434" customFormat="1" ht="52.5" customHeight="1">
      <c r="A83" s="431">
        <v>287</v>
      </c>
      <c r="B83" s="432" t="s">
        <v>927</v>
      </c>
      <c r="C83" s="433" t="s">
        <v>928</v>
      </c>
    </row>
    <row r="84" spans="1:3" s="426" customFormat="1" ht="31.5" customHeight="1">
      <c r="A84" s="464">
        <v>288</v>
      </c>
      <c r="B84" s="465"/>
      <c r="C84" s="425" t="s">
        <v>929</v>
      </c>
    </row>
    <row r="85" spans="1:3" s="439" customFormat="1" ht="38.25">
      <c r="A85" s="431">
        <v>288</v>
      </c>
      <c r="B85" s="432" t="s">
        <v>930</v>
      </c>
      <c r="C85" s="438" t="s">
        <v>931</v>
      </c>
    </row>
    <row r="86" spans="1:3" s="442" customFormat="1" ht="40.5" customHeight="1">
      <c r="A86" s="431">
        <v>288</v>
      </c>
      <c r="B86" s="432" t="s">
        <v>932</v>
      </c>
      <c r="C86" s="433" t="s">
        <v>933</v>
      </c>
    </row>
    <row r="87" spans="1:3" s="446" customFormat="1" ht="33.75" customHeight="1" hidden="1">
      <c r="A87" s="443">
        <v>288</v>
      </c>
      <c r="B87" s="444" t="s">
        <v>934</v>
      </c>
      <c r="C87" s="445" t="s">
        <v>935</v>
      </c>
    </row>
    <row r="88" spans="1:3" s="441" customFormat="1" ht="33.75" customHeight="1">
      <c r="A88" s="431">
        <v>288</v>
      </c>
      <c r="B88" s="432" t="s">
        <v>936</v>
      </c>
      <c r="C88" s="433" t="s">
        <v>937</v>
      </c>
    </row>
    <row r="89" spans="1:3" ht="29.25" customHeight="1">
      <c r="A89" s="419">
        <v>288</v>
      </c>
      <c r="B89" s="422" t="s">
        <v>938</v>
      </c>
      <c r="C89" s="423" t="s">
        <v>939</v>
      </c>
    </row>
    <row r="90" spans="1:3" ht="53.25" customHeight="1">
      <c r="A90" s="419">
        <v>288</v>
      </c>
      <c r="B90" s="422" t="s">
        <v>940</v>
      </c>
      <c r="C90" s="423" t="s">
        <v>941</v>
      </c>
    </row>
    <row r="91" spans="1:3" s="426" customFormat="1" ht="33" customHeight="1">
      <c r="A91" s="464">
        <v>289</v>
      </c>
      <c r="B91" s="465"/>
      <c r="C91" s="425" t="s">
        <v>942</v>
      </c>
    </row>
    <row r="92" spans="1:3" ht="28.5" customHeight="1">
      <c r="A92" s="419">
        <v>289</v>
      </c>
      <c r="B92" s="447" t="s">
        <v>943</v>
      </c>
      <c r="C92" s="423" t="s">
        <v>944</v>
      </c>
    </row>
    <row r="93" spans="1:3" s="430" customFormat="1" ht="62.25" customHeight="1">
      <c r="A93" s="431">
        <v>289</v>
      </c>
      <c r="B93" s="448" t="s">
        <v>945</v>
      </c>
      <c r="C93" s="433" t="s">
        <v>946</v>
      </c>
    </row>
    <row r="94" spans="1:3" s="426" customFormat="1" ht="30.75" customHeight="1">
      <c r="A94" s="462" t="s">
        <v>265</v>
      </c>
      <c r="B94" s="463"/>
      <c r="C94" s="425" t="s">
        <v>947</v>
      </c>
    </row>
    <row r="95" spans="1:3" s="449" customFormat="1" ht="30.75" customHeight="1">
      <c r="A95" s="431">
        <v>290</v>
      </c>
      <c r="B95" s="437" t="s">
        <v>873</v>
      </c>
      <c r="C95" s="438" t="s">
        <v>874</v>
      </c>
    </row>
    <row r="96" spans="1:3" ht="51.75" customHeight="1">
      <c r="A96" s="419">
        <v>290</v>
      </c>
      <c r="B96" s="422" t="s">
        <v>948</v>
      </c>
      <c r="C96" s="423" t="s">
        <v>949</v>
      </c>
    </row>
    <row r="97" spans="1:3" s="426" customFormat="1" ht="20.25" customHeight="1">
      <c r="A97" s="464">
        <v>291</v>
      </c>
      <c r="B97" s="465"/>
      <c r="C97" s="425" t="s">
        <v>950</v>
      </c>
    </row>
    <row r="98" spans="1:3" s="426" customFormat="1" ht="23.25" customHeight="1">
      <c r="A98" s="464">
        <v>292</v>
      </c>
      <c r="B98" s="465"/>
      <c r="C98" s="420" t="s">
        <v>951</v>
      </c>
    </row>
    <row r="99" spans="1:3" ht="38.25">
      <c r="A99" s="466"/>
      <c r="B99" s="467"/>
      <c r="C99" s="450" t="s">
        <v>952</v>
      </c>
    </row>
    <row r="100" spans="1:3" s="439" customFormat="1" ht="38.25">
      <c r="A100" s="431"/>
      <c r="B100" s="432" t="s">
        <v>953</v>
      </c>
      <c r="C100" s="438" t="s">
        <v>954</v>
      </c>
    </row>
    <row r="101" spans="1:3" s="439" customFormat="1" ht="40.5" customHeight="1">
      <c r="A101" s="431"/>
      <c r="B101" s="432" t="s">
        <v>841</v>
      </c>
      <c r="C101" s="451" t="s">
        <v>842</v>
      </c>
    </row>
    <row r="102" spans="1:3" s="439" customFormat="1" ht="40.5" customHeight="1">
      <c r="A102" s="452"/>
      <c r="B102" s="432" t="s">
        <v>955</v>
      </c>
      <c r="C102" s="451" t="s">
        <v>956</v>
      </c>
    </row>
    <row r="103" spans="1:3" ht="25.5">
      <c r="A103" s="453"/>
      <c r="B103" s="422" t="s">
        <v>957</v>
      </c>
      <c r="C103" s="436" t="s">
        <v>958</v>
      </c>
    </row>
    <row r="104" spans="1:3" ht="25.5">
      <c r="A104" s="453"/>
      <c r="B104" s="422" t="s">
        <v>959</v>
      </c>
      <c r="C104" s="436" t="s">
        <v>960</v>
      </c>
    </row>
    <row r="105" spans="1:3" ht="25.5">
      <c r="A105" s="453"/>
      <c r="B105" s="422" t="s">
        <v>961</v>
      </c>
      <c r="C105" s="436" t="s">
        <v>962</v>
      </c>
    </row>
    <row r="106" spans="1:3" ht="25.5">
      <c r="A106" s="453"/>
      <c r="B106" s="422" t="s">
        <v>963</v>
      </c>
      <c r="C106" s="436" t="s">
        <v>964</v>
      </c>
    </row>
    <row r="107" spans="1:3" ht="23.25" customHeight="1">
      <c r="A107" s="453"/>
      <c r="B107" s="422" t="s">
        <v>965</v>
      </c>
      <c r="C107" s="423" t="s">
        <v>966</v>
      </c>
    </row>
    <row r="108" spans="1:3" ht="52.5" customHeight="1">
      <c r="A108" s="453"/>
      <c r="B108" s="422" t="s">
        <v>967</v>
      </c>
      <c r="C108" s="428" t="s">
        <v>968</v>
      </c>
    </row>
    <row r="109" spans="1:3" ht="60" customHeight="1">
      <c r="A109" s="453"/>
      <c r="B109" s="422" t="s">
        <v>969</v>
      </c>
      <c r="C109" s="428" t="s">
        <v>970</v>
      </c>
    </row>
    <row r="110" spans="1:3" ht="40.5" customHeight="1">
      <c r="A110" s="419"/>
      <c r="B110" s="422" t="s">
        <v>971</v>
      </c>
      <c r="C110" s="423" t="s">
        <v>972</v>
      </c>
    </row>
    <row r="111" spans="1:3" ht="42.75" customHeight="1">
      <c r="A111" s="419"/>
      <c r="B111" s="422" t="s">
        <v>973</v>
      </c>
      <c r="C111" s="423" t="s">
        <v>974</v>
      </c>
    </row>
    <row r="112" spans="1:3" ht="28.5" customHeight="1">
      <c r="A112" s="419"/>
      <c r="B112" s="422" t="s">
        <v>975</v>
      </c>
      <c r="C112" s="433" t="s">
        <v>976</v>
      </c>
    </row>
    <row r="113" spans="1:3" ht="54.75" customHeight="1">
      <c r="A113" s="453"/>
      <c r="B113" s="422" t="s">
        <v>977</v>
      </c>
      <c r="C113" s="423" t="s">
        <v>978</v>
      </c>
    </row>
    <row r="114" spans="1:3" ht="25.5">
      <c r="A114" s="453"/>
      <c r="B114" s="422" t="s">
        <v>979</v>
      </c>
      <c r="C114" s="423" t="s">
        <v>980</v>
      </c>
    </row>
    <row r="115" spans="1:3" ht="25.5">
      <c r="A115" s="453"/>
      <c r="B115" s="422" t="s">
        <v>981</v>
      </c>
      <c r="C115" s="423" t="s">
        <v>982</v>
      </c>
    </row>
    <row r="116" spans="1:3" ht="38.25">
      <c r="A116" s="453"/>
      <c r="B116" s="422" t="s">
        <v>824</v>
      </c>
      <c r="C116" s="423" t="s">
        <v>825</v>
      </c>
    </row>
    <row r="117" spans="1:3" ht="38.25">
      <c r="A117" s="453"/>
      <c r="B117" s="422" t="s">
        <v>983</v>
      </c>
      <c r="C117" s="423" t="s">
        <v>984</v>
      </c>
    </row>
    <row r="118" spans="1:3" s="439" customFormat="1" ht="51">
      <c r="A118" s="452"/>
      <c r="B118" s="432" t="s">
        <v>985</v>
      </c>
      <c r="C118" s="433" t="s">
        <v>986</v>
      </c>
    </row>
    <row r="119" spans="1:3" ht="25.5">
      <c r="A119" s="453"/>
      <c r="B119" s="422" t="s">
        <v>800</v>
      </c>
      <c r="C119" s="423" t="s">
        <v>801</v>
      </c>
    </row>
    <row r="120" spans="1:3" ht="23.25" customHeight="1">
      <c r="A120" s="453"/>
      <c r="B120" s="422" t="s">
        <v>987</v>
      </c>
      <c r="C120" s="423" t="s">
        <v>988</v>
      </c>
    </row>
    <row r="121" spans="1:3" ht="48.75" customHeight="1">
      <c r="A121" s="453"/>
      <c r="B121" s="422" t="s">
        <v>989</v>
      </c>
      <c r="C121" s="423" t="s">
        <v>990</v>
      </c>
    </row>
    <row r="122" spans="1:3" ht="23.25" customHeight="1">
      <c r="A122" s="453"/>
      <c r="B122" s="422" t="s">
        <v>991</v>
      </c>
      <c r="C122" s="423" t="s">
        <v>992</v>
      </c>
    </row>
    <row r="123" spans="1:3" ht="23.25" customHeight="1">
      <c r="A123" s="453"/>
      <c r="B123" s="422" t="s">
        <v>993</v>
      </c>
      <c r="C123" s="423" t="s">
        <v>994</v>
      </c>
    </row>
    <row r="124" spans="1:3" s="434" customFormat="1" ht="23.25" customHeight="1">
      <c r="A124" s="452"/>
      <c r="B124" s="432" t="s">
        <v>995</v>
      </c>
      <c r="C124" s="433" t="s">
        <v>996</v>
      </c>
    </row>
    <row r="125" spans="1:3" ht="33.75" customHeight="1">
      <c r="A125" s="453"/>
      <c r="B125" s="435" t="s">
        <v>871</v>
      </c>
      <c r="C125" s="436" t="s">
        <v>872</v>
      </c>
    </row>
    <row r="126" spans="1:3" ht="39" customHeight="1">
      <c r="A126" s="419"/>
      <c r="B126" s="435" t="s">
        <v>997</v>
      </c>
      <c r="C126" s="423" t="s">
        <v>998</v>
      </c>
    </row>
    <row r="127" spans="1:3" s="430" customFormat="1" ht="39" customHeight="1">
      <c r="A127" s="453"/>
      <c r="B127" s="435" t="s">
        <v>999</v>
      </c>
      <c r="C127" s="456" t="s">
        <v>1000</v>
      </c>
    </row>
    <row r="128" spans="1:3" ht="23.25" customHeight="1">
      <c r="A128" s="453"/>
      <c r="B128" s="422" t="s">
        <v>1001</v>
      </c>
      <c r="C128" s="423" t="s">
        <v>1002</v>
      </c>
    </row>
    <row r="129" spans="1:3" ht="31.5" customHeight="1">
      <c r="A129" s="453"/>
      <c r="B129" s="422" t="s">
        <v>1003</v>
      </c>
      <c r="C129" s="423" t="s">
        <v>1004</v>
      </c>
    </row>
    <row r="130" spans="1:3" ht="23.25" customHeight="1">
      <c r="A130" s="453"/>
      <c r="B130" s="422" t="s">
        <v>1005</v>
      </c>
      <c r="C130" s="423" t="s">
        <v>1006</v>
      </c>
    </row>
    <row r="131" spans="1:3" ht="23.25" customHeight="1">
      <c r="A131" s="453"/>
      <c r="B131" s="422" t="s">
        <v>1007</v>
      </c>
      <c r="C131" s="423" t="s">
        <v>1008</v>
      </c>
    </row>
    <row r="132" spans="1:3" s="427" customFormat="1" ht="30" customHeight="1">
      <c r="A132" s="453"/>
      <c r="B132" s="422" t="s">
        <v>1009</v>
      </c>
      <c r="C132" s="423" t="s">
        <v>1010</v>
      </c>
    </row>
    <row r="133" spans="1:3" ht="32.25" customHeight="1">
      <c r="A133" s="453"/>
      <c r="B133" s="422" t="s">
        <v>1011</v>
      </c>
      <c r="C133" s="423" t="s">
        <v>1012</v>
      </c>
    </row>
    <row r="134" spans="1:3" ht="42" customHeight="1">
      <c r="A134" s="453"/>
      <c r="B134" s="422" t="s">
        <v>1013</v>
      </c>
      <c r="C134" s="423" t="s">
        <v>1014</v>
      </c>
    </row>
    <row r="135" spans="1:3" ht="29.25" customHeight="1">
      <c r="A135" s="453"/>
      <c r="B135" s="422" t="s">
        <v>1015</v>
      </c>
      <c r="C135" s="423" t="s">
        <v>1016</v>
      </c>
    </row>
    <row r="136" spans="1:3" ht="30.75" customHeight="1">
      <c r="A136" s="453"/>
      <c r="B136" s="422" t="s">
        <v>1017</v>
      </c>
      <c r="C136" s="423" t="s">
        <v>1018</v>
      </c>
    </row>
    <row r="137" spans="1:3" ht="30.75" customHeight="1">
      <c r="A137" s="453"/>
      <c r="B137" s="422" t="s">
        <v>1019</v>
      </c>
      <c r="C137" s="423" t="s">
        <v>1020</v>
      </c>
    </row>
    <row r="138" spans="1:3" ht="27.75" customHeight="1">
      <c r="A138" s="453"/>
      <c r="B138" s="422" t="s">
        <v>1021</v>
      </c>
      <c r="C138" s="423" t="s">
        <v>1022</v>
      </c>
    </row>
    <row r="139" spans="1:3" ht="53.25" customHeight="1">
      <c r="A139" s="453"/>
      <c r="B139" s="422" t="s">
        <v>1023</v>
      </c>
      <c r="C139" s="423" t="s">
        <v>1024</v>
      </c>
    </row>
    <row r="140" spans="1:3" s="430" customFormat="1" ht="39.75" customHeight="1">
      <c r="A140" s="453"/>
      <c r="B140" s="432" t="s">
        <v>1025</v>
      </c>
      <c r="C140" s="433" t="s">
        <v>1026</v>
      </c>
    </row>
    <row r="141" spans="1:3" s="430" customFormat="1" ht="26.25" customHeight="1">
      <c r="A141" s="453"/>
      <c r="B141" s="432" t="s">
        <v>1027</v>
      </c>
      <c r="C141" s="433" t="s">
        <v>1028</v>
      </c>
    </row>
    <row r="142" spans="1:3" ht="42" customHeight="1">
      <c r="A142" s="453"/>
      <c r="B142" s="422" t="s">
        <v>1029</v>
      </c>
      <c r="C142" s="423" t="s">
        <v>1030</v>
      </c>
    </row>
    <row r="143" spans="1:3" ht="28.5" customHeight="1">
      <c r="A143" s="453"/>
      <c r="B143" s="422" t="s">
        <v>1031</v>
      </c>
      <c r="C143" s="423" t="s">
        <v>1032</v>
      </c>
    </row>
    <row r="144" spans="1:3" ht="28.5" customHeight="1">
      <c r="A144" s="453"/>
      <c r="B144" s="422" t="s">
        <v>1033</v>
      </c>
      <c r="C144" s="423" t="s">
        <v>1034</v>
      </c>
    </row>
    <row r="145" spans="1:3" ht="28.5" customHeight="1">
      <c r="A145" s="453"/>
      <c r="B145" s="422" t="s">
        <v>1035</v>
      </c>
      <c r="C145" s="423" t="s">
        <v>1036</v>
      </c>
    </row>
    <row r="146" spans="1:3" ht="31.5" customHeight="1">
      <c r="A146" s="453"/>
      <c r="B146" s="422" t="s">
        <v>1037</v>
      </c>
      <c r="C146" s="423" t="s">
        <v>1038</v>
      </c>
    </row>
    <row r="147" spans="1:3" ht="25.5" customHeight="1">
      <c r="A147" s="468" t="s">
        <v>1039</v>
      </c>
      <c r="B147" s="468"/>
      <c r="C147" s="468"/>
    </row>
    <row r="148" spans="1:3" ht="81.75" customHeight="1">
      <c r="A148" s="469" t="s">
        <v>1040</v>
      </c>
      <c r="B148" s="470"/>
      <c r="C148" s="470"/>
    </row>
  </sheetData>
  <sheetProtection/>
  <mergeCells count="24">
    <mergeCell ref="A94:B94"/>
    <mergeCell ref="A97:B97"/>
    <mergeCell ref="A98:B98"/>
    <mergeCell ref="A99:B99"/>
    <mergeCell ref="A147:C147"/>
    <mergeCell ref="A148:C148"/>
    <mergeCell ref="A30:B30"/>
    <mergeCell ref="A68:B68"/>
    <mergeCell ref="A74:B74"/>
    <mergeCell ref="A82:B82"/>
    <mergeCell ref="A84:B84"/>
    <mergeCell ref="A91:B91"/>
    <mergeCell ref="A13:B13"/>
    <mergeCell ref="A19:B19"/>
    <mergeCell ref="A21:B21"/>
    <mergeCell ref="A23:B23"/>
    <mergeCell ref="A25:B25"/>
    <mergeCell ref="A29:B29"/>
    <mergeCell ref="A5:C5"/>
    <mergeCell ref="A6:B6"/>
    <mergeCell ref="A7:B7"/>
    <mergeCell ref="C7:C8"/>
    <mergeCell ref="A9:B9"/>
    <mergeCell ref="A11:B11"/>
  </mergeCells>
  <printOptions/>
  <pageMargins left="1.1023622047244095" right="0.31496062992125984" top="0.5511811023622047" bottom="0.15748031496062992" header="0.31496062992125984" footer="0.31496062992125984"/>
  <pageSetup fitToHeight="8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812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64.875" style="64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3.75390625" style="3" customWidth="1"/>
    <col min="8" max="8" width="6.125" style="3" hidden="1" customWidth="1"/>
    <col min="9" max="9" width="10.25390625" style="3" hidden="1" customWidth="1"/>
    <col min="10" max="10" width="13.25390625" style="36" hidden="1" customWidth="1"/>
    <col min="11" max="11" width="11.625" style="0" hidden="1" customWidth="1"/>
    <col min="12" max="12" width="13.25390625" style="0" hidden="1" customWidth="1"/>
    <col min="13" max="13" width="11.375" style="0" hidden="1" customWidth="1"/>
    <col min="14" max="14" width="5.25390625" style="0" hidden="1" customWidth="1"/>
    <col min="15" max="15" width="14.625" style="0" hidden="1" customWidth="1"/>
    <col min="16" max="16" width="9.125" style="0" hidden="1" customWidth="1"/>
  </cols>
  <sheetData>
    <row r="1" spans="6:7" ht="12.75">
      <c r="F1" s="16" t="s">
        <v>1042</v>
      </c>
      <c r="G1" s="35"/>
    </row>
    <row r="2" spans="6:7" ht="12.75">
      <c r="F2" s="4" t="s">
        <v>1053</v>
      </c>
      <c r="G2" s="35"/>
    </row>
    <row r="3" spans="6:7" ht="12.75">
      <c r="F3" s="4" t="s">
        <v>269</v>
      </c>
      <c r="G3" s="35"/>
    </row>
    <row r="4" spans="6:7" ht="12.75">
      <c r="F4" s="4" t="s">
        <v>270</v>
      </c>
      <c r="G4" s="35"/>
    </row>
    <row r="5" spans="6:9" ht="12.75">
      <c r="F5" s="471" t="s">
        <v>1052</v>
      </c>
      <c r="G5" s="471"/>
      <c r="H5" s="5"/>
      <c r="I5" s="5"/>
    </row>
    <row r="6" spans="3:6" ht="12.75">
      <c r="C6" s="6" t="s">
        <v>509</v>
      </c>
      <c r="F6" s="4"/>
    </row>
    <row r="7" spans="3:6" ht="12.75">
      <c r="C7" s="6" t="s">
        <v>271</v>
      </c>
      <c r="F7" s="7"/>
    </row>
    <row r="8" spans="3:6" ht="12.75">
      <c r="C8" s="6" t="s">
        <v>272</v>
      </c>
      <c r="F8" s="7"/>
    </row>
    <row r="9" ht="12.75">
      <c r="C9" s="8" t="s">
        <v>273</v>
      </c>
    </row>
    <row r="10" spans="2:9" ht="16.5" thickBot="1">
      <c r="B10" s="9"/>
      <c r="G10" s="5"/>
      <c r="H10" s="5"/>
      <c r="I10" s="5"/>
    </row>
    <row r="11" spans="1:15" ht="15" thickBot="1">
      <c r="A11" s="264" t="s">
        <v>274</v>
      </c>
      <c r="B11" s="194"/>
      <c r="C11" s="131" t="s">
        <v>621</v>
      </c>
      <c r="D11" s="132"/>
      <c r="E11" s="132"/>
      <c r="F11" s="138"/>
      <c r="G11" s="136" t="s">
        <v>276</v>
      </c>
      <c r="H11" s="10" t="s">
        <v>277</v>
      </c>
      <c r="I11" s="10" t="s">
        <v>278</v>
      </c>
      <c r="O11" s="63"/>
    </row>
    <row r="12" spans="1:9" ht="42" customHeight="1" thickBot="1">
      <c r="A12" s="263"/>
      <c r="B12" s="261" t="s">
        <v>279</v>
      </c>
      <c r="C12" s="193" t="s">
        <v>280</v>
      </c>
      <c r="D12" s="133" t="s">
        <v>281</v>
      </c>
      <c r="E12" s="133" t="s">
        <v>282</v>
      </c>
      <c r="F12" s="163" t="s">
        <v>508</v>
      </c>
      <c r="G12" s="137" t="s">
        <v>620</v>
      </c>
      <c r="H12" s="11" t="s">
        <v>456</v>
      </c>
      <c r="I12" s="11" t="s">
        <v>457</v>
      </c>
    </row>
    <row r="13" spans="1:13" s="13" customFormat="1" ht="15.75">
      <c r="A13" s="262" t="s">
        <v>458</v>
      </c>
      <c r="B13" s="197"/>
      <c r="C13" s="329" t="s">
        <v>459</v>
      </c>
      <c r="D13" s="348"/>
      <c r="E13" s="348"/>
      <c r="F13" s="349"/>
      <c r="G13" s="144">
        <f>SUM(G14+G18+G25+G47+G63+G66)</f>
        <v>185694.6</v>
      </c>
      <c r="H13" s="12" t="e">
        <f>SUM(H14+H18+H25+H44+H47+H63+H66+#REF!+H57)</f>
        <v>#REF!</v>
      </c>
      <c r="I13" s="12" t="e">
        <f>SUM(H13/G13*100)</f>
        <v>#REF!</v>
      </c>
      <c r="K13" s="66">
        <f>SUM(J14:J88)</f>
        <v>185694.60000000003</v>
      </c>
      <c r="L13" s="13">
        <f>SUM('ведомствен.2014'!G12+'ведомствен.2014'!G36+'ведомствен.2014'!G55+'ведомствен.2014'!G342)</f>
        <v>185694.6</v>
      </c>
      <c r="M13" s="66">
        <f>SUM(L13-K13)</f>
        <v>-2.9103830456733704E-11</v>
      </c>
    </row>
    <row r="14" spans="1:15" ht="28.5">
      <c r="A14" s="233" t="s">
        <v>460</v>
      </c>
      <c r="B14" s="198"/>
      <c r="C14" s="282" t="s">
        <v>459</v>
      </c>
      <c r="D14" s="283" t="s">
        <v>461</v>
      </c>
      <c r="E14" s="283"/>
      <c r="F14" s="284"/>
      <c r="G14" s="145">
        <f>SUM(G15)</f>
        <v>1567.4</v>
      </c>
      <c r="H14" s="14">
        <f>SUM(H15)</f>
        <v>983.5</v>
      </c>
      <c r="I14" s="14">
        <f>SUM(H14/G14*100)</f>
        <v>62.74722470333035</v>
      </c>
      <c r="J14"/>
      <c r="O14" s="63" t="e">
        <f>SUM(G14+G18+G25+G47+#REF!)</f>
        <v>#REF!</v>
      </c>
    </row>
    <row r="15" spans="1:10" ht="42.75">
      <c r="A15" s="233" t="s">
        <v>98</v>
      </c>
      <c r="B15" s="198"/>
      <c r="C15" s="282" t="s">
        <v>459</v>
      </c>
      <c r="D15" s="283" t="s">
        <v>461</v>
      </c>
      <c r="E15" s="283" t="s">
        <v>99</v>
      </c>
      <c r="F15" s="284"/>
      <c r="G15" s="145">
        <f>SUM(G17)</f>
        <v>1567.4</v>
      </c>
      <c r="H15" s="14">
        <f>SUM(H17:H17)</f>
        <v>983.5</v>
      </c>
      <c r="I15" s="14">
        <f aca="true" t="shared" si="0" ref="I15:I55">SUM(H15/G15*100)</f>
        <v>62.74722470333035</v>
      </c>
      <c r="J15"/>
    </row>
    <row r="16" spans="1:10" ht="15">
      <c r="A16" s="233" t="s">
        <v>100</v>
      </c>
      <c r="B16" s="198"/>
      <c r="C16" s="282" t="s">
        <v>459</v>
      </c>
      <c r="D16" s="283" t="s">
        <v>461</v>
      </c>
      <c r="E16" s="283" t="s">
        <v>101</v>
      </c>
      <c r="F16" s="284"/>
      <c r="G16" s="145">
        <f>SUM(G17)</f>
        <v>1567.4</v>
      </c>
      <c r="H16" s="14">
        <f>SUM(H17)</f>
        <v>983.5</v>
      </c>
      <c r="I16" s="14">
        <f t="shared" si="0"/>
        <v>62.74722470333035</v>
      </c>
      <c r="J16"/>
    </row>
    <row r="17" spans="1:10" ht="42.75">
      <c r="A17" s="233" t="s">
        <v>494</v>
      </c>
      <c r="B17" s="198"/>
      <c r="C17" s="282" t="s">
        <v>459</v>
      </c>
      <c r="D17" s="283" t="s">
        <v>461</v>
      </c>
      <c r="E17" s="283" t="s">
        <v>101</v>
      </c>
      <c r="F17" s="284" t="s">
        <v>495</v>
      </c>
      <c r="G17" s="145">
        <v>1567.4</v>
      </c>
      <c r="H17" s="14">
        <v>983.5</v>
      </c>
      <c r="I17" s="14">
        <f t="shared" si="0"/>
        <v>62.74722470333035</v>
      </c>
      <c r="J17" s="36">
        <f>SUM('ведомствен.2014'!G16)</f>
        <v>1567.4</v>
      </c>
    </row>
    <row r="18" spans="1:10" ht="42.75">
      <c r="A18" s="233" t="s">
        <v>104</v>
      </c>
      <c r="B18" s="198"/>
      <c r="C18" s="282" t="s">
        <v>459</v>
      </c>
      <c r="D18" s="283" t="s">
        <v>105</v>
      </c>
      <c r="E18" s="283"/>
      <c r="F18" s="284"/>
      <c r="G18" s="145">
        <f>SUM(G19)</f>
        <v>11460.8</v>
      </c>
      <c r="H18" s="14">
        <f>SUM(H19)</f>
        <v>8231.8</v>
      </c>
      <c r="I18" s="14">
        <f t="shared" si="0"/>
        <v>71.82570152170878</v>
      </c>
      <c r="J18"/>
    </row>
    <row r="19" spans="1:10" ht="42.75">
      <c r="A19" s="233" t="s">
        <v>98</v>
      </c>
      <c r="B19" s="198"/>
      <c r="C19" s="282" t="s">
        <v>459</v>
      </c>
      <c r="D19" s="283" t="s">
        <v>105</v>
      </c>
      <c r="E19" s="283" t="s">
        <v>99</v>
      </c>
      <c r="F19" s="285"/>
      <c r="G19" s="145">
        <f>SUM(G20+G23)</f>
        <v>11460.8</v>
      </c>
      <c r="H19" s="14">
        <f>SUM(H20+H23)</f>
        <v>8231.8</v>
      </c>
      <c r="I19" s="14">
        <f t="shared" si="0"/>
        <v>71.82570152170878</v>
      </c>
      <c r="J19"/>
    </row>
    <row r="20" spans="1:10" ht="15">
      <c r="A20" s="233" t="s">
        <v>106</v>
      </c>
      <c r="B20" s="198"/>
      <c r="C20" s="282" t="s">
        <v>107</v>
      </c>
      <c r="D20" s="283" t="s">
        <v>105</v>
      </c>
      <c r="E20" s="283" t="s">
        <v>108</v>
      </c>
      <c r="F20" s="285"/>
      <c r="G20" s="145">
        <f>SUM(G21)+G22</f>
        <v>11460.8</v>
      </c>
      <c r="H20" s="14">
        <f>SUM(H21)</f>
        <v>8068.7</v>
      </c>
      <c r="I20" s="14">
        <f t="shared" si="0"/>
        <v>70.40258969705431</v>
      </c>
      <c r="J20"/>
    </row>
    <row r="21" spans="1:10" ht="42.75">
      <c r="A21" s="233" t="s">
        <v>494</v>
      </c>
      <c r="B21" s="198"/>
      <c r="C21" s="282" t="s">
        <v>459</v>
      </c>
      <c r="D21" s="283" t="s">
        <v>105</v>
      </c>
      <c r="E21" s="283" t="s">
        <v>108</v>
      </c>
      <c r="F21" s="284" t="s">
        <v>495</v>
      </c>
      <c r="G21" s="145">
        <v>11460.8</v>
      </c>
      <c r="H21" s="14">
        <v>8068.7</v>
      </c>
      <c r="I21" s="14">
        <f t="shared" si="0"/>
        <v>70.40258969705431</v>
      </c>
      <c r="J21" s="36">
        <f>SUM('ведомствен.2014'!G20)</f>
        <v>11460.800000000001</v>
      </c>
    </row>
    <row r="22" spans="1:10" ht="15" hidden="1">
      <c r="A22" s="233" t="s">
        <v>499</v>
      </c>
      <c r="B22" s="198"/>
      <c r="C22" s="282" t="s">
        <v>459</v>
      </c>
      <c r="D22" s="283" t="s">
        <v>105</v>
      </c>
      <c r="E22" s="283" t="s">
        <v>108</v>
      </c>
      <c r="F22" s="284" t="s">
        <v>119</v>
      </c>
      <c r="G22" s="146"/>
      <c r="H22" s="14"/>
      <c r="I22" s="14"/>
      <c r="J22" s="36">
        <f>SUM('ведомствен.2014'!G21)</f>
        <v>0</v>
      </c>
    </row>
    <row r="23" spans="1:10" ht="28.5" hidden="1">
      <c r="A23" s="233" t="s">
        <v>109</v>
      </c>
      <c r="B23" s="198"/>
      <c r="C23" s="282" t="s">
        <v>107</v>
      </c>
      <c r="D23" s="283" t="s">
        <v>105</v>
      </c>
      <c r="E23" s="283" t="s">
        <v>110</v>
      </c>
      <c r="F23" s="284"/>
      <c r="G23" s="146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233" t="s">
        <v>102</v>
      </c>
      <c r="B24" s="198"/>
      <c r="C24" s="282" t="s">
        <v>107</v>
      </c>
      <c r="D24" s="283" t="s">
        <v>105</v>
      </c>
      <c r="E24" s="283" t="s">
        <v>110</v>
      </c>
      <c r="F24" s="284" t="s">
        <v>103</v>
      </c>
      <c r="G24" s="146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233" t="s">
        <v>255</v>
      </c>
      <c r="B25" s="198"/>
      <c r="C25" s="282" t="s">
        <v>459</v>
      </c>
      <c r="D25" s="283" t="s">
        <v>121</v>
      </c>
      <c r="E25" s="283"/>
      <c r="F25" s="284"/>
      <c r="G25" s="145">
        <f>SUM(G26)</f>
        <v>96305.40000000001</v>
      </c>
      <c r="H25" s="14">
        <f>SUM(H26)+H41+H39</f>
        <v>52319.90000000001</v>
      </c>
      <c r="I25" s="14">
        <f t="shared" si="0"/>
        <v>54.32706784873953</v>
      </c>
      <c r="J25"/>
    </row>
    <row r="26" spans="1:10" ht="42.75">
      <c r="A26" s="233" t="s">
        <v>98</v>
      </c>
      <c r="B26" s="198"/>
      <c r="C26" s="282" t="s">
        <v>459</v>
      </c>
      <c r="D26" s="283" t="s">
        <v>121</v>
      </c>
      <c r="E26" s="283" t="s">
        <v>99</v>
      </c>
      <c r="F26" s="285"/>
      <c r="G26" s="145">
        <f>SUM(G27+G42+G30+G33+G36+G39)</f>
        <v>96305.40000000001</v>
      </c>
      <c r="H26" s="14">
        <f>SUM(H27+H37)</f>
        <v>51899.200000000004</v>
      </c>
      <c r="I26" s="14">
        <f t="shared" si="0"/>
        <v>53.890228377640305</v>
      </c>
      <c r="J26"/>
    </row>
    <row r="27" spans="1:10" ht="15">
      <c r="A27" s="233" t="s">
        <v>106</v>
      </c>
      <c r="B27" s="198"/>
      <c r="C27" s="282" t="s">
        <v>459</v>
      </c>
      <c r="D27" s="283" t="s">
        <v>121</v>
      </c>
      <c r="E27" s="283" t="s">
        <v>108</v>
      </c>
      <c r="F27" s="285"/>
      <c r="G27" s="145">
        <f>SUM(G28+G29)</f>
        <v>92995.40000000001</v>
      </c>
      <c r="H27" s="14">
        <f>SUM(H28:H28+H29+H31+H34)+H30</f>
        <v>51161.8</v>
      </c>
      <c r="I27" s="14">
        <f t="shared" si="0"/>
        <v>55.01540936433415</v>
      </c>
      <c r="J27"/>
    </row>
    <row r="28" spans="1:10" ht="42.75">
      <c r="A28" s="233" t="s">
        <v>494</v>
      </c>
      <c r="B28" s="198"/>
      <c r="C28" s="282" t="s">
        <v>459</v>
      </c>
      <c r="D28" s="283" t="s">
        <v>121</v>
      </c>
      <c r="E28" s="283" t="s">
        <v>108</v>
      </c>
      <c r="F28" s="284" t="s">
        <v>495</v>
      </c>
      <c r="G28" s="145">
        <v>92965.3</v>
      </c>
      <c r="H28" s="14">
        <v>50612.1</v>
      </c>
      <c r="I28" s="14">
        <f t="shared" si="0"/>
        <v>54.44192618105895</v>
      </c>
      <c r="J28" s="36">
        <f>SUM('ведомствен.2014'!G59)</f>
        <v>92965.29999999999</v>
      </c>
    </row>
    <row r="29" spans="1:10" ht="15">
      <c r="A29" s="233" t="s">
        <v>499</v>
      </c>
      <c r="B29" s="198"/>
      <c r="C29" s="282" t="s">
        <v>459</v>
      </c>
      <c r="D29" s="283" t="s">
        <v>121</v>
      </c>
      <c r="E29" s="283" t="s">
        <v>108</v>
      </c>
      <c r="F29" s="284" t="s">
        <v>119</v>
      </c>
      <c r="G29" s="146">
        <v>30.1</v>
      </c>
      <c r="H29" s="14">
        <v>507.8</v>
      </c>
      <c r="I29" s="14">
        <f t="shared" si="0"/>
        <v>1687.043189368771</v>
      </c>
      <c r="J29" s="36">
        <f>SUM('ведомствен.2014'!G60)</f>
        <v>30.1</v>
      </c>
    </row>
    <row r="30" spans="1:9" ht="42.75">
      <c r="A30" s="233" t="s">
        <v>125</v>
      </c>
      <c r="B30" s="198"/>
      <c r="C30" s="282" t="s">
        <v>459</v>
      </c>
      <c r="D30" s="283" t="s">
        <v>121</v>
      </c>
      <c r="E30" s="283" t="s">
        <v>126</v>
      </c>
      <c r="F30" s="284"/>
      <c r="G30" s="145">
        <f>SUM(G31:G32)</f>
        <v>1392.4</v>
      </c>
      <c r="H30" s="14"/>
      <c r="I30" s="14">
        <f t="shared" si="0"/>
        <v>0</v>
      </c>
    </row>
    <row r="31" spans="1:10" ht="42.75">
      <c r="A31" s="233" t="s">
        <v>494</v>
      </c>
      <c r="B31" s="198"/>
      <c r="C31" s="282" t="s">
        <v>459</v>
      </c>
      <c r="D31" s="283" t="s">
        <v>121</v>
      </c>
      <c r="E31" s="283" t="s">
        <v>126</v>
      </c>
      <c r="F31" s="284" t="s">
        <v>495</v>
      </c>
      <c r="G31" s="145">
        <v>1366.4</v>
      </c>
      <c r="H31" s="14">
        <v>41.9</v>
      </c>
      <c r="I31" s="14">
        <f t="shared" si="0"/>
        <v>3.066451990632318</v>
      </c>
      <c r="J31" s="36">
        <f>SUM('ведомствен.2014'!G62)</f>
        <v>1366.4</v>
      </c>
    </row>
    <row r="32" spans="1:10" ht="15">
      <c r="A32" s="233" t="s">
        <v>499</v>
      </c>
      <c r="B32" s="198"/>
      <c r="C32" s="282" t="s">
        <v>459</v>
      </c>
      <c r="D32" s="283" t="s">
        <v>121</v>
      </c>
      <c r="E32" s="283" t="s">
        <v>126</v>
      </c>
      <c r="F32" s="284" t="s">
        <v>119</v>
      </c>
      <c r="G32" s="146">
        <v>26</v>
      </c>
      <c r="H32" s="14"/>
      <c r="I32" s="14">
        <f>SUM(H32/G32*100)</f>
        <v>0</v>
      </c>
      <c r="J32" s="36">
        <f>SUM('ведомствен.2014'!G63)</f>
        <v>26</v>
      </c>
    </row>
    <row r="33" spans="1:9" ht="42.75">
      <c r="A33" s="233" t="s">
        <v>382</v>
      </c>
      <c r="B33" s="198"/>
      <c r="C33" s="282" t="s">
        <v>459</v>
      </c>
      <c r="D33" s="283" t="s">
        <v>121</v>
      </c>
      <c r="E33" s="283" t="s">
        <v>383</v>
      </c>
      <c r="F33" s="284"/>
      <c r="G33" s="145">
        <f>SUM(G34:G35)</f>
        <v>93.8</v>
      </c>
      <c r="H33" s="14"/>
      <c r="I33" s="14"/>
    </row>
    <row r="34" spans="1:10" ht="42.75">
      <c r="A34" s="233" t="s">
        <v>494</v>
      </c>
      <c r="B34" s="198"/>
      <c r="C34" s="282" t="s">
        <v>459</v>
      </c>
      <c r="D34" s="283" t="s">
        <v>121</v>
      </c>
      <c r="E34" s="283" t="s">
        <v>383</v>
      </c>
      <c r="F34" s="284" t="s">
        <v>495</v>
      </c>
      <c r="G34" s="145">
        <v>72.3</v>
      </c>
      <c r="H34" s="14"/>
      <c r="I34" s="14">
        <f t="shared" si="0"/>
        <v>0</v>
      </c>
      <c r="J34" s="36">
        <f>SUM('ведомствен.2014'!G65)</f>
        <v>72.3</v>
      </c>
    </row>
    <row r="35" spans="1:10" ht="15">
      <c r="A35" s="233" t="s">
        <v>499</v>
      </c>
      <c r="B35" s="198"/>
      <c r="C35" s="282" t="s">
        <v>459</v>
      </c>
      <c r="D35" s="283" t="s">
        <v>121</v>
      </c>
      <c r="E35" s="283" t="s">
        <v>383</v>
      </c>
      <c r="F35" s="284" t="s">
        <v>119</v>
      </c>
      <c r="G35" s="146">
        <v>21.5</v>
      </c>
      <c r="H35" s="14"/>
      <c r="I35" s="14"/>
      <c r="J35" s="36">
        <f>SUM('ведомствен.2014'!G66)</f>
        <v>21.5</v>
      </c>
    </row>
    <row r="36" spans="1:9" ht="28.5">
      <c r="A36" s="234" t="s">
        <v>60</v>
      </c>
      <c r="B36" s="199"/>
      <c r="C36" s="292" t="s">
        <v>459</v>
      </c>
      <c r="D36" s="288" t="s">
        <v>121</v>
      </c>
      <c r="E36" s="288" t="s">
        <v>61</v>
      </c>
      <c r="F36" s="285"/>
      <c r="G36" s="145">
        <f>SUM(G37:G38)</f>
        <v>179.6</v>
      </c>
      <c r="H36" s="14"/>
      <c r="I36" s="14"/>
    </row>
    <row r="37" spans="1:10" ht="42.75">
      <c r="A37" s="233" t="s">
        <v>494</v>
      </c>
      <c r="B37" s="198"/>
      <c r="C37" s="282" t="s">
        <v>459</v>
      </c>
      <c r="D37" s="283" t="s">
        <v>121</v>
      </c>
      <c r="E37" s="288" t="s">
        <v>61</v>
      </c>
      <c r="F37" s="284" t="s">
        <v>495</v>
      </c>
      <c r="G37" s="145">
        <v>140</v>
      </c>
      <c r="H37" s="14">
        <f>SUM(H38)</f>
        <v>737.4</v>
      </c>
      <c r="I37" s="14">
        <f t="shared" si="0"/>
        <v>526.7142857142857</v>
      </c>
      <c r="J37" s="36">
        <f>SUM('ведомствен.2014'!G68)</f>
        <v>140</v>
      </c>
    </row>
    <row r="38" spans="1:10" ht="15">
      <c r="A38" s="233" t="s">
        <v>499</v>
      </c>
      <c r="B38" s="198"/>
      <c r="C38" s="282" t="s">
        <v>459</v>
      </c>
      <c r="D38" s="283" t="s">
        <v>121</v>
      </c>
      <c r="E38" s="288" t="s">
        <v>61</v>
      </c>
      <c r="F38" s="284" t="s">
        <v>119</v>
      </c>
      <c r="G38" s="146">
        <v>39.6</v>
      </c>
      <c r="H38" s="14">
        <v>737.4</v>
      </c>
      <c r="I38" s="14">
        <f t="shared" si="0"/>
        <v>1862.121212121212</v>
      </c>
      <c r="J38" s="36">
        <f>SUM('ведомствен.2014'!G69)</f>
        <v>39.6</v>
      </c>
    </row>
    <row r="39" spans="1:10" ht="28.5">
      <c r="A39" s="234" t="s">
        <v>147</v>
      </c>
      <c r="B39" s="199"/>
      <c r="C39" s="292" t="s">
        <v>459</v>
      </c>
      <c r="D39" s="288" t="s">
        <v>121</v>
      </c>
      <c r="E39" s="288" t="s">
        <v>148</v>
      </c>
      <c r="F39" s="285"/>
      <c r="G39" s="145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42.75">
      <c r="A40" s="233" t="s">
        <v>494</v>
      </c>
      <c r="B40" s="198"/>
      <c r="C40" s="282" t="s">
        <v>459</v>
      </c>
      <c r="D40" s="283" t="s">
        <v>121</v>
      </c>
      <c r="E40" s="288" t="s">
        <v>148</v>
      </c>
      <c r="F40" s="284" t="s">
        <v>495</v>
      </c>
      <c r="G40" s="145">
        <v>288.8</v>
      </c>
      <c r="H40" s="14">
        <v>264.8</v>
      </c>
      <c r="I40" s="14">
        <f t="shared" si="0"/>
        <v>91.68975069252078</v>
      </c>
      <c r="J40" s="36">
        <f>SUM('ведомствен.2014'!G71)</f>
        <v>288.8</v>
      </c>
    </row>
    <row r="41" spans="1:10" ht="15">
      <c r="A41" s="233" t="s">
        <v>499</v>
      </c>
      <c r="B41" s="198"/>
      <c r="C41" s="282" t="s">
        <v>459</v>
      </c>
      <c r="D41" s="283" t="s">
        <v>121</v>
      </c>
      <c r="E41" s="288" t="s">
        <v>148</v>
      </c>
      <c r="F41" s="284" t="s">
        <v>119</v>
      </c>
      <c r="G41" s="146">
        <v>68.9</v>
      </c>
      <c r="H41" s="14">
        <f>SUM(H42)</f>
        <v>155.9</v>
      </c>
      <c r="I41" s="14">
        <f t="shared" si="0"/>
        <v>226.26995645863568</v>
      </c>
      <c r="J41" s="36">
        <f>SUM('ведомствен.2014'!G72)</f>
        <v>68.9</v>
      </c>
    </row>
    <row r="42" spans="1:10" ht="28.5">
      <c r="A42" s="233" t="s">
        <v>384</v>
      </c>
      <c r="B42" s="198"/>
      <c r="C42" s="282" t="s">
        <v>107</v>
      </c>
      <c r="D42" s="283" t="s">
        <v>121</v>
      </c>
      <c r="E42" s="283" t="s">
        <v>385</v>
      </c>
      <c r="F42" s="285"/>
      <c r="G42" s="145">
        <f>SUM(G43)</f>
        <v>1286.5</v>
      </c>
      <c r="H42" s="14">
        <f>SUM(H43:H43)</f>
        <v>155.9</v>
      </c>
      <c r="I42" s="14">
        <f t="shared" si="0"/>
        <v>12.11815001943257</v>
      </c>
      <c r="J42"/>
    </row>
    <row r="43" spans="1:10" ht="42" customHeight="1">
      <c r="A43" s="233" t="s">
        <v>494</v>
      </c>
      <c r="B43" s="198"/>
      <c r="C43" s="282" t="s">
        <v>459</v>
      </c>
      <c r="D43" s="283" t="s">
        <v>121</v>
      </c>
      <c r="E43" s="283" t="s">
        <v>385</v>
      </c>
      <c r="F43" s="284" t="s">
        <v>495</v>
      </c>
      <c r="G43" s="145">
        <v>1286.5</v>
      </c>
      <c r="H43" s="14">
        <v>155.9</v>
      </c>
      <c r="I43" s="14">
        <f t="shared" si="0"/>
        <v>12.11815001943257</v>
      </c>
      <c r="J43" s="36">
        <f>SUM('ведомствен.2014'!G74)</f>
        <v>1286.5</v>
      </c>
    </row>
    <row r="44" spans="1:10" ht="15" hidden="1">
      <c r="A44" s="233" t="s">
        <v>129</v>
      </c>
      <c r="B44" s="198"/>
      <c r="C44" s="282" t="s">
        <v>459</v>
      </c>
      <c r="D44" s="283" t="s">
        <v>130</v>
      </c>
      <c r="E44" s="283"/>
      <c r="F44" s="285"/>
      <c r="G44" s="146">
        <f>SUM(G45)</f>
        <v>0</v>
      </c>
      <c r="H44" s="14">
        <f>SUM(H45)</f>
        <v>0</v>
      </c>
      <c r="I44" s="14" t="e">
        <f t="shared" si="0"/>
        <v>#DIV/0!</v>
      </c>
      <c r="J44"/>
    </row>
    <row r="45" spans="1:10" ht="42.75" hidden="1">
      <c r="A45" s="235" t="s">
        <v>249</v>
      </c>
      <c r="B45" s="198"/>
      <c r="C45" s="282" t="s">
        <v>459</v>
      </c>
      <c r="D45" s="283" t="s">
        <v>130</v>
      </c>
      <c r="E45" s="283" t="s">
        <v>388</v>
      </c>
      <c r="F45" s="285"/>
      <c r="G45" s="146">
        <f>SUM(G46)</f>
        <v>0</v>
      </c>
      <c r="H45" s="14">
        <f>SUM(H46)</f>
        <v>0</v>
      </c>
      <c r="I45" s="14" t="e">
        <f t="shared" si="0"/>
        <v>#DIV/0!</v>
      </c>
      <c r="J45"/>
    </row>
    <row r="46" spans="1:10" ht="15" hidden="1">
      <c r="A46" s="233" t="s">
        <v>102</v>
      </c>
      <c r="B46" s="198"/>
      <c r="C46" s="282" t="s">
        <v>459</v>
      </c>
      <c r="D46" s="283" t="s">
        <v>130</v>
      </c>
      <c r="E46" s="283" t="s">
        <v>388</v>
      </c>
      <c r="F46" s="284" t="s">
        <v>103</v>
      </c>
      <c r="G46" s="146"/>
      <c r="H46" s="14">
        <f>SUM('[1]Ведомств.'!G83)</f>
        <v>0</v>
      </c>
      <c r="I46" s="14" t="e">
        <f t="shared" si="0"/>
        <v>#DIV/0!</v>
      </c>
      <c r="J46" s="36">
        <f>SUM('ведомствен.2014'!G77)</f>
        <v>0</v>
      </c>
    </row>
    <row r="47" spans="1:9" s="15" customFormat="1" ht="42.75">
      <c r="A47" s="233" t="s">
        <v>389</v>
      </c>
      <c r="B47" s="198"/>
      <c r="C47" s="282" t="s">
        <v>459</v>
      </c>
      <c r="D47" s="283" t="s">
        <v>390</v>
      </c>
      <c r="E47" s="283"/>
      <c r="F47" s="284"/>
      <c r="G47" s="145">
        <f>SUM(G48)</f>
        <v>24571.100000000002</v>
      </c>
      <c r="H47" s="14">
        <f>SUM(H48)</f>
        <v>12415.9</v>
      </c>
      <c r="I47" s="14">
        <f t="shared" si="0"/>
        <v>50.53050127995897</v>
      </c>
    </row>
    <row r="48" spans="1:9" s="15" customFormat="1" ht="42.75">
      <c r="A48" s="233" t="s">
        <v>98</v>
      </c>
      <c r="B48" s="198"/>
      <c r="C48" s="282" t="s">
        <v>459</v>
      </c>
      <c r="D48" s="283" t="s">
        <v>390</v>
      </c>
      <c r="E48" s="283" t="s">
        <v>99</v>
      </c>
      <c r="F48" s="284"/>
      <c r="G48" s="145">
        <f>SUM(G49)+G52+G55</f>
        <v>24571.100000000002</v>
      </c>
      <c r="H48" s="14">
        <f>SUM(H49+H55)</f>
        <v>12415.9</v>
      </c>
      <c r="I48" s="14">
        <f t="shared" si="0"/>
        <v>50.53050127995897</v>
      </c>
    </row>
    <row r="49" spans="1:9" s="15" customFormat="1" ht="15">
      <c r="A49" s="233" t="s">
        <v>106</v>
      </c>
      <c r="B49" s="198"/>
      <c r="C49" s="282" t="s">
        <v>459</v>
      </c>
      <c r="D49" s="283" t="s">
        <v>390</v>
      </c>
      <c r="E49" s="283" t="s">
        <v>108</v>
      </c>
      <c r="F49" s="284"/>
      <c r="G49" s="145">
        <f>SUM(G50+G51)</f>
        <v>6841.6</v>
      </c>
      <c r="H49" s="14">
        <f>SUM(H50+H52)</f>
        <v>11864.3</v>
      </c>
      <c r="I49" s="14">
        <f t="shared" si="0"/>
        <v>173.41411365762394</v>
      </c>
    </row>
    <row r="50" spans="1:10" s="15" customFormat="1" ht="42.75">
      <c r="A50" s="233" t="s">
        <v>494</v>
      </c>
      <c r="B50" s="198"/>
      <c r="C50" s="282" t="s">
        <v>107</v>
      </c>
      <c r="D50" s="283" t="s">
        <v>390</v>
      </c>
      <c r="E50" s="283" t="s">
        <v>108</v>
      </c>
      <c r="F50" s="286" t="s">
        <v>495</v>
      </c>
      <c r="G50" s="145">
        <v>6831.6</v>
      </c>
      <c r="H50" s="14">
        <v>2278</v>
      </c>
      <c r="I50" s="14">
        <f t="shared" si="0"/>
        <v>33.34504362082089</v>
      </c>
      <c r="J50" s="37">
        <f>SUM('ведомствен.2014'!G40+'ведомствен.2014'!G346)</f>
        <v>6831.6</v>
      </c>
    </row>
    <row r="51" spans="1:10" s="15" customFormat="1" ht="15">
      <c r="A51" s="233" t="s">
        <v>499</v>
      </c>
      <c r="B51" s="198"/>
      <c r="C51" s="282" t="s">
        <v>459</v>
      </c>
      <c r="D51" s="283" t="s">
        <v>390</v>
      </c>
      <c r="E51" s="283" t="s">
        <v>108</v>
      </c>
      <c r="F51" s="284" t="s">
        <v>119</v>
      </c>
      <c r="G51" s="146">
        <v>10</v>
      </c>
      <c r="H51" s="14"/>
      <c r="I51" s="14"/>
      <c r="J51" s="37">
        <f>SUM('ведомствен.2014'!G41+'ведомствен.2014'!G347)</f>
        <v>10</v>
      </c>
    </row>
    <row r="52" spans="1:10" ht="28.5">
      <c r="A52" s="233" t="s">
        <v>391</v>
      </c>
      <c r="B52" s="198"/>
      <c r="C52" s="282" t="s">
        <v>107</v>
      </c>
      <c r="D52" s="283" t="s">
        <v>390</v>
      </c>
      <c r="E52" s="283" t="s">
        <v>392</v>
      </c>
      <c r="F52" s="284"/>
      <c r="G52" s="145">
        <f>SUM(G53:G54)</f>
        <v>16352.8</v>
      </c>
      <c r="H52" s="14">
        <f>SUM(H53)</f>
        <v>9586.3</v>
      </c>
      <c r="I52" s="14">
        <f t="shared" si="0"/>
        <v>58.6217650799863</v>
      </c>
      <c r="J52"/>
    </row>
    <row r="53" spans="1:10" s="16" customFormat="1" ht="42.75">
      <c r="A53" s="233" t="s">
        <v>494</v>
      </c>
      <c r="B53" s="198"/>
      <c r="C53" s="282" t="s">
        <v>107</v>
      </c>
      <c r="D53" s="283" t="s">
        <v>390</v>
      </c>
      <c r="E53" s="283" t="s">
        <v>392</v>
      </c>
      <c r="F53" s="286" t="s">
        <v>495</v>
      </c>
      <c r="G53" s="145">
        <v>15988.8</v>
      </c>
      <c r="H53" s="14">
        <v>9586.3</v>
      </c>
      <c r="I53" s="14">
        <f t="shared" si="0"/>
        <v>59.956344441108776</v>
      </c>
      <c r="J53" s="37">
        <f>SUM('ведомствен.2014'!G349)</f>
        <v>15988.8</v>
      </c>
    </row>
    <row r="54" spans="1:10" s="16" customFormat="1" ht="15">
      <c r="A54" s="117" t="s">
        <v>499</v>
      </c>
      <c r="B54" s="282"/>
      <c r="C54" s="283" t="s">
        <v>107</v>
      </c>
      <c r="D54" s="283" t="s">
        <v>390</v>
      </c>
      <c r="E54" s="283" t="s">
        <v>392</v>
      </c>
      <c r="F54" s="286" t="s">
        <v>119</v>
      </c>
      <c r="G54" s="266">
        <v>364</v>
      </c>
      <c r="H54" s="14"/>
      <c r="I54" s="14"/>
      <c r="J54" s="37">
        <f>SUM('ведомствен.2014'!G350)</f>
        <v>364</v>
      </c>
    </row>
    <row r="55" spans="1:10" ht="28.5">
      <c r="A55" s="233" t="s">
        <v>393</v>
      </c>
      <c r="B55" s="198"/>
      <c r="C55" s="282" t="s">
        <v>107</v>
      </c>
      <c r="D55" s="283" t="s">
        <v>390</v>
      </c>
      <c r="E55" s="283" t="s">
        <v>394</v>
      </c>
      <c r="F55" s="286"/>
      <c r="G55" s="145">
        <f>SUM(G56)</f>
        <v>1376.7</v>
      </c>
      <c r="H55" s="14">
        <f>SUM(H56)</f>
        <v>551.6</v>
      </c>
      <c r="I55" s="14">
        <f t="shared" si="0"/>
        <v>40.06682646909276</v>
      </c>
      <c r="J55"/>
    </row>
    <row r="56" spans="1:10" ht="42.75">
      <c r="A56" s="233" t="s">
        <v>494</v>
      </c>
      <c r="B56" s="198"/>
      <c r="C56" s="282" t="s">
        <v>107</v>
      </c>
      <c r="D56" s="283" t="s">
        <v>390</v>
      </c>
      <c r="E56" s="283" t="s">
        <v>394</v>
      </c>
      <c r="F56" s="284" t="s">
        <v>495</v>
      </c>
      <c r="G56" s="145">
        <v>1376.7</v>
      </c>
      <c r="H56" s="14">
        <v>551.6</v>
      </c>
      <c r="I56" s="14">
        <f aca="true" t="shared" si="1" ref="I56:I89">SUM(H56/G56*100)</f>
        <v>40.06682646909276</v>
      </c>
      <c r="J56" s="36">
        <f>SUM('ведомствен.2014'!G43)</f>
        <v>1376.7</v>
      </c>
    </row>
    <row r="57" spans="1:10" ht="15" hidden="1">
      <c r="A57" s="234" t="s">
        <v>395</v>
      </c>
      <c r="B57" s="199"/>
      <c r="C57" s="292" t="s">
        <v>459</v>
      </c>
      <c r="D57" s="288" t="s">
        <v>116</v>
      </c>
      <c r="E57" s="288"/>
      <c r="F57" s="285"/>
      <c r="G57" s="146">
        <f>SUM(G58)</f>
        <v>0</v>
      </c>
      <c r="H57" s="14">
        <f>SUM(H58)</f>
        <v>4219.8</v>
      </c>
      <c r="I57" s="14" t="e">
        <f t="shared" si="1"/>
        <v>#DIV/0!</v>
      </c>
      <c r="J57"/>
    </row>
    <row r="58" spans="1:10" ht="15" hidden="1">
      <c r="A58" s="234" t="s">
        <v>395</v>
      </c>
      <c r="B58" s="199"/>
      <c r="C58" s="292" t="s">
        <v>459</v>
      </c>
      <c r="D58" s="288" t="s">
        <v>116</v>
      </c>
      <c r="E58" s="288" t="s">
        <v>396</v>
      </c>
      <c r="F58" s="285"/>
      <c r="G58" s="146">
        <f>SUM(G59+G61)</f>
        <v>0</v>
      </c>
      <c r="H58" s="14">
        <f>SUM(H59+H61)</f>
        <v>4219.8</v>
      </c>
      <c r="I58" s="14" t="e">
        <f t="shared" si="1"/>
        <v>#DIV/0!</v>
      </c>
      <c r="J58"/>
    </row>
    <row r="59" spans="1:10" ht="28.5" hidden="1">
      <c r="A59" s="233" t="s">
        <v>397</v>
      </c>
      <c r="B59" s="199"/>
      <c r="C59" s="292" t="s">
        <v>459</v>
      </c>
      <c r="D59" s="288" t="s">
        <v>116</v>
      </c>
      <c r="E59" s="288" t="s">
        <v>398</v>
      </c>
      <c r="F59" s="285"/>
      <c r="G59" s="146">
        <f>SUM(G60:G60)</f>
        <v>0</v>
      </c>
      <c r="H59" s="14">
        <f>SUM(H60:H60)</f>
        <v>2142.4</v>
      </c>
      <c r="I59" s="14" t="e">
        <f t="shared" si="1"/>
        <v>#DIV/0!</v>
      </c>
      <c r="J59"/>
    </row>
    <row r="60" spans="1:10" ht="15" hidden="1">
      <c r="A60" s="233" t="s">
        <v>102</v>
      </c>
      <c r="B60" s="199"/>
      <c r="C60" s="292" t="s">
        <v>459</v>
      </c>
      <c r="D60" s="288" t="s">
        <v>116</v>
      </c>
      <c r="E60" s="288" t="s">
        <v>398</v>
      </c>
      <c r="F60" s="285" t="s">
        <v>103</v>
      </c>
      <c r="G60" s="146"/>
      <c r="H60" s="14">
        <v>2142.4</v>
      </c>
      <c r="I60" s="14" t="e">
        <f t="shared" si="1"/>
        <v>#DIV/0!</v>
      </c>
      <c r="J60"/>
    </row>
    <row r="61" spans="1:10" ht="15" hidden="1">
      <c r="A61" s="233" t="s">
        <v>399</v>
      </c>
      <c r="B61" s="199"/>
      <c r="C61" s="292" t="s">
        <v>459</v>
      </c>
      <c r="D61" s="288" t="s">
        <v>116</v>
      </c>
      <c r="E61" s="288" t="s">
        <v>400</v>
      </c>
      <c r="F61" s="285"/>
      <c r="G61" s="146">
        <f>SUM(G62)</f>
        <v>0</v>
      </c>
      <c r="H61" s="14">
        <f>SUM(H62)</f>
        <v>2077.4</v>
      </c>
      <c r="I61" s="14" t="e">
        <f t="shared" si="1"/>
        <v>#DIV/0!</v>
      </c>
      <c r="J61"/>
    </row>
    <row r="62" spans="1:10" ht="15" hidden="1">
      <c r="A62" s="233" t="s">
        <v>102</v>
      </c>
      <c r="B62" s="199"/>
      <c r="C62" s="292" t="s">
        <v>459</v>
      </c>
      <c r="D62" s="288" t="s">
        <v>116</v>
      </c>
      <c r="E62" s="288" t="s">
        <v>400</v>
      </c>
      <c r="F62" s="285" t="s">
        <v>103</v>
      </c>
      <c r="G62" s="146"/>
      <c r="H62" s="14">
        <v>2077.4</v>
      </c>
      <c r="I62" s="14" t="e">
        <f t="shared" si="1"/>
        <v>#DIV/0!</v>
      </c>
      <c r="J62"/>
    </row>
    <row r="63" spans="1:9" s="15" customFormat="1" ht="15">
      <c r="A63" s="233" t="s">
        <v>406</v>
      </c>
      <c r="B63" s="198"/>
      <c r="C63" s="282" t="s">
        <v>459</v>
      </c>
      <c r="D63" s="283" t="s">
        <v>418</v>
      </c>
      <c r="E63" s="283"/>
      <c r="F63" s="284"/>
      <c r="G63" s="145">
        <f>SUM(G64)</f>
        <v>70.9</v>
      </c>
      <c r="H63" s="14" t="e">
        <f>SUM(H64)</f>
        <v>#REF!</v>
      </c>
      <c r="I63" s="14" t="e">
        <f t="shared" si="1"/>
        <v>#REF!</v>
      </c>
    </row>
    <row r="64" spans="1:9" s="15" customFormat="1" ht="15">
      <c r="A64" s="233" t="s">
        <v>386</v>
      </c>
      <c r="B64" s="198"/>
      <c r="C64" s="282" t="s">
        <v>459</v>
      </c>
      <c r="D64" s="283" t="s">
        <v>418</v>
      </c>
      <c r="E64" s="283" t="s">
        <v>506</v>
      </c>
      <c r="F64" s="284"/>
      <c r="G64" s="145">
        <f>SUM(G65)</f>
        <v>70.9</v>
      </c>
      <c r="H64" s="14" t="e">
        <f>SUM(#REF!)</f>
        <v>#REF!</v>
      </c>
      <c r="I64" s="14" t="e">
        <f t="shared" si="1"/>
        <v>#REF!</v>
      </c>
    </row>
    <row r="65" spans="1:10" s="15" customFormat="1" ht="15">
      <c r="A65" s="233" t="s">
        <v>500</v>
      </c>
      <c r="B65" s="198"/>
      <c r="C65" s="282" t="s">
        <v>459</v>
      </c>
      <c r="D65" s="283" t="s">
        <v>418</v>
      </c>
      <c r="E65" s="283" t="s">
        <v>506</v>
      </c>
      <c r="F65" s="284" t="s">
        <v>175</v>
      </c>
      <c r="G65" s="145">
        <v>70.9</v>
      </c>
      <c r="H65" s="14" t="e">
        <f>SUM(#REF!)</f>
        <v>#REF!</v>
      </c>
      <c r="I65" s="14" t="e">
        <f t="shared" si="1"/>
        <v>#REF!</v>
      </c>
      <c r="J65" s="15">
        <f>SUM('ведомствен.2014'!G353)</f>
        <v>70.89999999999999</v>
      </c>
    </row>
    <row r="66" spans="1:10" ht="15">
      <c r="A66" s="233" t="s">
        <v>111</v>
      </c>
      <c r="B66" s="198"/>
      <c r="C66" s="282" t="s">
        <v>459</v>
      </c>
      <c r="D66" s="283" t="s">
        <v>235</v>
      </c>
      <c r="E66" s="283"/>
      <c r="F66" s="285"/>
      <c r="G66" s="145">
        <f>SUM(G69+G82)+G67</f>
        <v>51719</v>
      </c>
      <c r="H66" s="14" t="e">
        <f>SUM(H69+H84+#REF!+#REF!+#REF!+#REF!+H74+H81)</f>
        <v>#REF!</v>
      </c>
      <c r="I66" s="14" t="e">
        <f t="shared" si="1"/>
        <v>#REF!</v>
      </c>
      <c r="J66"/>
    </row>
    <row r="67" spans="1:10" ht="15">
      <c r="A67" s="117" t="s">
        <v>386</v>
      </c>
      <c r="B67" s="65"/>
      <c r="C67" s="283" t="s">
        <v>459</v>
      </c>
      <c r="D67" s="283" t="s">
        <v>235</v>
      </c>
      <c r="E67" s="283" t="s">
        <v>506</v>
      </c>
      <c r="F67" s="284"/>
      <c r="G67" s="266">
        <f>SUM(G68)</f>
        <v>100</v>
      </c>
      <c r="H67" s="14"/>
      <c r="I67" s="14"/>
      <c r="J67"/>
    </row>
    <row r="68" spans="1:10" ht="15">
      <c r="A68" s="117" t="s">
        <v>499</v>
      </c>
      <c r="B68" s="125"/>
      <c r="C68" s="283" t="s">
        <v>459</v>
      </c>
      <c r="D68" s="283" t="s">
        <v>235</v>
      </c>
      <c r="E68" s="283" t="s">
        <v>506</v>
      </c>
      <c r="F68" s="294" t="s">
        <v>119</v>
      </c>
      <c r="G68" s="266">
        <v>100</v>
      </c>
      <c r="H68" s="14"/>
      <c r="I68" s="14"/>
      <c r="J68">
        <f>SUM('ведомствен.2014'!G80)</f>
        <v>100</v>
      </c>
    </row>
    <row r="69" spans="1:10" ht="28.5">
      <c r="A69" s="234" t="s">
        <v>496</v>
      </c>
      <c r="B69" s="200"/>
      <c r="C69" s="298" t="s">
        <v>459</v>
      </c>
      <c r="D69" s="299" t="s">
        <v>235</v>
      </c>
      <c r="E69" s="299" t="s">
        <v>497</v>
      </c>
      <c r="F69" s="297"/>
      <c r="G69" s="347">
        <f>G70+G73+G75+G78</f>
        <v>49015</v>
      </c>
      <c r="H69" s="14">
        <f>SUM(H70+H72)</f>
        <v>2749.5</v>
      </c>
      <c r="I69" s="14">
        <f t="shared" si="1"/>
        <v>5.609507293685607</v>
      </c>
      <c r="J69"/>
    </row>
    <row r="70" spans="1:10" ht="15">
      <c r="A70" s="234" t="s">
        <v>485</v>
      </c>
      <c r="B70" s="201"/>
      <c r="C70" s="298" t="s">
        <v>459</v>
      </c>
      <c r="D70" s="299" t="s">
        <v>235</v>
      </c>
      <c r="E70" s="299" t="s">
        <v>498</v>
      </c>
      <c r="F70" s="300"/>
      <c r="G70" s="347">
        <f>G71+G72</f>
        <v>3703.2</v>
      </c>
      <c r="H70" s="14">
        <f>SUM(H71)</f>
        <v>2749.5</v>
      </c>
      <c r="I70" s="14">
        <f t="shared" si="1"/>
        <v>74.24659753726507</v>
      </c>
      <c r="J70"/>
    </row>
    <row r="71" spans="1:10" ht="15">
      <c r="A71" s="234" t="s">
        <v>499</v>
      </c>
      <c r="B71" s="201"/>
      <c r="C71" s="298" t="s">
        <v>459</v>
      </c>
      <c r="D71" s="299" t="s">
        <v>235</v>
      </c>
      <c r="E71" s="299" t="s">
        <v>498</v>
      </c>
      <c r="F71" s="300" t="s">
        <v>119</v>
      </c>
      <c r="G71" s="347">
        <v>3584.2</v>
      </c>
      <c r="H71" s="14">
        <v>2749.5</v>
      </c>
      <c r="I71" s="14">
        <f t="shared" si="1"/>
        <v>76.7116790357681</v>
      </c>
      <c r="J71" s="36">
        <f>SUM('ведомствен.2014'!G27+'ведомствен.2014'!G47+'ведомствен.2014'!G83+'ведомствен.2014'!G357)</f>
        <v>3584.2</v>
      </c>
    </row>
    <row r="72" spans="1:10" ht="15">
      <c r="A72" s="234" t="s">
        <v>500</v>
      </c>
      <c r="B72" s="201"/>
      <c r="C72" s="298" t="s">
        <v>459</v>
      </c>
      <c r="D72" s="299" t="s">
        <v>235</v>
      </c>
      <c r="E72" s="299" t="s">
        <v>498</v>
      </c>
      <c r="F72" s="300" t="s">
        <v>175</v>
      </c>
      <c r="G72" s="347">
        <v>119</v>
      </c>
      <c r="H72" s="14">
        <f>SUM(H73)</f>
        <v>0</v>
      </c>
      <c r="I72" s="14">
        <f t="shared" si="1"/>
        <v>0</v>
      </c>
      <c r="J72" s="36">
        <f>SUM('ведомствен.2014'!G28+'ведомствен.2014'!G48+'ведомствен.2014'!G84+'ведомствен.2014'!G358)</f>
        <v>119</v>
      </c>
    </row>
    <row r="73" spans="1:9" ht="28.5">
      <c r="A73" s="234" t="s">
        <v>486</v>
      </c>
      <c r="B73" s="201"/>
      <c r="C73" s="298" t="s">
        <v>459</v>
      </c>
      <c r="D73" s="299" t="s">
        <v>235</v>
      </c>
      <c r="E73" s="299" t="s">
        <v>501</v>
      </c>
      <c r="F73" s="300"/>
      <c r="G73" s="347">
        <f>SUM(G74)</f>
        <v>11707.9</v>
      </c>
      <c r="H73" s="14"/>
      <c r="I73" s="14">
        <f t="shared" si="1"/>
        <v>0</v>
      </c>
    </row>
    <row r="74" spans="1:10" ht="15">
      <c r="A74" s="234" t="s">
        <v>499</v>
      </c>
      <c r="B74" s="201"/>
      <c r="C74" s="298" t="s">
        <v>459</v>
      </c>
      <c r="D74" s="299" t="s">
        <v>235</v>
      </c>
      <c r="E74" s="299" t="s">
        <v>501</v>
      </c>
      <c r="F74" s="300" t="s">
        <v>119</v>
      </c>
      <c r="G74" s="347">
        <v>11707.9</v>
      </c>
      <c r="H74" s="14">
        <f>SUM(H78+H76)</f>
        <v>836.4</v>
      </c>
      <c r="I74" s="14">
        <f t="shared" si="1"/>
        <v>7.143894293596631</v>
      </c>
      <c r="J74" s="36">
        <f>SUM('ведомствен.2014'!G30+'ведомствен.2014'!G50+'ведомствен.2014'!G86+'ведомствен.2014'!G360)</f>
        <v>11662.9</v>
      </c>
    </row>
    <row r="75" spans="1:10" ht="28.5">
      <c r="A75" s="234" t="s">
        <v>521</v>
      </c>
      <c r="B75" s="201"/>
      <c r="C75" s="298" t="s">
        <v>459</v>
      </c>
      <c r="D75" s="299" t="s">
        <v>235</v>
      </c>
      <c r="E75" s="299" t="s">
        <v>522</v>
      </c>
      <c r="F75" s="300"/>
      <c r="G75" s="347">
        <f>SUM(G76:G77)</f>
        <v>4819.5</v>
      </c>
      <c r="H75" s="14">
        <f>SUM(H76)</f>
        <v>0</v>
      </c>
      <c r="I75" s="14">
        <f t="shared" si="1"/>
        <v>0</v>
      </c>
      <c r="J75"/>
    </row>
    <row r="76" spans="1:10" ht="15">
      <c r="A76" s="234" t="s">
        <v>499</v>
      </c>
      <c r="B76" s="201"/>
      <c r="C76" s="298" t="s">
        <v>459</v>
      </c>
      <c r="D76" s="299" t="s">
        <v>235</v>
      </c>
      <c r="E76" s="299" t="s">
        <v>522</v>
      </c>
      <c r="F76" s="300" t="s">
        <v>119</v>
      </c>
      <c r="G76" s="347">
        <v>4818.9</v>
      </c>
      <c r="H76" s="14"/>
      <c r="I76" s="14">
        <f t="shared" si="1"/>
        <v>0</v>
      </c>
      <c r="J76">
        <f>SUM('ведомствен.2014'!G88)</f>
        <v>4818.9</v>
      </c>
    </row>
    <row r="77" spans="1:10" ht="15">
      <c r="A77" s="234" t="s">
        <v>500</v>
      </c>
      <c r="B77" s="201"/>
      <c r="C77" s="298" t="s">
        <v>459</v>
      </c>
      <c r="D77" s="299" t="s">
        <v>235</v>
      </c>
      <c r="E77" s="299" t="s">
        <v>522</v>
      </c>
      <c r="F77" s="300" t="s">
        <v>175</v>
      </c>
      <c r="G77" s="347">
        <v>0.6</v>
      </c>
      <c r="H77" s="14"/>
      <c r="I77" s="14">
        <f t="shared" si="1"/>
        <v>0</v>
      </c>
      <c r="J77">
        <f>SUM('ведомствен.2014'!G89)</f>
        <v>0.6</v>
      </c>
    </row>
    <row r="78" spans="1:10" ht="28.5">
      <c r="A78" s="234" t="s">
        <v>502</v>
      </c>
      <c r="B78" s="201"/>
      <c r="C78" s="298" t="s">
        <v>459</v>
      </c>
      <c r="D78" s="299" t="s">
        <v>235</v>
      </c>
      <c r="E78" s="299" t="s">
        <v>503</v>
      </c>
      <c r="F78" s="300"/>
      <c r="G78" s="347">
        <f>SUM(G79:G81)</f>
        <v>28784.4</v>
      </c>
      <c r="H78" s="14">
        <f>SUM(H79)</f>
        <v>836.4</v>
      </c>
      <c r="I78" s="14">
        <f t="shared" si="1"/>
        <v>2.9057406094968106</v>
      </c>
      <c r="J78"/>
    </row>
    <row r="79" spans="1:10" ht="15">
      <c r="A79" s="234" t="s">
        <v>499</v>
      </c>
      <c r="B79" s="201"/>
      <c r="C79" s="298" t="s">
        <v>459</v>
      </c>
      <c r="D79" s="299" t="s">
        <v>235</v>
      </c>
      <c r="E79" s="299" t="s">
        <v>503</v>
      </c>
      <c r="F79" s="300" t="s">
        <v>119</v>
      </c>
      <c r="G79" s="347">
        <v>20442</v>
      </c>
      <c r="H79" s="14">
        <v>836.4</v>
      </c>
      <c r="I79" s="14">
        <f t="shared" si="1"/>
        <v>4.091576166715585</v>
      </c>
      <c r="J79">
        <f>SUM('ведомствен.2014'!G32+'ведомствен.2014'!G52+'ведомствен.2014'!G91+'ведомствен.2014'!G362)</f>
        <v>20487</v>
      </c>
    </row>
    <row r="80" spans="1:10" ht="15">
      <c r="A80" s="233" t="s">
        <v>504</v>
      </c>
      <c r="B80" s="198"/>
      <c r="C80" s="282" t="s">
        <v>459</v>
      </c>
      <c r="D80" s="283" t="s">
        <v>235</v>
      </c>
      <c r="E80" s="283" t="s">
        <v>503</v>
      </c>
      <c r="F80" s="286" t="s">
        <v>505</v>
      </c>
      <c r="G80" s="145">
        <v>763.7</v>
      </c>
      <c r="H80" s="14"/>
      <c r="I80" s="14"/>
      <c r="J80">
        <f>SUM('ведомствен.2014'!G33)+'ведомствен.2014'!G92</f>
        <v>763.7</v>
      </c>
    </row>
    <row r="81" spans="1:10" ht="15">
      <c r="A81" s="234" t="s">
        <v>500</v>
      </c>
      <c r="B81" s="201"/>
      <c r="C81" s="298" t="s">
        <v>459</v>
      </c>
      <c r="D81" s="299" t="s">
        <v>235</v>
      </c>
      <c r="E81" s="299" t="s">
        <v>503</v>
      </c>
      <c r="F81" s="300" t="s">
        <v>175</v>
      </c>
      <c r="G81" s="347">
        <v>7578.7</v>
      </c>
      <c r="H81" s="14">
        <f>SUM(H83)</f>
        <v>536.9</v>
      </c>
      <c r="I81" s="14">
        <f t="shared" si="1"/>
        <v>7.08432844683125</v>
      </c>
      <c r="J81">
        <f>SUM('ведомствен.2014'!G34+'ведомствен.2014'!G53+'ведомствен.2014'!G93+'ведомствен.2014'!G363)</f>
        <v>7578.7</v>
      </c>
    </row>
    <row r="82" spans="1:10" ht="28.5">
      <c r="A82" s="234" t="s">
        <v>598</v>
      </c>
      <c r="B82" s="201"/>
      <c r="C82" s="298" t="s">
        <v>459</v>
      </c>
      <c r="D82" s="299" t="s">
        <v>235</v>
      </c>
      <c r="E82" s="299" t="s">
        <v>135</v>
      </c>
      <c r="F82" s="300"/>
      <c r="G82" s="347">
        <f>G83</f>
        <v>2604</v>
      </c>
      <c r="H82" s="14">
        <f>SUM(H83)</f>
        <v>536.9</v>
      </c>
      <c r="I82" s="14">
        <f t="shared" si="1"/>
        <v>20.618279569892472</v>
      </c>
      <c r="J82"/>
    </row>
    <row r="83" spans="1:10" ht="28.5">
      <c r="A83" s="234" t="s">
        <v>15</v>
      </c>
      <c r="B83" s="201"/>
      <c r="C83" s="298" t="s">
        <v>459</v>
      </c>
      <c r="D83" s="299" t="s">
        <v>235</v>
      </c>
      <c r="E83" s="299" t="s">
        <v>203</v>
      </c>
      <c r="F83" s="300"/>
      <c r="G83" s="347">
        <f>G84+G86</f>
        <v>2604</v>
      </c>
      <c r="H83" s="14">
        <f>423.2+113.7</f>
        <v>536.9</v>
      </c>
      <c r="I83" s="14">
        <f t="shared" si="1"/>
        <v>20.618279569892472</v>
      </c>
      <c r="J83"/>
    </row>
    <row r="84" spans="1:10" ht="28.5">
      <c r="A84" s="236" t="s">
        <v>632</v>
      </c>
      <c r="B84" s="201"/>
      <c r="C84" s="298" t="s">
        <v>459</v>
      </c>
      <c r="D84" s="299" t="s">
        <v>235</v>
      </c>
      <c r="E84" s="299" t="s">
        <v>205</v>
      </c>
      <c r="F84" s="300"/>
      <c r="G84" s="347">
        <f>SUM(G85)</f>
        <v>2380.3</v>
      </c>
      <c r="H84" s="14">
        <f>SUM(H86)</f>
        <v>917.7</v>
      </c>
      <c r="I84" s="14">
        <f t="shared" si="1"/>
        <v>38.55396378607738</v>
      </c>
      <c r="J84"/>
    </row>
    <row r="85" spans="1:10" ht="28.5">
      <c r="A85" s="234" t="s">
        <v>523</v>
      </c>
      <c r="B85" s="201"/>
      <c r="C85" s="298" t="s">
        <v>459</v>
      </c>
      <c r="D85" s="299" t="s">
        <v>235</v>
      </c>
      <c r="E85" s="299" t="s">
        <v>205</v>
      </c>
      <c r="F85" s="300" t="s">
        <v>512</v>
      </c>
      <c r="G85" s="347">
        <v>2380.3</v>
      </c>
      <c r="H85" s="14"/>
      <c r="I85" s="14"/>
      <c r="J85">
        <f>SUM('ведомствен.2014'!G97)</f>
        <v>2380.3</v>
      </c>
    </row>
    <row r="86" spans="1:10" ht="28.5">
      <c r="A86" s="233" t="s">
        <v>156</v>
      </c>
      <c r="B86" s="201"/>
      <c r="C86" s="298" t="s">
        <v>459</v>
      </c>
      <c r="D86" s="299" t="s">
        <v>235</v>
      </c>
      <c r="E86" s="299" t="s">
        <v>414</v>
      </c>
      <c r="F86" s="300"/>
      <c r="G86" s="347">
        <f>SUM(G87)</f>
        <v>223.7</v>
      </c>
      <c r="H86" s="14">
        <f>SUM(H87)</f>
        <v>917.7</v>
      </c>
      <c r="I86" s="14">
        <f t="shared" si="1"/>
        <v>410.23692445239163</v>
      </c>
      <c r="J86"/>
    </row>
    <row r="87" spans="1:10" ht="28.5">
      <c r="A87" s="234" t="s">
        <v>143</v>
      </c>
      <c r="B87" s="201"/>
      <c r="C87" s="298" t="s">
        <v>459</v>
      </c>
      <c r="D87" s="299" t="s">
        <v>235</v>
      </c>
      <c r="E87" s="299" t="s">
        <v>415</v>
      </c>
      <c r="F87" s="300"/>
      <c r="G87" s="347">
        <f>SUM(G88)</f>
        <v>223.7</v>
      </c>
      <c r="H87" s="14">
        <v>917.7</v>
      </c>
      <c r="I87" s="14">
        <f t="shared" si="1"/>
        <v>410.23692445239163</v>
      </c>
      <c r="J87">
        <f>SUM('ведомствен.2014'!G99)</f>
        <v>223.7</v>
      </c>
    </row>
    <row r="88" spans="1:9" ht="28.5">
      <c r="A88" s="234" t="s">
        <v>523</v>
      </c>
      <c r="B88" s="201"/>
      <c r="C88" s="298" t="s">
        <v>459</v>
      </c>
      <c r="D88" s="299" t="s">
        <v>235</v>
      </c>
      <c r="E88" s="299" t="s">
        <v>415</v>
      </c>
      <c r="F88" s="300" t="s">
        <v>512</v>
      </c>
      <c r="G88" s="347">
        <v>223.7</v>
      </c>
      <c r="H88" s="14"/>
      <c r="I88" s="14"/>
    </row>
    <row r="89" spans="1:12" s="13" customFormat="1" ht="30">
      <c r="A89" s="237" t="s">
        <v>138</v>
      </c>
      <c r="B89" s="202"/>
      <c r="C89" s="287" t="s">
        <v>105</v>
      </c>
      <c r="D89" s="334"/>
      <c r="E89" s="334"/>
      <c r="F89" s="335"/>
      <c r="G89" s="147">
        <f>SUM(G90+G96)</f>
        <v>26605</v>
      </c>
      <c r="H89" s="17" t="e">
        <f>SUM(#REF!+H94)+H116</f>
        <v>#REF!</v>
      </c>
      <c r="I89" s="17" t="e">
        <f t="shared" si="1"/>
        <v>#REF!</v>
      </c>
      <c r="K89" s="13">
        <f>SUM(J90:J119)</f>
        <v>26605</v>
      </c>
      <c r="L89" s="13">
        <f>SUM('ведомствен.2014'!G102)</f>
        <v>26605</v>
      </c>
    </row>
    <row r="90" spans="1:9" s="16" customFormat="1" ht="15">
      <c r="A90" s="238" t="s">
        <v>59</v>
      </c>
      <c r="B90" s="201"/>
      <c r="C90" s="298" t="s">
        <v>105</v>
      </c>
      <c r="D90" s="299" t="s">
        <v>121</v>
      </c>
      <c r="E90" s="299"/>
      <c r="F90" s="300"/>
      <c r="G90" s="347">
        <f>SUM(G92)</f>
        <v>5707.1</v>
      </c>
      <c r="H90" s="14">
        <f>SUM(H92)</f>
        <v>0</v>
      </c>
      <c r="I90" s="14" t="e">
        <f>SUM(H90/#REF!*100)</f>
        <v>#REF!</v>
      </c>
    </row>
    <row r="91" spans="1:9" s="16" customFormat="1" ht="15">
      <c r="A91" s="234" t="s">
        <v>409</v>
      </c>
      <c r="B91" s="201"/>
      <c r="C91" s="298" t="s">
        <v>105</v>
      </c>
      <c r="D91" s="299" t="s">
        <v>121</v>
      </c>
      <c r="E91" s="299" t="s">
        <v>410</v>
      </c>
      <c r="F91" s="300"/>
      <c r="G91" s="347">
        <f>SUM(G92)</f>
        <v>5707.1</v>
      </c>
      <c r="H91" s="14"/>
      <c r="I91" s="14"/>
    </row>
    <row r="92" spans="1:9" s="16" customFormat="1" ht="28.5">
      <c r="A92" s="234" t="s">
        <v>615</v>
      </c>
      <c r="B92" s="201"/>
      <c r="C92" s="298" t="s">
        <v>105</v>
      </c>
      <c r="D92" s="299" t="s">
        <v>121</v>
      </c>
      <c r="E92" s="299" t="s">
        <v>645</v>
      </c>
      <c r="F92" s="300"/>
      <c r="G92" s="347">
        <f>G93+G94+G95</f>
        <v>5707.1</v>
      </c>
      <c r="H92" s="14">
        <f>SUM(H93)</f>
        <v>0</v>
      </c>
      <c r="I92" s="14" t="e">
        <f>SUM(H92/#REF!*100)</f>
        <v>#REF!</v>
      </c>
    </row>
    <row r="93" spans="1:10" s="16" customFormat="1" ht="42.75">
      <c r="A93" s="234" t="s">
        <v>494</v>
      </c>
      <c r="B93" s="201"/>
      <c r="C93" s="298" t="s">
        <v>105</v>
      </c>
      <c r="D93" s="299" t="s">
        <v>121</v>
      </c>
      <c r="E93" s="299" t="s">
        <v>645</v>
      </c>
      <c r="F93" s="300" t="s">
        <v>495</v>
      </c>
      <c r="G93" s="347">
        <v>3832.4</v>
      </c>
      <c r="H93" s="14"/>
      <c r="I93" s="14" t="e">
        <f>SUM(H93/#REF!*100)</f>
        <v>#REF!</v>
      </c>
      <c r="J93" s="16">
        <f>SUM('ведомствен.2014'!G106)</f>
        <v>3832.4</v>
      </c>
    </row>
    <row r="94" spans="1:10" ht="15">
      <c r="A94" s="234" t="s">
        <v>499</v>
      </c>
      <c r="B94" s="201"/>
      <c r="C94" s="298" t="s">
        <v>105</v>
      </c>
      <c r="D94" s="299" t="s">
        <v>121</v>
      </c>
      <c r="E94" s="299" t="s">
        <v>645</v>
      </c>
      <c r="F94" s="300" t="s">
        <v>119</v>
      </c>
      <c r="G94" s="347">
        <v>1783.4</v>
      </c>
      <c r="H94" s="14" t="e">
        <f>SUM(#REF!+H101+H104+H107)+#REF!</f>
        <v>#REF!</v>
      </c>
      <c r="I94" s="14" t="e">
        <f>SUM(H94/G96*100)</f>
        <v>#REF!</v>
      </c>
      <c r="J94" s="16">
        <f>SUM('ведомствен.2014'!G107)</f>
        <v>1783.4</v>
      </c>
    </row>
    <row r="95" spans="1:10" ht="15">
      <c r="A95" s="234" t="s">
        <v>500</v>
      </c>
      <c r="B95" s="201"/>
      <c r="C95" s="298" t="s">
        <v>105</v>
      </c>
      <c r="D95" s="299" t="s">
        <v>121</v>
      </c>
      <c r="E95" s="299" t="s">
        <v>645</v>
      </c>
      <c r="F95" s="300" t="s">
        <v>175</v>
      </c>
      <c r="G95" s="347">
        <v>91.3</v>
      </c>
      <c r="H95" s="14" t="e">
        <f>SUM(#REF!)</f>
        <v>#REF!</v>
      </c>
      <c r="I95" s="14" t="e">
        <f>SUM(H95/G97*100)</f>
        <v>#REF!</v>
      </c>
      <c r="J95" s="16">
        <f>SUM('ведомствен.2014'!G108)</f>
        <v>91.3</v>
      </c>
    </row>
    <row r="96" spans="1:9" ht="42.75">
      <c r="A96" s="239" t="s">
        <v>298</v>
      </c>
      <c r="B96" s="203"/>
      <c r="C96" s="301" t="s">
        <v>105</v>
      </c>
      <c r="D96" s="302" t="s">
        <v>299</v>
      </c>
      <c r="E96" s="302"/>
      <c r="F96" s="303"/>
      <c r="G96" s="358">
        <f>G109+G114+G97+G117</f>
        <v>20897.899999999998</v>
      </c>
      <c r="H96" s="14">
        <v>438.8</v>
      </c>
      <c r="I96" s="14" t="e">
        <f>SUM(H96/G104*100)</f>
        <v>#DIV/0!</v>
      </c>
    </row>
    <row r="97" spans="1:10" ht="42.75">
      <c r="A97" s="234" t="s">
        <v>599</v>
      </c>
      <c r="B97" s="201"/>
      <c r="C97" s="298" t="s">
        <v>105</v>
      </c>
      <c r="D97" s="299" t="s">
        <v>299</v>
      </c>
      <c r="E97" s="299" t="s">
        <v>527</v>
      </c>
      <c r="F97" s="300"/>
      <c r="G97" s="347">
        <f>SUM(G100)+G98</f>
        <v>17303.6</v>
      </c>
      <c r="H97" s="14">
        <f>SUM(H100)</f>
        <v>9825.3</v>
      </c>
      <c r="I97" s="14">
        <f>SUM(H97/G105*100)</f>
        <v>417.79563719862233</v>
      </c>
      <c r="J97"/>
    </row>
    <row r="98" spans="1:10" ht="28.5">
      <c r="A98" s="121" t="s">
        <v>785</v>
      </c>
      <c r="B98" s="298"/>
      <c r="C98" s="299" t="s">
        <v>105</v>
      </c>
      <c r="D98" s="299" t="s">
        <v>299</v>
      </c>
      <c r="E98" s="299" t="s">
        <v>1050</v>
      </c>
      <c r="F98" s="300"/>
      <c r="G98" s="343">
        <f>SUM(G99)</f>
        <v>4806.5</v>
      </c>
      <c r="H98" s="14"/>
      <c r="I98" s="14"/>
      <c r="J98"/>
    </row>
    <row r="99" spans="1:10" ht="15">
      <c r="A99" s="121" t="s">
        <v>499</v>
      </c>
      <c r="B99" s="298"/>
      <c r="C99" s="299" t="s">
        <v>105</v>
      </c>
      <c r="D99" s="299" t="s">
        <v>299</v>
      </c>
      <c r="E99" s="299" t="s">
        <v>1050</v>
      </c>
      <c r="F99" s="300" t="s">
        <v>119</v>
      </c>
      <c r="G99" s="343">
        <v>4806.5</v>
      </c>
      <c r="H99" s="14"/>
      <c r="I99" s="14"/>
      <c r="J99">
        <f>SUM('ведомствен.2014'!G112)</f>
        <v>4806.5</v>
      </c>
    </row>
    <row r="100" spans="1:9" ht="28.5">
      <c r="A100" s="234" t="s">
        <v>56</v>
      </c>
      <c r="B100" s="201"/>
      <c r="C100" s="298" t="s">
        <v>105</v>
      </c>
      <c r="D100" s="299" t="s">
        <v>299</v>
      </c>
      <c r="E100" s="299" t="s">
        <v>528</v>
      </c>
      <c r="F100" s="300"/>
      <c r="G100" s="347">
        <f>G101+G105+G108</f>
        <v>12497.099999999999</v>
      </c>
      <c r="H100" s="14">
        <v>9825.3</v>
      </c>
      <c r="I100" s="14" t="e">
        <f>SUM(H100/G106*100)</f>
        <v>#DIV/0!</v>
      </c>
    </row>
    <row r="101" spans="1:10" ht="42.75">
      <c r="A101" s="234" t="s">
        <v>494</v>
      </c>
      <c r="B101" s="201"/>
      <c r="C101" s="298" t="s">
        <v>105</v>
      </c>
      <c r="D101" s="299" t="s">
        <v>299</v>
      </c>
      <c r="E101" s="299" t="s">
        <v>528</v>
      </c>
      <c r="F101" s="300" t="s">
        <v>495</v>
      </c>
      <c r="G101" s="347">
        <v>9883.9</v>
      </c>
      <c r="H101" s="14">
        <f>SUM(H102)</f>
        <v>227.3</v>
      </c>
      <c r="I101" s="14" t="e">
        <f>SUM(H101/G107*100)</f>
        <v>#DIV/0!</v>
      </c>
      <c r="J101">
        <f>SUM('ведомствен.2014'!G114)</f>
        <v>9883.9</v>
      </c>
    </row>
    <row r="102" spans="1:10" ht="15" hidden="1">
      <c r="A102" s="234" t="s">
        <v>529</v>
      </c>
      <c r="B102" s="201"/>
      <c r="C102" s="298" t="s">
        <v>105</v>
      </c>
      <c r="D102" s="299" t="s">
        <v>299</v>
      </c>
      <c r="E102" s="299" t="s">
        <v>528</v>
      </c>
      <c r="F102" s="300" t="s">
        <v>530</v>
      </c>
      <c r="G102" s="347"/>
      <c r="H102" s="14">
        <f>SUM(H103)</f>
        <v>227.3</v>
      </c>
      <c r="I102" s="14">
        <f aca="true" t="shared" si="2" ref="I102:I107">SUM(H102/G109*100)</f>
        <v>9.573347934127954</v>
      </c>
      <c r="J102"/>
    </row>
    <row r="103" spans="1:9" ht="28.5" hidden="1">
      <c r="A103" s="234" t="s">
        <v>531</v>
      </c>
      <c r="B103" s="204"/>
      <c r="C103" s="298" t="s">
        <v>105</v>
      </c>
      <c r="D103" s="299" t="s">
        <v>299</v>
      </c>
      <c r="E103" s="299" t="s">
        <v>528</v>
      </c>
      <c r="F103" s="300" t="s">
        <v>532</v>
      </c>
      <c r="G103" s="347"/>
      <c r="H103" s="14">
        <v>227.3</v>
      </c>
      <c r="I103" s="14">
        <f t="shared" si="2"/>
        <v>25.997941210110948</v>
      </c>
    </row>
    <row r="104" spans="1:10" ht="28.5" hidden="1">
      <c r="A104" s="234" t="s">
        <v>533</v>
      </c>
      <c r="B104" s="204"/>
      <c r="C104" s="298" t="s">
        <v>105</v>
      </c>
      <c r="D104" s="299" t="s">
        <v>299</v>
      </c>
      <c r="E104" s="299" t="s">
        <v>528</v>
      </c>
      <c r="F104" s="300" t="s">
        <v>534</v>
      </c>
      <c r="G104" s="347"/>
      <c r="H104" s="14">
        <f>SUM(H105)</f>
        <v>5387.8</v>
      </c>
      <c r="I104" s="14">
        <f t="shared" si="2"/>
        <v>616.2415646803157</v>
      </c>
      <c r="J104"/>
    </row>
    <row r="105" spans="1:10" ht="15.75">
      <c r="A105" s="234" t="s">
        <v>499</v>
      </c>
      <c r="B105" s="204"/>
      <c r="C105" s="298" t="s">
        <v>105</v>
      </c>
      <c r="D105" s="299" t="s">
        <v>299</v>
      </c>
      <c r="E105" s="299" t="s">
        <v>528</v>
      </c>
      <c r="F105" s="300" t="s">
        <v>119</v>
      </c>
      <c r="G105" s="347">
        <v>2351.7</v>
      </c>
      <c r="H105" s="14">
        <f>SUM(H106)</f>
        <v>5387.8</v>
      </c>
      <c r="I105" s="14">
        <f t="shared" si="2"/>
        <v>359.18666666666667</v>
      </c>
      <c r="J105">
        <f>SUM('ведомствен.2014'!G118)</f>
        <v>2351.7</v>
      </c>
    </row>
    <row r="106" spans="1:9" ht="28.5" hidden="1">
      <c r="A106" s="234" t="s">
        <v>517</v>
      </c>
      <c r="B106" s="204"/>
      <c r="C106" s="298" t="s">
        <v>105</v>
      </c>
      <c r="D106" s="299" t="s">
        <v>299</v>
      </c>
      <c r="E106" s="299" t="s">
        <v>528</v>
      </c>
      <c r="F106" s="300" t="s">
        <v>518</v>
      </c>
      <c r="G106" s="347"/>
      <c r="H106" s="14">
        <v>5387.8</v>
      </c>
      <c r="I106" s="14">
        <f t="shared" si="2"/>
        <v>359.18666666666667</v>
      </c>
    </row>
    <row r="107" spans="1:9" s="19" customFormat="1" ht="28.5" hidden="1">
      <c r="A107" s="234" t="s">
        <v>519</v>
      </c>
      <c r="B107" s="201"/>
      <c r="C107" s="298" t="s">
        <v>105</v>
      </c>
      <c r="D107" s="299" t="s">
        <v>299</v>
      </c>
      <c r="E107" s="299" t="s">
        <v>528</v>
      </c>
      <c r="F107" s="300" t="s">
        <v>520</v>
      </c>
      <c r="G107" s="347"/>
      <c r="H107" s="14">
        <f>SUM(H110)</f>
        <v>0</v>
      </c>
      <c r="I107" s="14">
        <f t="shared" si="2"/>
        <v>0</v>
      </c>
    </row>
    <row r="108" spans="1:10" s="19" customFormat="1" ht="15">
      <c r="A108" s="234" t="s">
        <v>500</v>
      </c>
      <c r="B108" s="201"/>
      <c r="C108" s="298" t="s">
        <v>105</v>
      </c>
      <c r="D108" s="299" t="s">
        <v>299</v>
      </c>
      <c r="E108" s="299" t="s">
        <v>528</v>
      </c>
      <c r="F108" s="300" t="s">
        <v>175</v>
      </c>
      <c r="G108" s="347">
        <v>261.5</v>
      </c>
      <c r="H108" s="14"/>
      <c r="I108" s="14"/>
      <c r="J108" s="19">
        <f>SUM('ведомствен.2014'!G120)</f>
        <v>261.5</v>
      </c>
    </row>
    <row r="109" spans="1:9" s="19" customFormat="1" ht="28.5">
      <c r="A109" s="234" t="s">
        <v>600</v>
      </c>
      <c r="B109" s="201"/>
      <c r="C109" s="298" t="s">
        <v>105</v>
      </c>
      <c r="D109" s="299" t="s">
        <v>299</v>
      </c>
      <c r="E109" s="299" t="s">
        <v>535</v>
      </c>
      <c r="F109" s="300"/>
      <c r="G109" s="347">
        <f>SUM(G111+G113)</f>
        <v>2374.3</v>
      </c>
      <c r="H109" s="14">
        <f>SUM(H110)</f>
        <v>0</v>
      </c>
      <c r="I109" s="14">
        <f>SUM(H109/G115*100)</f>
        <v>0</v>
      </c>
    </row>
    <row r="110" spans="1:10" ht="28.5">
      <c r="A110" s="234" t="s">
        <v>601</v>
      </c>
      <c r="B110" s="201"/>
      <c r="C110" s="298" t="s">
        <v>105</v>
      </c>
      <c r="D110" s="299" t="s">
        <v>299</v>
      </c>
      <c r="E110" s="299" t="s">
        <v>536</v>
      </c>
      <c r="F110" s="300"/>
      <c r="G110" s="347">
        <f>SUM(G111)</f>
        <v>874.3</v>
      </c>
      <c r="H110" s="14"/>
      <c r="I110" s="14">
        <f>SUM(H110/G116*100)</f>
        <v>0</v>
      </c>
      <c r="J110"/>
    </row>
    <row r="111" spans="1:10" ht="15">
      <c r="A111" s="234" t="s">
        <v>499</v>
      </c>
      <c r="B111" s="201"/>
      <c r="C111" s="298" t="s">
        <v>105</v>
      </c>
      <c r="D111" s="299" t="s">
        <v>299</v>
      </c>
      <c r="E111" s="299" t="s">
        <v>536</v>
      </c>
      <c r="F111" s="300" t="s">
        <v>119</v>
      </c>
      <c r="G111" s="347">
        <v>874.3</v>
      </c>
      <c r="H111" s="14"/>
      <c r="I111" s="14"/>
      <c r="J111">
        <f>SUM('ведомствен.2014'!G123)</f>
        <v>874.3</v>
      </c>
    </row>
    <row r="112" spans="1:10" ht="28.5">
      <c r="A112" s="234" t="s">
        <v>0</v>
      </c>
      <c r="B112" s="201"/>
      <c r="C112" s="298" t="s">
        <v>105</v>
      </c>
      <c r="D112" s="299" t="s">
        <v>299</v>
      </c>
      <c r="E112" s="299" t="s">
        <v>537</v>
      </c>
      <c r="F112" s="300"/>
      <c r="G112" s="347">
        <f>SUM(G113)</f>
        <v>1500</v>
      </c>
      <c r="H112" s="14"/>
      <c r="I112" s="14"/>
      <c r="J112"/>
    </row>
    <row r="113" spans="1:10" ht="15">
      <c r="A113" s="234" t="s">
        <v>499</v>
      </c>
      <c r="B113" s="201"/>
      <c r="C113" s="298" t="s">
        <v>105</v>
      </c>
      <c r="D113" s="299" t="s">
        <v>299</v>
      </c>
      <c r="E113" s="299" t="s">
        <v>537</v>
      </c>
      <c r="F113" s="300" t="s">
        <v>119</v>
      </c>
      <c r="G113" s="347">
        <v>1500</v>
      </c>
      <c r="H113" s="14"/>
      <c r="I113" s="14"/>
      <c r="J113">
        <f>SUM('ведомствен.2014'!G125)</f>
        <v>1500</v>
      </c>
    </row>
    <row r="114" spans="1:10" ht="15">
      <c r="A114" s="234" t="s">
        <v>1</v>
      </c>
      <c r="B114" s="205"/>
      <c r="C114" s="292" t="s">
        <v>105</v>
      </c>
      <c r="D114" s="288" t="s">
        <v>299</v>
      </c>
      <c r="E114" s="288" t="s">
        <v>538</v>
      </c>
      <c r="F114" s="285"/>
      <c r="G114" s="347">
        <f>SUM(G115)</f>
        <v>40</v>
      </c>
      <c r="H114" s="14"/>
      <c r="I114" s="14"/>
      <c r="J114"/>
    </row>
    <row r="115" spans="1:10" ht="28.5">
      <c r="A115" s="234" t="s">
        <v>2</v>
      </c>
      <c r="B115" s="205"/>
      <c r="C115" s="292" t="s">
        <v>105</v>
      </c>
      <c r="D115" s="288" t="s">
        <v>299</v>
      </c>
      <c r="E115" s="288" t="s">
        <v>539</v>
      </c>
      <c r="F115" s="285"/>
      <c r="G115" s="347">
        <f>SUM(G116)</f>
        <v>40</v>
      </c>
      <c r="H115" s="14"/>
      <c r="I115" s="14"/>
      <c r="J115"/>
    </row>
    <row r="116" spans="1:10" ht="15">
      <c r="A116" s="234" t="s">
        <v>499</v>
      </c>
      <c r="B116" s="205"/>
      <c r="C116" s="292" t="s">
        <v>105</v>
      </c>
      <c r="D116" s="288" t="s">
        <v>299</v>
      </c>
      <c r="E116" s="288" t="s">
        <v>539</v>
      </c>
      <c r="F116" s="285" t="s">
        <v>119</v>
      </c>
      <c r="G116" s="347">
        <v>40</v>
      </c>
      <c r="H116" s="14" t="e">
        <f>SUM(#REF!+H118)</f>
        <v>#REF!</v>
      </c>
      <c r="I116" s="14" t="e">
        <f>SUM(H116/#REF!*100)</f>
        <v>#REF!</v>
      </c>
      <c r="J116">
        <f>SUM('ведомствен.2014'!G128)</f>
        <v>40</v>
      </c>
    </row>
    <row r="117" spans="1:10" ht="15">
      <c r="A117" s="240" t="s">
        <v>550</v>
      </c>
      <c r="B117" s="205"/>
      <c r="C117" s="332" t="s">
        <v>105</v>
      </c>
      <c r="D117" s="308" t="s">
        <v>299</v>
      </c>
      <c r="E117" s="288" t="s">
        <v>128</v>
      </c>
      <c r="F117" s="309"/>
      <c r="G117" s="359">
        <f>SUM(G118)</f>
        <v>1180</v>
      </c>
      <c r="H117" s="14"/>
      <c r="I117" s="14" t="e">
        <f>SUM(H117/#REF!*100)</f>
        <v>#REF!</v>
      </c>
      <c r="J117"/>
    </row>
    <row r="118" spans="1:10" ht="28.5">
      <c r="A118" s="234" t="s">
        <v>669</v>
      </c>
      <c r="B118" s="198"/>
      <c r="C118" s="332" t="s">
        <v>105</v>
      </c>
      <c r="D118" s="308" t="s">
        <v>299</v>
      </c>
      <c r="E118" s="288" t="s">
        <v>137</v>
      </c>
      <c r="F118" s="285"/>
      <c r="G118" s="145">
        <f>SUM(G119)</f>
        <v>1180</v>
      </c>
      <c r="H118" s="14">
        <f>SUM(H119)</f>
        <v>0</v>
      </c>
      <c r="I118" s="14" t="e">
        <f>SUM(H118/#REF!*100)</f>
        <v>#REF!</v>
      </c>
      <c r="J118"/>
    </row>
    <row r="119" spans="1:10" ht="15">
      <c r="A119" s="234" t="s">
        <v>499</v>
      </c>
      <c r="B119" s="198"/>
      <c r="C119" s="332" t="s">
        <v>105</v>
      </c>
      <c r="D119" s="308" t="s">
        <v>299</v>
      </c>
      <c r="E119" s="288" t="s">
        <v>137</v>
      </c>
      <c r="F119" s="285" t="s">
        <v>119</v>
      </c>
      <c r="G119" s="145">
        <v>1180</v>
      </c>
      <c r="H119" s="14"/>
      <c r="I119" s="14" t="e">
        <f>SUM(H119/#REF!*100)</f>
        <v>#REF!</v>
      </c>
      <c r="J119">
        <f>SUM('ведомствен.2014'!G133)</f>
        <v>1180</v>
      </c>
    </row>
    <row r="120" spans="1:12" ht="15">
      <c r="A120" s="237" t="s">
        <v>120</v>
      </c>
      <c r="B120" s="202"/>
      <c r="C120" s="289" t="s">
        <v>121</v>
      </c>
      <c r="D120" s="350"/>
      <c r="E120" s="350"/>
      <c r="F120" s="351"/>
      <c r="G120" s="147">
        <f>SUM(G121+G137+G143)</f>
        <v>311071.4</v>
      </c>
      <c r="H120" s="14"/>
      <c r="I120" s="14">
        <f>SUM(H120/G133*100)</f>
        <v>0</v>
      </c>
      <c r="J120"/>
      <c r="K120">
        <f>SUM(J121:J174)</f>
        <v>311071.4</v>
      </c>
      <c r="L120">
        <f>SUM('ведомствен.2014'!G136+'ведомствен.2014'!G387+'ведомствен.2014'!G366)</f>
        <v>311071.4</v>
      </c>
    </row>
    <row r="121" spans="1:11" ht="14.25" customHeight="1">
      <c r="A121" s="234" t="s">
        <v>122</v>
      </c>
      <c r="B121" s="201"/>
      <c r="C121" s="298" t="s">
        <v>121</v>
      </c>
      <c r="D121" s="299" t="s">
        <v>123</v>
      </c>
      <c r="E121" s="299"/>
      <c r="F121" s="300"/>
      <c r="G121" s="347">
        <f>G125+G122</f>
        <v>114801.9</v>
      </c>
      <c r="H121" s="14">
        <v>870.4</v>
      </c>
      <c r="I121" s="14" t="e">
        <f>SUM(H121/G135*100)</f>
        <v>#DIV/0!</v>
      </c>
      <c r="J121"/>
      <c r="K121" s="276">
        <f>SUM(K120-G120)</f>
        <v>0</v>
      </c>
    </row>
    <row r="122" spans="1:10" ht="28.5" hidden="1">
      <c r="A122" s="234" t="s">
        <v>496</v>
      </c>
      <c r="B122" s="206"/>
      <c r="C122" s="299" t="s">
        <v>121</v>
      </c>
      <c r="D122" s="299" t="s">
        <v>123</v>
      </c>
      <c r="E122" s="299" t="s">
        <v>497</v>
      </c>
      <c r="F122" s="300"/>
      <c r="G122" s="347">
        <f>SUM(G123)</f>
        <v>0</v>
      </c>
      <c r="H122" s="14"/>
      <c r="I122" s="14"/>
      <c r="J122"/>
    </row>
    <row r="123" spans="1:10" ht="15" hidden="1">
      <c r="A123" s="234" t="s">
        <v>690</v>
      </c>
      <c r="B123" s="206"/>
      <c r="C123" s="299" t="s">
        <v>121</v>
      </c>
      <c r="D123" s="299" t="s">
        <v>123</v>
      </c>
      <c r="E123" s="299" t="s">
        <v>691</v>
      </c>
      <c r="F123" s="300"/>
      <c r="G123" s="347">
        <f>SUM(G124)</f>
        <v>0</v>
      </c>
      <c r="H123" s="14"/>
      <c r="I123" s="14"/>
      <c r="J123"/>
    </row>
    <row r="124" spans="1:10" ht="15" hidden="1">
      <c r="A124" s="234" t="s">
        <v>499</v>
      </c>
      <c r="B124" s="206"/>
      <c r="C124" s="299" t="s">
        <v>121</v>
      </c>
      <c r="D124" s="299" t="s">
        <v>123</v>
      </c>
      <c r="E124" s="299" t="s">
        <v>691</v>
      </c>
      <c r="F124" s="300" t="s">
        <v>119</v>
      </c>
      <c r="G124" s="347"/>
      <c r="H124" s="14"/>
      <c r="I124" s="14"/>
      <c r="J124">
        <f>SUM('ведомствен.2014'!G140)</f>
        <v>0</v>
      </c>
    </row>
    <row r="125" spans="1:10" ht="30" customHeight="1">
      <c r="A125" s="234" t="s">
        <v>540</v>
      </c>
      <c r="B125" s="201"/>
      <c r="C125" s="298" t="s">
        <v>121</v>
      </c>
      <c r="D125" s="299" t="s">
        <v>123</v>
      </c>
      <c r="E125" s="299" t="s">
        <v>541</v>
      </c>
      <c r="F125" s="300"/>
      <c r="G125" s="347">
        <f>G126+G131</f>
        <v>114801.9</v>
      </c>
      <c r="H125" s="14">
        <f>SUM(H133)</f>
        <v>30706.4</v>
      </c>
      <c r="I125" s="14" t="e">
        <f>SUM(H125/G136*100)</f>
        <v>#DIV/0!</v>
      </c>
      <c r="J125"/>
    </row>
    <row r="126" spans="1:10" ht="22.5" customHeight="1">
      <c r="A126" s="234" t="s">
        <v>542</v>
      </c>
      <c r="B126" s="201"/>
      <c r="C126" s="298" t="s">
        <v>121</v>
      </c>
      <c r="D126" s="299" t="s">
        <v>123</v>
      </c>
      <c r="E126" s="299" t="s">
        <v>543</v>
      </c>
      <c r="F126" s="300"/>
      <c r="G126" s="347">
        <f>G127+G129</f>
        <v>47457.399999999994</v>
      </c>
      <c r="H126" s="14"/>
      <c r="I126" s="14"/>
      <c r="J126"/>
    </row>
    <row r="127" spans="1:10" ht="22.5" customHeight="1">
      <c r="A127" s="234" t="s">
        <v>6</v>
      </c>
      <c r="B127" s="201"/>
      <c r="C127" s="298" t="s">
        <v>121</v>
      </c>
      <c r="D127" s="299" t="s">
        <v>123</v>
      </c>
      <c r="E127" s="299" t="s">
        <v>544</v>
      </c>
      <c r="F127" s="300"/>
      <c r="G127" s="347">
        <f>SUM(G128)</f>
        <v>43423.7</v>
      </c>
      <c r="H127" s="14"/>
      <c r="I127" s="14"/>
      <c r="J127"/>
    </row>
    <row r="128" spans="1:10" ht="22.5" customHeight="1">
      <c r="A128" s="234" t="s">
        <v>500</v>
      </c>
      <c r="B128" s="201"/>
      <c r="C128" s="298" t="s">
        <v>121</v>
      </c>
      <c r="D128" s="299" t="s">
        <v>123</v>
      </c>
      <c r="E128" s="299" t="s">
        <v>544</v>
      </c>
      <c r="F128" s="300" t="s">
        <v>175</v>
      </c>
      <c r="G128" s="347">
        <v>43423.7</v>
      </c>
      <c r="H128" s="14"/>
      <c r="I128" s="14"/>
      <c r="J128">
        <f>SUM('ведомствен.2014'!G144)+'ведомствен.2014'!G392</f>
        <v>43423.7</v>
      </c>
    </row>
    <row r="129" spans="1:10" ht="30.75" customHeight="1">
      <c r="A129" s="117" t="s">
        <v>734</v>
      </c>
      <c r="B129" s="65"/>
      <c r="C129" s="312" t="s">
        <v>121</v>
      </c>
      <c r="D129" s="312" t="s">
        <v>123</v>
      </c>
      <c r="E129" s="311" t="s">
        <v>735</v>
      </c>
      <c r="F129" s="313"/>
      <c r="G129" s="266">
        <f>SUM(G130)</f>
        <v>4033.7</v>
      </c>
      <c r="H129" s="14"/>
      <c r="I129" s="14"/>
      <c r="J129"/>
    </row>
    <row r="130" spans="1:10" ht="22.5" customHeight="1">
      <c r="A130" s="117" t="s">
        <v>500</v>
      </c>
      <c r="B130" s="65"/>
      <c r="C130" s="312" t="s">
        <v>121</v>
      </c>
      <c r="D130" s="312" t="s">
        <v>123</v>
      </c>
      <c r="E130" s="311" t="s">
        <v>735</v>
      </c>
      <c r="F130" s="313" t="s">
        <v>175</v>
      </c>
      <c r="G130" s="266">
        <v>4033.7</v>
      </c>
      <c r="H130" s="14"/>
      <c r="I130" s="14"/>
      <c r="J130">
        <f>SUM('ведомствен.2014'!G394)</f>
        <v>4033.7</v>
      </c>
    </row>
    <row r="131" spans="1:10" ht="22.5" customHeight="1">
      <c r="A131" s="234" t="s">
        <v>124</v>
      </c>
      <c r="B131" s="201"/>
      <c r="C131" s="298" t="s">
        <v>121</v>
      </c>
      <c r="D131" s="299" t="s">
        <v>123</v>
      </c>
      <c r="E131" s="299" t="s">
        <v>416</v>
      </c>
      <c r="F131" s="300"/>
      <c r="G131" s="347">
        <f>G132</f>
        <v>67344.5</v>
      </c>
      <c r="H131" s="14"/>
      <c r="I131" s="14"/>
      <c r="J131"/>
    </row>
    <row r="132" spans="1:10" ht="28.5" customHeight="1">
      <c r="A132" s="234" t="s">
        <v>15</v>
      </c>
      <c r="B132" s="201"/>
      <c r="C132" s="298" t="s">
        <v>121</v>
      </c>
      <c r="D132" s="299" t="s">
        <v>123</v>
      </c>
      <c r="E132" s="299" t="s">
        <v>76</v>
      </c>
      <c r="F132" s="300"/>
      <c r="G132" s="347">
        <f>SUM(G133)</f>
        <v>67344.5</v>
      </c>
      <c r="H132" s="14"/>
      <c r="I132" s="14"/>
      <c r="J132"/>
    </row>
    <row r="133" spans="1:10" ht="31.5" customHeight="1">
      <c r="A133" s="234" t="s">
        <v>204</v>
      </c>
      <c r="B133" s="201"/>
      <c r="C133" s="298" t="s">
        <v>121</v>
      </c>
      <c r="D133" s="299" t="s">
        <v>123</v>
      </c>
      <c r="E133" s="299" t="s">
        <v>77</v>
      </c>
      <c r="F133" s="300"/>
      <c r="G133" s="347">
        <f>SUM(G134)</f>
        <v>67344.5</v>
      </c>
      <c r="H133" s="14">
        <f>SUM(H134)+H135</f>
        <v>30706.4</v>
      </c>
      <c r="I133" s="14">
        <f>SUM(H133/G139*100)</f>
        <v>17.96137062904339</v>
      </c>
      <c r="J133"/>
    </row>
    <row r="134" spans="1:10" ht="28.5">
      <c r="A134" s="234" t="s">
        <v>523</v>
      </c>
      <c r="B134" s="201"/>
      <c r="C134" s="298" t="s">
        <v>121</v>
      </c>
      <c r="D134" s="299" t="s">
        <v>123</v>
      </c>
      <c r="E134" s="299" t="s">
        <v>77</v>
      </c>
      <c r="F134" s="300" t="s">
        <v>512</v>
      </c>
      <c r="G134" s="347">
        <v>67344.5</v>
      </c>
      <c r="H134" s="14">
        <v>30706.4</v>
      </c>
      <c r="I134" s="14" t="e">
        <f>SUM(H134/G140*100)</f>
        <v>#DIV/0!</v>
      </c>
      <c r="J134" s="36">
        <f>SUM('ведомствен.2014'!G149)</f>
        <v>67344.5</v>
      </c>
    </row>
    <row r="135" spans="1:10" ht="15" hidden="1">
      <c r="A135" s="234" t="s">
        <v>524</v>
      </c>
      <c r="B135" s="201"/>
      <c r="C135" s="298" t="s">
        <v>121</v>
      </c>
      <c r="D135" s="299" t="s">
        <v>123</v>
      </c>
      <c r="E135" s="299" t="s">
        <v>77</v>
      </c>
      <c r="F135" s="300" t="s">
        <v>525</v>
      </c>
      <c r="G135" s="347"/>
      <c r="H135" s="14">
        <f>SUM(H136)</f>
        <v>0</v>
      </c>
      <c r="I135" s="14" t="e">
        <f>SUM(H135/G141*100)</f>
        <v>#DIV/0!</v>
      </c>
      <c r="J135"/>
    </row>
    <row r="136" spans="1:10" ht="57" hidden="1">
      <c r="A136" s="239" t="s">
        <v>526</v>
      </c>
      <c r="B136" s="201"/>
      <c r="C136" s="298" t="s">
        <v>121</v>
      </c>
      <c r="D136" s="299" t="s">
        <v>123</v>
      </c>
      <c r="E136" s="299" t="s">
        <v>77</v>
      </c>
      <c r="F136" s="300" t="s">
        <v>58</v>
      </c>
      <c r="G136" s="347"/>
      <c r="H136" s="14"/>
      <c r="I136" s="14" t="e">
        <f>SUM(H136/G142*100)</f>
        <v>#DIV/0!</v>
      </c>
      <c r="J136"/>
    </row>
    <row r="137" spans="1:10" ht="15">
      <c r="A137" s="234" t="s">
        <v>146</v>
      </c>
      <c r="B137" s="201"/>
      <c r="C137" s="298" t="s">
        <v>121</v>
      </c>
      <c r="D137" s="299" t="s">
        <v>299</v>
      </c>
      <c r="E137" s="299"/>
      <c r="F137" s="300"/>
      <c r="G137" s="347">
        <f>G138</f>
        <v>170958</v>
      </c>
      <c r="H137" s="14"/>
      <c r="I137" s="14"/>
      <c r="J137"/>
    </row>
    <row r="138" spans="1:9" s="68" customFormat="1" ht="42.75">
      <c r="A138" s="234" t="s">
        <v>38</v>
      </c>
      <c r="B138" s="201"/>
      <c r="C138" s="298" t="s">
        <v>121</v>
      </c>
      <c r="D138" s="299" t="s">
        <v>299</v>
      </c>
      <c r="E138" s="299" t="s">
        <v>39</v>
      </c>
      <c r="F138" s="300"/>
      <c r="G138" s="347">
        <f>G139</f>
        <v>170958</v>
      </c>
      <c r="H138" s="18"/>
      <c r="I138" s="18"/>
    </row>
    <row r="139" spans="1:10" s="68" customFormat="1" ht="15">
      <c r="A139" s="234" t="s">
        <v>499</v>
      </c>
      <c r="B139" s="201"/>
      <c r="C139" s="298" t="s">
        <v>121</v>
      </c>
      <c r="D139" s="299" t="s">
        <v>299</v>
      </c>
      <c r="E139" s="299" t="s">
        <v>39</v>
      </c>
      <c r="F139" s="300" t="s">
        <v>119</v>
      </c>
      <c r="G139" s="347">
        <v>170958</v>
      </c>
      <c r="H139" s="18"/>
      <c r="I139" s="18"/>
      <c r="J139" s="36">
        <f>SUM('ведомствен.2014'!G154)</f>
        <v>170958</v>
      </c>
    </row>
    <row r="140" spans="1:9" s="2" customFormat="1" ht="28.5" hidden="1">
      <c r="A140" s="234" t="s">
        <v>517</v>
      </c>
      <c r="B140" s="201"/>
      <c r="C140" s="298" t="s">
        <v>121</v>
      </c>
      <c r="D140" s="299" t="s">
        <v>299</v>
      </c>
      <c r="E140" s="299" t="s">
        <v>39</v>
      </c>
      <c r="F140" s="300" t="s">
        <v>518</v>
      </c>
      <c r="G140" s="347"/>
      <c r="H140" s="18"/>
      <c r="I140" s="18"/>
    </row>
    <row r="141" spans="1:9" s="72" customFormat="1" ht="28.5" hidden="1">
      <c r="A141" s="234" t="s">
        <v>519</v>
      </c>
      <c r="B141" s="201"/>
      <c r="C141" s="298" t="s">
        <v>121</v>
      </c>
      <c r="D141" s="299" t="s">
        <v>299</v>
      </c>
      <c r="E141" s="299" t="s">
        <v>39</v>
      </c>
      <c r="F141" s="300" t="s">
        <v>520</v>
      </c>
      <c r="G141" s="347"/>
      <c r="H141" s="71"/>
      <c r="I141" s="71"/>
    </row>
    <row r="142" spans="1:9" s="15" customFormat="1" ht="28.5" hidden="1">
      <c r="A142" s="234" t="s">
        <v>546</v>
      </c>
      <c r="B142" s="201"/>
      <c r="C142" s="298" t="s">
        <v>121</v>
      </c>
      <c r="D142" s="299" t="s">
        <v>299</v>
      </c>
      <c r="E142" s="299" t="s">
        <v>39</v>
      </c>
      <c r="F142" s="300" t="s">
        <v>520</v>
      </c>
      <c r="G142" s="347"/>
      <c r="H142" s="14"/>
      <c r="I142" s="14"/>
    </row>
    <row r="143" spans="1:9" s="15" customFormat="1" ht="15">
      <c r="A143" s="234" t="s">
        <v>417</v>
      </c>
      <c r="B143" s="201"/>
      <c r="C143" s="298" t="s">
        <v>121</v>
      </c>
      <c r="D143" s="299" t="s">
        <v>407</v>
      </c>
      <c r="E143" s="299"/>
      <c r="F143" s="300"/>
      <c r="G143" s="347">
        <f>SUM(G144+G154+G165)+G163</f>
        <v>25311.5</v>
      </c>
      <c r="H143" s="14"/>
      <c r="I143" s="14"/>
    </row>
    <row r="144" spans="1:9" s="15" customFormat="1" ht="28.5">
      <c r="A144" s="234" t="s">
        <v>540</v>
      </c>
      <c r="B144" s="201"/>
      <c r="C144" s="298" t="s">
        <v>121</v>
      </c>
      <c r="D144" s="299" t="s">
        <v>407</v>
      </c>
      <c r="E144" s="299" t="s">
        <v>541</v>
      </c>
      <c r="F144" s="300"/>
      <c r="G144" s="347">
        <f>SUM(G145)</f>
        <v>4464.4</v>
      </c>
      <c r="H144" s="14"/>
      <c r="I144" s="14"/>
    </row>
    <row r="145" spans="1:9" s="15" customFormat="1" ht="14.25" customHeight="1">
      <c r="A145" s="234" t="s">
        <v>422</v>
      </c>
      <c r="B145" s="201"/>
      <c r="C145" s="298" t="s">
        <v>121</v>
      </c>
      <c r="D145" s="299" t="s">
        <v>407</v>
      </c>
      <c r="E145" s="299" t="s">
        <v>547</v>
      </c>
      <c r="F145" s="300"/>
      <c r="G145" s="347">
        <f>SUM(G146,G150)</f>
        <v>4464.4</v>
      </c>
      <c r="H145" s="14"/>
      <c r="I145" s="14"/>
    </row>
    <row r="146" spans="1:9" s="72" customFormat="1" ht="28.5" hidden="1">
      <c r="A146" s="234" t="s">
        <v>551</v>
      </c>
      <c r="B146" s="201"/>
      <c r="C146" s="298" t="s">
        <v>121</v>
      </c>
      <c r="D146" s="299" t="s">
        <v>407</v>
      </c>
      <c r="E146" s="288" t="s">
        <v>548</v>
      </c>
      <c r="F146" s="300"/>
      <c r="G146" s="347">
        <f>SUM(G147)</f>
        <v>0</v>
      </c>
      <c r="H146" s="71"/>
      <c r="I146" s="71"/>
    </row>
    <row r="147" spans="1:10" s="72" customFormat="1" ht="18.75" customHeight="1" hidden="1">
      <c r="A147" s="234" t="s">
        <v>499</v>
      </c>
      <c r="B147" s="201"/>
      <c r="C147" s="298" t="s">
        <v>121</v>
      </c>
      <c r="D147" s="299" t="s">
        <v>407</v>
      </c>
      <c r="E147" s="288" t="s">
        <v>548</v>
      </c>
      <c r="F147" s="300" t="s">
        <v>119</v>
      </c>
      <c r="G147" s="347">
        <f>412.2-412.2</f>
        <v>0</v>
      </c>
      <c r="H147" s="71"/>
      <c r="I147" s="71"/>
      <c r="J147" s="36">
        <f>SUM('ведомствен.2014'!G162)</f>
        <v>0</v>
      </c>
    </row>
    <row r="148" spans="1:9" s="72" customFormat="1" ht="28.5" hidden="1">
      <c r="A148" s="234" t="s">
        <v>517</v>
      </c>
      <c r="B148" s="201"/>
      <c r="C148" s="298" t="s">
        <v>121</v>
      </c>
      <c r="D148" s="299" t="s">
        <v>407</v>
      </c>
      <c r="E148" s="288" t="s">
        <v>548</v>
      </c>
      <c r="F148" s="300" t="s">
        <v>518</v>
      </c>
      <c r="G148" s="347"/>
      <c r="H148" s="71"/>
      <c r="I148" s="71"/>
    </row>
    <row r="149" spans="1:9" s="72" customFormat="1" ht="28.5">
      <c r="A149" s="234" t="s">
        <v>15</v>
      </c>
      <c r="B149" s="201"/>
      <c r="C149" s="298" t="s">
        <v>121</v>
      </c>
      <c r="D149" s="299" t="s">
        <v>407</v>
      </c>
      <c r="E149" s="299" t="s">
        <v>552</v>
      </c>
      <c r="F149" s="300"/>
      <c r="G149" s="347">
        <f>SUM(G150)</f>
        <v>4464.4</v>
      </c>
      <c r="H149" s="71"/>
      <c r="I149" s="71"/>
    </row>
    <row r="150" spans="1:9" s="72" customFormat="1" ht="28.5">
      <c r="A150" s="234" t="s">
        <v>204</v>
      </c>
      <c r="B150" s="201"/>
      <c r="C150" s="298" t="s">
        <v>121</v>
      </c>
      <c r="D150" s="299" t="s">
        <v>407</v>
      </c>
      <c r="E150" s="299" t="s">
        <v>549</v>
      </c>
      <c r="F150" s="300"/>
      <c r="G150" s="347">
        <f>G151</f>
        <v>4464.4</v>
      </c>
      <c r="H150" s="71"/>
      <c r="I150" s="71"/>
    </row>
    <row r="151" spans="1:10" s="72" customFormat="1" ht="28.5">
      <c r="A151" s="234" t="s">
        <v>523</v>
      </c>
      <c r="B151" s="201"/>
      <c r="C151" s="298" t="s">
        <v>121</v>
      </c>
      <c r="D151" s="299" t="s">
        <v>407</v>
      </c>
      <c r="E151" s="299" t="s">
        <v>549</v>
      </c>
      <c r="F151" s="300" t="s">
        <v>512</v>
      </c>
      <c r="G151" s="347">
        <f>4052.2+412.2</f>
        <v>4464.4</v>
      </c>
      <c r="H151" s="71"/>
      <c r="I151" s="71"/>
      <c r="J151" s="36">
        <f>SUM('ведомствен.2014'!G166)</f>
        <v>4464.400000000001</v>
      </c>
    </row>
    <row r="152" spans="1:9" s="72" customFormat="1" ht="15" hidden="1">
      <c r="A152" s="234" t="s">
        <v>524</v>
      </c>
      <c r="B152" s="201"/>
      <c r="C152" s="298" t="s">
        <v>121</v>
      </c>
      <c r="D152" s="299" t="s">
        <v>407</v>
      </c>
      <c r="E152" s="299" t="s">
        <v>549</v>
      </c>
      <c r="F152" s="300" t="s">
        <v>525</v>
      </c>
      <c r="G152" s="347"/>
      <c r="H152" s="71"/>
      <c r="I152" s="71"/>
    </row>
    <row r="153" spans="1:9" s="72" customFormat="1" ht="57" hidden="1">
      <c r="A153" s="239" t="s">
        <v>526</v>
      </c>
      <c r="B153" s="203"/>
      <c r="C153" s="301" t="s">
        <v>121</v>
      </c>
      <c r="D153" s="302" t="s">
        <v>407</v>
      </c>
      <c r="E153" s="302" t="s">
        <v>549</v>
      </c>
      <c r="F153" s="303" t="s">
        <v>58</v>
      </c>
      <c r="G153" s="358"/>
      <c r="H153" s="71"/>
      <c r="I153" s="71"/>
    </row>
    <row r="154" spans="1:9" s="72" customFormat="1" ht="28.5">
      <c r="A154" s="234" t="s">
        <v>419</v>
      </c>
      <c r="B154" s="198"/>
      <c r="C154" s="298" t="s">
        <v>121</v>
      </c>
      <c r="D154" s="299" t="s">
        <v>407</v>
      </c>
      <c r="E154" s="288" t="s">
        <v>420</v>
      </c>
      <c r="F154" s="285"/>
      <c r="G154" s="145">
        <f>SUM(G157)+G155</f>
        <v>7983.1</v>
      </c>
      <c r="H154" s="71"/>
      <c r="I154" s="71"/>
    </row>
    <row r="155" spans="1:9" s="72" customFormat="1" ht="42.75">
      <c r="A155" s="121" t="s">
        <v>1046</v>
      </c>
      <c r="B155" s="282"/>
      <c r="C155" s="299" t="s">
        <v>121</v>
      </c>
      <c r="D155" s="299" t="s">
        <v>407</v>
      </c>
      <c r="E155" s="288" t="s">
        <v>1047</v>
      </c>
      <c r="F155" s="285"/>
      <c r="G155" s="266">
        <f>SUM(G156)</f>
        <v>3200</v>
      </c>
      <c r="H155" s="71"/>
      <c r="I155" s="71"/>
    </row>
    <row r="156" spans="1:10" s="72" customFormat="1" ht="28.5">
      <c r="A156" s="121" t="s">
        <v>523</v>
      </c>
      <c r="B156" s="282"/>
      <c r="C156" s="299" t="s">
        <v>121</v>
      </c>
      <c r="D156" s="299" t="s">
        <v>407</v>
      </c>
      <c r="E156" s="288" t="s">
        <v>1047</v>
      </c>
      <c r="F156" s="285" t="s">
        <v>512</v>
      </c>
      <c r="G156" s="266">
        <v>3200</v>
      </c>
      <c r="H156" s="71"/>
      <c r="I156" s="71"/>
      <c r="J156" s="72">
        <f>SUM('ведомствен.2014'!G398)</f>
        <v>3200</v>
      </c>
    </row>
    <row r="157" spans="1:9" s="72" customFormat="1" ht="28.5">
      <c r="A157" s="234" t="s">
        <v>15</v>
      </c>
      <c r="B157" s="201"/>
      <c r="C157" s="298" t="s">
        <v>121</v>
      </c>
      <c r="D157" s="299" t="s">
        <v>407</v>
      </c>
      <c r="E157" s="299" t="s">
        <v>616</v>
      </c>
      <c r="F157" s="300"/>
      <c r="G157" s="347">
        <f>SUM(G158)+G160</f>
        <v>4783.1</v>
      </c>
      <c r="H157" s="71"/>
      <c r="I157" s="71"/>
    </row>
    <row r="158" spans="1:9" s="72" customFormat="1" ht="28.5">
      <c r="A158" s="234" t="s">
        <v>204</v>
      </c>
      <c r="B158" s="201"/>
      <c r="C158" s="298" t="s">
        <v>121</v>
      </c>
      <c r="D158" s="299" t="s">
        <v>407</v>
      </c>
      <c r="E158" s="299" t="s">
        <v>617</v>
      </c>
      <c r="F158" s="300"/>
      <c r="G158" s="347">
        <f>G159</f>
        <v>4708.1</v>
      </c>
      <c r="H158" s="71"/>
      <c r="I158" s="71"/>
    </row>
    <row r="159" spans="1:10" s="72" customFormat="1" ht="28.5">
      <c r="A159" s="234" t="s">
        <v>523</v>
      </c>
      <c r="B159" s="201"/>
      <c r="C159" s="298" t="s">
        <v>121</v>
      </c>
      <c r="D159" s="299" t="s">
        <v>407</v>
      </c>
      <c r="E159" s="299" t="s">
        <v>617</v>
      </c>
      <c r="F159" s="300" t="s">
        <v>512</v>
      </c>
      <c r="G159" s="347">
        <v>4708.1</v>
      </c>
      <c r="H159" s="71"/>
      <c r="I159" s="71"/>
      <c r="J159" s="72">
        <f>SUM('ведомствен.2014'!G401)</f>
        <v>4708.1</v>
      </c>
    </row>
    <row r="160" spans="1:9" s="72" customFormat="1" ht="28.5">
      <c r="A160" s="121" t="s">
        <v>153</v>
      </c>
      <c r="B160" s="156"/>
      <c r="C160" s="299" t="s">
        <v>121</v>
      </c>
      <c r="D160" s="299" t="s">
        <v>407</v>
      </c>
      <c r="E160" s="299" t="s">
        <v>736</v>
      </c>
      <c r="F160" s="300"/>
      <c r="G160" s="343">
        <f>SUM(G161)</f>
        <v>75</v>
      </c>
      <c r="H160" s="71"/>
      <c r="I160" s="71"/>
    </row>
    <row r="161" spans="1:9" s="72" customFormat="1" ht="28.5">
      <c r="A161" s="180" t="s">
        <v>153</v>
      </c>
      <c r="B161" s="156"/>
      <c r="C161" s="299" t="s">
        <v>121</v>
      </c>
      <c r="D161" s="299" t="s">
        <v>407</v>
      </c>
      <c r="E161" s="299" t="s">
        <v>737</v>
      </c>
      <c r="F161" s="300"/>
      <c r="G161" s="343">
        <f>SUM(G162)</f>
        <v>75</v>
      </c>
      <c r="H161" s="71"/>
      <c r="I161" s="71"/>
    </row>
    <row r="162" spans="1:10" s="72" customFormat="1" ht="28.5">
      <c r="A162" s="122" t="s">
        <v>523</v>
      </c>
      <c r="B162" s="156"/>
      <c r="C162" s="299" t="s">
        <v>121</v>
      </c>
      <c r="D162" s="299" t="s">
        <v>407</v>
      </c>
      <c r="E162" s="299" t="s">
        <v>737</v>
      </c>
      <c r="F162" s="300" t="s">
        <v>512</v>
      </c>
      <c r="G162" s="343">
        <v>75</v>
      </c>
      <c r="H162" s="71"/>
      <c r="I162" s="71"/>
      <c r="J162" s="72">
        <f>SUM('ведомствен.2014'!G404)</f>
        <v>75</v>
      </c>
    </row>
    <row r="163" spans="1:9" s="72" customFormat="1" ht="85.5">
      <c r="A163" s="121" t="s">
        <v>783</v>
      </c>
      <c r="B163" s="298"/>
      <c r="C163" s="299" t="s">
        <v>121</v>
      </c>
      <c r="D163" s="299" t="s">
        <v>407</v>
      </c>
      <c r="E163" s="299" t="s">
        <v>784</v>
      </c>
      <c r="F163" s="300"/>
      <c r="G163" s="343">
        <f>SUM(G164)</f>
        <v>6000</v>
      </c>
      <c r="H163" s="71"/>
      <c r="I163" s="71"/>
    </row>
    <row r="164" spans="1:10" s="72" customFormat="1" ht="15">
      <c r="A164" s="121" t="s">
        <v>500</v>
      </c>
      <c r="B164" s="298"/>
      <c r="C164" s="299" t="s">
        <v>121</v>
      </c>
      <c r="D164" s="299" t="s">
        <v>407</v>
      </c>
      <c r="E164" s="299" t="s">
        <v>784</v>
      </c>
      <c r="F164" s="300" t="s">
        <v>175</v>
      </c>
      <c r="G164" s="343">
        <v>6000</v>
      </c>
      <c r="H164" s="71"/>
      <c r="I164" s="71"/>
      <c r="J164" s="72">
        <f>SUM('ведомствен.2014'!G168)</f>
        <v>6000</v>
      </c>
    </row>
    <row r="165" spans="1:9" s="72" customFormat="1" ht="15">
      <c r="A165" s="241" t="s">
        <v>550</v>
      </c>
      <c r="B165" s="203"/>
      <c r="C165" s="301" t="s">
        <v>121</v>
      </c>
      <c r="D165" s="302" t="s">
        <v>407</v>
      </c>
      <c r="E165" s="302" t="s">
        <v>128</v>
      </c>
      <c r="F165" s="303"/>
      <c r="G165" s="358">
        <f>G173+G170+G168+G166</f>
        <v>6864</v>
      </c>
      <c r="H165" s="71"/>
      <c r="I165" s="71"/>
    </row>
    <row r="166" spans="1:9" s="105" customFormat="1" ht="46.5" customHeight="1">
      <c r="A166" s="124" t="s">
        <v>750</v>
      </c>
      <c r="B166" s="301"/>
      <c r="C166" s="302" t="s">
        <v>121</v>
      </c>
      <c r="D166" s="302" t="s">
        <v>407</v>
      </c>
      <c r="E166" s="302" t="s">
        <v>751</v>
      </c>
      <c r="F166" s="303"/>
      <c r="G166" s="344">
        <f>SUM(G167)</f>
        <v>1000</v>
      </c>
      <c r="H166" s="87"/>
      <c r="I166" s="87"/>
    </row>
    <row r="167" spans="1:10" s="105" customFormat="1" ht="21.75" customHeight="1">
      <c r="A167" s="121" t="s">
        <v>500</v>
      </c>
      <c r="B167" s="301"/>
      <c r="C167" s="302" t="s">
        <v>121</v>
      </c>
      <c r="D167" s="302" t="s">
        <v>407</v>
      </c>
      <c r="E167" s="302" t="s">
        <v>751</v>
      </c>
      <c r="F167" s="300" t="s">
        <v>175</v>
      </c>
      <c r="G167" s="344">
        <v>1000</v>
      </c>
      <c r="H167" s="87"/>
      <c r="I167" s="87"/>
      <c r="J167" s="105">
        <f>SUM('ведомствен.2014'!G171)</f>
        <v>1000</v>
      </c>
    </row>
    <row r="168" spans="1:9" s="72" customFormat="1" ht="42.75">
      <c r="A168" s="241" t="s">
        <v>678</v>
      </c>
      <c r="B168" s="207"/>
      <c r="C168" s="302" t="s">
        <v>121</v>
      </c>
      <c r="D168" s="302" t="s">
        <v>407</v>
      </c>
      <c r="E168" s="302" t="s">
        <v>679</v>
      </c>
      <c r="F168" s="303"/>
      <c r="G168" s="358">
        <f>SUM(G169)</f>
        <v>20</v>
      </c>
      <c r="H168" s="71"/>
      <c r="I168" s="71"/>
    </row>
    <row r="169" spans="1:10" s="72" customFormat="1" ht="15">
      <c r="A169" s="234" t="s">
        <v>499</v>
      </c>
      <c r="B169" s="206"/>
      <c r="C169" s="299" t="s">
        <v>121</v>
      </c>
      <c r="D169" s="299" t="s">
        <v>407</v>
      </c>
      <c r="E169" s="302" t="s">
        <v>679</v>
      </c>
      <c r="F169" s="300" t="s">
        <v>119</v>
      </c>
      <c r="G169" s="347">
        <v>20</v>
      </c>
      <c r="H169" s="71"/>
      <c r="I169" s="71"/>
      <c r="J169" s="72">
        <f>SUM('ведомствен.2014'!G173)</f>
        <v>20</v>
      </c>
    </row>
    <row r="170" spans="1:9" s="72" customFormat="1" ht="42.75">
      <c r="A170" s="242" t="s">
        <v>646</v>
      </c>
      <c r="B170" s="208"/>
      <c r="C170" s="310" t="s">
        <v>121</v>
      </c>
      <c r="D170" s="311" t="s">
        <v>407</v>
      </c>
      <c r="E170" s="312" t="s">
        <v>647</v>
      </c>
      <c r="F170" s="313"/>
      <c r="G170" s="277">
        <f>SUM(G171)</f>
        <v>5</v>
      </c>
      <c r="H170" s="71"/>
      <c r="I170" s="71"/>
    </row>
    <row r="171" spans="1:9" s="72" customFormat="1" ht="28.5">
      <c r="A171" s="243" t="s">
        <v>648</v>
      </c>
      <c r="B171" s="208"/>
      <c r="C171" s="310" t="s">
        <v>121</v>
      </c>
      <c r="D171" s="311" t="s">
        <v>407</v>
      </c>
      <c r="E171" s="312" t="s">
        <v>649</v>
      </c>
      <c r="F171" s="313"/>
      <c r="G171" s="277">
        <v>5</v>
      </c>
      <c r="H171" s="71"/>
      <c r="I171" s="71"/>
    </row>
    <row r="172" spans="1:10" s="72" customFormat="1" ht="15">
      <c r="A172" s="234" t="s">
        <v>499</v>
      </c>
      <c r="B172" s="208"/>
      <c r="C172" s="310" t="s">
        <v>121</v>
      </c>
      <c r="D172" s="311" t="s">
        <v>407</v>
      </c>
      <c r="E172" s="312" t="s">
        <v>649</v>
      </c>
      <c r="F172" s="313" t="s">
        <v>119</v>
      </c>
      <c r="G172" s="277">
        <v>5</v>
      </c>
      <c r="H172" s="71"/>
      <c r="I172" s="71"/>
      <c r="J172" s="72">
        <f>SUM('ведомствен.2014'!G176)</f>
        <v>5</v>
      </c>
    </row>
    <row r="173" spans="1:9" s="72" customFormat="1" ht="28.5">
      <c r="A173" s="241" t="s">
        <v>671</v>
      </c>
      <c r="B173" s="203"/>
      <c r="C173" s="301" t="s">
        <v>121</v>
      </c>
      <c r="D173" s="302" t="s">
        <v>407</v>
      </c>
      <c r="E173" s="302" t="s">
        <v>54</v>
      </c>
      <c r="F173" s="303"/>
      <c r="G173" s="358">
        <f>SUM(G174)</f>
        <v>5839</v>
      </c>
      <c r="H173" s="71"/>
      <c r="I173" s="71"/>
    </row>
    <row r="174" spans="1:10" s="72" customFormat="1" ht="28.5">
      <c r="A174" s="239" t="s">
        <v>523</v>
      </c>
      <c r="B174" s="203"/>
      <c r="C174" s="301" t="s">
        <v>121</v>
      </c>
      <c r="D174" s="302" t="s">
        <v>407</v>
      </c>
      <c r="E174" s="302" t="s">
        <v>54</v>
      </c>
      <c r="F174" s="303" t="s">
        <v>512</v>
      </c>
      <c r="G174" s="358">
        <v>5839</v>
      </c>
      <c r="H174" s="71"/>
      <c r="I174" s="71"/>
      <c r="J174" s="72">
        <f>SUM('ведомствен.2014'!G178)</f>
        <v>5839</v>
      </c>
    </row>
    <row r="175" spans="1:17" ht="15">
      <c r="A175" s="245" t="s">
        <v>423</v>
      </c>
      <c r="B175" s="209"/>
      <c r="C175" s="287" t="s">
        <v>130</v>
      </c>
      <c r="D175" s="334"/>
      <c r="E175" s="334"/>
      <c r="F175" s="352"/>
      <c r="G175" s="147">
        <f>SUM(G176+G234+G255+G272)</f>
        <v>196833.3</v>
      </c>
      <c r="H175" s="14">
        <f>SUM(H176)</f>
        <v>0</v>
      </c>
      <c r="I175" s="14">
        <f>SUM(H175/G183*100)</f>
        <v>0</v>
      </c>
      <c r="J175"/>
      <c r="K175">
        <f>SUM(J176:J289)</f>
        <v>196833.3</v>
      </c>
      <c r="L175">
        <f>SUM('ведомствен.2014'!G179)+'ведомствен.2014'!G370</f>
        <v>196833.3</v>
      </c>
      <c r="Q175" s="276"/>
    </row>
    <row r="176" spans="1:12" ht="15">
      <c r="A176" s="233" t="s">
        <v>424</v>
      </c>
      <c r="B176" s="198"/>
      <c r="C176" s="282" t="s">
        <v>130</v>
      </c>
      <c r="D176" s="283" t="s">
        <v>459</v>
      </c>
      <c r="E176" s="283"/>
      <c r="F176" s="284"/>
      <c r="G176" s="145">
        <f>SUM(G177)</f>
        <v>1500</v>
      </c>
      <c r="H176" s="14"/>
      <c r="I176" s="14" t="e">
        <f>SUM(H176/G184*100)</f>
        <v>#DIV/0!</v>
      </c>
      <c r="J176" s="276"/>
      <c r="K176">
        <f>SUM(J177:J185)</f>
        <v>1500</v>
      </c>
      <c r="L176">
        <f>SUM(-K175+L175)</f>
        <v>0</v>
      </c>
    </row>
    <row r="177" spans="1:12" ht="56.25" customHeight="1">
      <c r="A177" s="234" t="s">
        <v>688</v>
      </c>
      <c r="B177" s="198"/>
      <c r="C177" s="282" t="s">
        <v>130</v>
      </c>
      <c r="D177" s="283" t="s">
        <v>459</v>
      </c>
      <c r="E177" s="283" t="s">
        <v>425</v>
      </c>
      <c r="F177" s="284"/>
      <c r="G177" s="145">
        <f>SUM(G181+G187)+G178</f>
        <v>1500</v>
      </c>
      <c r="H177" s="14">
        <f>SUM(H181)</f>
        <v>4761.6</v>
      </c>
      <c r="I177" s="14" t="e">
        <f>SUM(H177/G185*100)</f>
        <v>#DIV/0!</v>
      </c>
      <c r="J177"/>
      <c r="L177" s="276">
        <f>SUM(G175-K175)</f>
        <v>0</v>
      </c>
    </row>
    <row r="178" spans="1:10" ht="85.5" hidden="1">
      <c r="A178" s="274" t="s">
        <v>702</v>
      </c>
      <c r="B178" s="65"/>
      <c r="C178" s="283" t="s">
        <v>130</v>
      </c>
      <c r="D178" s="283" t="s">
        <v>459</v>
      </c>
      <c r="E178" s="283" t="s">
        <v>700</v>
      </c>
      <c r="F178" s="284"/>
      <c r="G178" s="266">
        <f>SUM(G179)</f>
        <v>0</v>
      </c>
      <c r="H178" s="14"/>
      <c r="I178" s="14"/>
      <c r="J178"/>
    </row>
    <row r="179" spans="1:10" ht="28.5" hidden="1">
      <c r="A179" s="125" t="s">
        <v>699</v>
      </c>
      <c r="B179" s="65"/>
      <c r="C179" s="283" t="s">
        <v>130</v>
      </c>
      <c r="D179" s="283" t="s">
        <v>459</v>
      </c>
      <c r="E179" s="283" t="s">
        <v>701</v>
      </c>
      <c r="F179" s="284"/>
      <c r="G179" s="266">
        <f>SUM(G180)</f>
        <v>0</v>
      </c>
      <c r="H179" s="14"/>
      <c r="I179" s="14"/>
      <c r="J179"/>
    </row>
    <row r="180" spans="1:10" ht="28.5" hidden="1">
      <c r="A180" s="234" t="s">
        <v>565</v>
      </c>
      <c r="B180" s="65"/>
      <c r="C180" s="283" t="s">
        <v>130</v>
      </c>
      <c r="D180" s="283" t="s">
        <v>459</v>
      </c>
      <c r="E180" s="283" t="s">
        <v>701</v>
      </c>
      <c r="F180" s="284" t="s">
        <v>559</v>
      </c>
      <c r="G180" s="266"/>
      <c r="H180" s="14"/>
      <c r="I180" s="14"/>
      <c r="J180">
        <f>SUM('ведомствен.2014'!G191)</f>
        <v>0</v>
      </c>
    </row>
    <row r="181" spans="1:10" ht="57">
      <c r="A181" s="234" t="s">
        <v>687</v>
      </c>
      <c r="B181" s="196"/>
      <c r="C181" s="283" t="s">
        <v>130</v>
      </c>
      <c r="D181" s="283" t="s">
        <v>459</v>
      </c>
      <c r="E181" s="283" t="s">
        <v>689</v>
      </c>
      <c r="F181" s="284"/>
      <c r="G181" s="145">
        <f>SUM(G182+G184)</f>
        <v>1500</v>
      </c>
      <c r="H181" s="14">
        <v>4761.6</v>
      </c>
      <c r="I181" s="14" t="e">
        <f>SUM(H181/G186*100)</f>
        <v>#DIV/0!</v>
      </c>
      <c r="J181"/>
    </row>
    <row r="182" spans="1:10" ht="28.5">
      <c r="A182" s="125" t="s">
        <v>697</v>
      </c>
      <c r="B182" s="65"/>
      <c r="C182" s="283" t="s">
        <v>130</v>
      </c>
      <c r="D182" s="283" t="s">
        <v>459</v>
      </c>
      <c r="E182" s="283" t="s">
        <v>696</v>
      </c>
      <c r="F182" s="284"/>
      <c r="G182" s="266">
        <f>SUM(G183)</f>
        <v>1500</v>
      </c>
      <c r="H182" s="14">
        <f>SUM(H183+H184)</f>
        <v>1562</v>
      </c>
      <c r="I182" s="14" t="e">
        <f aca="true" t="shared" si="3" ref="I182:I200">SUM(H182/G188*100)</f>
        <v>#DIV/0!</v>
      </c>
      <c r="J182"/>
    </row>
    <row r="183" spans="1:10" ht="27.75" customHeight="1">
      <c r="A183" s="122" t="s">
        <v>523</v>
      </c>
      <c r="B183" s="65"/>
      <c r="C183" s="283" t="s">
        <v>130</v>
      </c>
      <c r="D183" s="283" t="s">
        <v>459</v>
      </c>
      <c r="E183" s="283" t="s">
        <v>696</v>
      </c>
      <c r="F183" s="284" t="s">
        <v>512</v>
      </c>
      <c r="G183" s="266">
        <v>1500</v>
      </c>
      <c r="H183" s="14">
        <v>233.9</v>
      </c>
      <c r="I183" s="14" t="e">
        <f t="shared" si="3"/>
        <v>#DIV/0!</v>
      </c>
      <c r="J183" s="36">
        <f>SUM('ведомствен.2014'!G235)</f>
        <v>1500</v>
      </c>
    </row>
    <row r="184" spans="1:10" ht="28.5" hidden="1">
      <c r="A184" s="125" t="s">
        <v>699</v>
      </c>
      <c r="B184" s="65"/>
      <c r="C184" s="283" t="s">
        <v>130</v>
      </c>
      <c r="D184" s="283" t="s">
        <v>459</v>
      </c>
      <c r="E184" s="283" t="s">
        <v>698</v>
      </c>
      <c r="F184" s="284"/>
      <c r="G184" s="266">
        <f>SUM(G185)</f>
        <v>0</v>
      </c>
      <c r="H184" s="14">
        <v>1328.1</v>
      </c>
      <c r="I184" s="14" t="e">
        <f t="shared" si="3"/>
        <v>#DIV/0!</v>
      </c>
      <c r="J184"/>
    </row>
    <row r="185" spans="1:10" ht="28.5" hidden="1">
      <c r="A185" s="234" t="s">
        <v>565</v>
      </c>
      <c r="B185" s="65"/>
      <c r="C185" s="283" t="s">
        <v>130</v>
      </c>
      <c r="D185" s="283" t="s">
        <v>459</v>
      </c>
      <c r="E185" s="283" t="s">
        <v>698</v>
      </c>
      <c r="F185" s="284" t="s">
        <v>559</v>
      </c>
      <c r="G185" s="266"/>
      <c r="H185" s="14">
        <f>SUM(H186)</f>
        <v>0</v>
      </c>
      <c r="I185" s="14" t="e">
        <f t="shared" si="3"/>
        <v>#DIV/0!</v>
      </c>
      <c r="J185">
        <f>SUM('ведомствен.2014'!G237)</f>
        <v>0</v>
      </c>
    </row>
    <row r="186" spans="1:10" ht="15" hidden="1">
      <c r="A186" s="246" t="s">
        <v>133</v>
      </c>
      <c r="B186" s="198"/>
      <c r="C186" s="282" t="s">
        <v>130</v>
      </c>
      <c r="D186" s="283" t="s">
        <v>459</v>
      </c>
      <c r="E186" s="283" t="s">
        <v>139</v>
      </c>
      <c r="F186" s="284" t="s">
        <v>134</v>
      </c>
      <c r="G186" s="145"/>
      <c r="H186" s="14">
        <f>SUM(H187)</f>
        <v>0</v>
      </c>
      <c r="I186" s="14" t="e">
        <f t="shared" si="3"/>
        <v>#DIV/0!</v>
      </c>
      <c r="J186"/>
    </row>
    <row r="187" spans="1:10" ht="42.75" hidden="1">
      <c r="A187" s="234" t="s">
        <v>428</v>
      </c>
      <c r="B187" s="198"/>
      <c r="C187" s="282" t="s">
        <v>130</v>
      </c>
      <c r="D187" s="283" t="s">
        <v>459</v>
      </c>
      <c r="E187" s="283" t="s">
        <v>429</v>
      </c>
      <c r="F187" s="284"/>
      <c r="G187" s="145">
        <f>SUM(G188)+G194+G197</f>
        <v>0</v>
      </c>
      <c r="H187" s="14"/>
      <c r="I187" s="14" t="e">
        <f t="shared" si="3"/>
        <v>#DIV/0!</v>
      </c>
      <c r="J187"/>
    </row>
    <row r="188" spans="1:10" ht="28.5" hidden="1">
      <c r="A188" s="234" t="s">
        <v>430</v>
      </c>
      <c r="B188" s="198"/>
      <c r="C188" s="282" t="s">
        <v>130</v>
      </c>
      <c r="D188" s="283" t="s">
        <v>459</v>
      </c>
      <c r="E188" s="283" t="s">
        <v>431</v>
      </c>
      <c r="F188" s="284"/>
      <c r="G188" s="145">
        <f>SUM(G189+G190)</f>
        <v>0</v>
      </c>
      <c r="H188" s="14">
        <f>SUM(H190+H191)</f>
        <v>0</v>
      </c>
      <c r="I188" s="14" t="e">
        <f t="shared" si="3"/>
        <v>#DIV/0!</v>
      </c>
      <c r="J188"/>
    </row>
    <row r="189" spans="1:9" s="16" customFormat="1" ht="15" hidden="1">
      <c r="A189" s="234" t="s">
        <v>7</v>
      </c>
      <c r="B189" s="198"/>
      <c r="C189" s="282" t="s">
        <v>130</v>
      </c>
      <c r="D189" s="283" t="s">
        <v>459</v>
      </c>
      <c r="E189" s="283" t="s">
        <v>431</v>
      </c>
      <c r="F189" s="284" t="s">
        <v>8</v>
      </c>
      <c r="G189" s="145"/>
      <c r="H189" s="14">
        <v>1821.9</v>
      </c>
      <c r="I189" s="14" t="e">
        <f t="shared" si="3"/>
        <v>#DIV/0!</v>
      </c>
    </row>
    <row r="190" spans="1:10" ht="28.5" hidden="1">
      <c r="A190" s="234" t="s">
        <v>432</v>
      </c>
      <c r="B190" s="198"/>
      <c r="C190" s="282" t="s">
        <v>130</v>
      </c>
      <c r="D190" s="283" t="s">
        <v>459</v>
      </c>
      <c r="E190" s="283" t="s">
        <v>431</v>
      </c>
      <c r="F190" s="284" t="s">
        <v>433</v>
      </c>
      <c r="G190" s="145"/>
      <c r="H190" s="14"/>
      <c r="I190" s="14" t="e">
        <f t="shared" si="3"/>
        <v>#DIV/0!</v>
      </c>
      <c r="J190"/>
    </row>
    <row r="191" spans="1:10" ht="28.5" hidden="1">
      <c r="A191" s="234" t="s">
        <v>248</v>
      </c>
      <c r="B191" s="198"/>
      <c r="C191" s="282" t="s">
        <v>130</v>
      </c>
      <c r="D191" s="283" t="s">
        <v>459</v>
      </c>
      <c r="E191" s="283" t="s">
        <v>421</v>
      </c>
      <c r="F191" s="284"/>
      <c r="G191" s="145">
        <f>SUM(G192)</f>
        <v>0</v>
      </c>
      <c r="H191" s="14"/>
      <c r="I191" s="14" t="e">
        <f t="shared" si="3"/>
        <v>#DIV/0!</v>
      </c>
      <c r="J191"/>
    </row>
    <row r="192" spans="1:10" ht="28.5" hidden="1">
      <c r="A192" s="234" t="s">
        <v>131</v>
      </c>
      <c r="B192" s="198"/>
      <c r="C192" s="282" t="s">
        <v>130</v>
      </c>
      <c r="D192" s="283" t="s">
        <v>459</v>
      </c>
      <c r="E192" s="283" t="s">
        <v>132</v>
      </c>
      <c r="F192" s="284"/>
      <c r="G192" s="145">
        <f>SUM(G193)</f>
        <v>0</v>
      </c>
      <c r="H192" s="14">
        <f>SUM(H193)</f>
        <v>1821.9</v>
      </c>
      <c r="I192" s="14" t="e">
        <f t="shared" si="3"/>
        <v>#DIV/0!</v>
      </c>
      <c r="J192"/>
    </row>
    <row r="193" spans="1:9" ht="15" hidden="1">
      <c r="A193" s="234" t="s">
        <v>133</v>
      </c>
      <c r="B193" s="198"/>
      <c r="C193" s="282" t="s">
        <v>130</v>
      </c>
      <c r="D193" s="283" t="s">
        <v>459</v>
      </c>
      <c r="E193" s="283" t="s">
        <v>132</v>
      </c>
      <c r="F193" s="284" t="s">
        <v>134</v>
      </c>
      <c r="G193" s="145"/>
      <c r="H193" s="14">
        <v>1821.9</v>
      </c>
      <c r="I193" s="14" t="e">
        <f t="shared" si="3"/>
        <v>#DIV/0!</v>
      </c>
    </row>
    <row r="194" spans="1:10" ht="28.5" hidden="1">
      <c r="A194" s="234" t="s">
        <v>434</v>
      </c>
      <c r="B194" s="198"/>
      <c r="C194" s="282" t="s">
        <v>130</v>
      </c>
      <c r="D194" s="283" t="s">
        <v>459</v>
      </c>
      <c r="E194" s="283" t="s">
        <v>435</v>
      </c>
      <c r="F194" s="284"/>
      <c r="G194" s="145">
        <f>SUM(G195+G196)</f>
        <v>0</v>
      </c>
      <c r="H194" s="14">
        <f>SUM(H195+H197)</f>
        <v>0</v>
      </c>
      <c r="I194" s="14" t="e">
        <f t="shared" si="3"/>
        <v>#DIV/0!</v>
      </c>
      <c r="J194"/>
    </row>
    <row r="195" spans="1:10" ht="42.75" hidden="1">
      <c r="A195" s="233" t="s">
        <v>16</v>
      </c>
      <c r="B195" s="198"/>
      <c r="C195" s="282" t="s">
        <v>130</v>
      </c>
      <c r="D195" s="283" t="s">
        <v>459</v>
      </c>
      <c r="E195" s="283" t="s">
        <v>435</v>
      </c>
      <c r="F195" s="284" t="s">
        <v>58</v>
      </c>
      <c r="G195" s="145"/>
      <c r="H195" s="14">
        <f>SUM(H196)</f>
        <v>0</v>
      </c>
      <c r="I195" s="14" t="e">
        <f t="shared" si="3"/>
        <v>#DIV/0!</v>
      </c>
      <c r="J195"/>
    </row>
    <row r="196" spans="1:10" ht="15" hidden="1">
      <c r="A196" s="246" t="s">
        <v>133</v>
      </c>
      <c r="B196" s="198"/>
      <c r="C196" s="282" t="s">
        <v>130</v>
      </c>
      <c r="D196" s="283" t="s">
        <v>459</v>
      </c>
      <c r="E196" s="283" t="s">
        <v>435</v>
      </c>
      <c r="F196" s="284" t="s">
        <v>134</v>
      </c>
      <c r="G196" s="145"/>
      <c r="H196" s="14"/>
      <c r="I196" s="14" t="e">
        <f t="shared" si="3"/>
        <v>#DIV/0!</v>
      </c>
      <c r="J196"/>
    </row>
    <row r="197" spans="1:9" s="16" customFormat="1" ht="57" hidden="1">
      <c r="A197" s="234" t="s">
        <v>438</v>
      </c>
      <c r="B197" s="198"/>
      <c r="C197" s="282" t="s">
        <v>130</v>
      </c>
      <c r="D197" s="283" t="s">
        <v>459</v>
      </c>
      <c r="E197" s="283" t="s">
        <v>439</v>
      </c>
      <c r="F197" s="284"/>
      <c r="G197" s="145">
        <f>SUM(G198)</f>
        <v>0</v>
      </c>
      <c r="H197" s="14">
        <f>SUM(H198)</f>
        <v>0</v>
      </c>
      <c r="I197" s="14" t="e">
        <f t="shared" si="3"/>
        <v>#DIV/0!</v>
      </c>
    </row>
    <row r="198" spans="1:9" s="20" customFormat="1" ht="15" hidden="1">
      <c r="A198" s="246" t="s">
        <v>133</v>
      </c>
      <c r="B198" s="198"/>
      <c r="C198" s="282" t="s">
        <v>130</v>
      </c>
      <c r="D198" s="283" t="s">
        <v>459</v>
      </c>
      <c r="E198" s="283" t="s">
        <v>439</v>
      </c>
      <c r="F198" s="284" t="s">
        <v>134</v>
      </c>
      <c r="G198" s="145"/>
      <c r="H198" s="18"/>
      <c r="I198" s="14" t="e">
        <f t="shared" si="3"/>
        <v>#DIV/0!</v>
      </c>
    </row>
    <row r="199" spans="1:9" s="19" customFormat="1" ht="15" hidden="1">
      <c r="A199" s="233" t="s">
        <v>440</v>
      </c>
      <c r="B199" s="198"/>
      <c r="C199" s="282" t="s">
        <v>130</v>
      </c>
      <c r="D199" s="283" t="s">
        <v>459</v>
      </c>
      <c r="E199" s="283" t="s">
        <v>441</v>
      </c>
      <c r="F199" s="284"/>
      <c r="G199" s="145">
        <f>SUM(G200+G202)</f>
        <v>0</v>
      </c>
      <c r="H199" s="21" t="e">
        <f>SUM(H202)+#REF!+H200</f>
        <v>#REF!</v>
      </c>
      <c r="I199" s="14" t="e">
        <f t="shared" si="3"/>
        <v>#REF!</v>
      </c>
    </row>
    <row r="200" spans="1:9" s="19" customFormat="1" ht="42.75" hidden="1">
      <c r="A200" s="235" t="s">
        <v>442</v>
      </c>
      <c r="B200" s="198"/>
      <c r="C200" s="282" t="s">
        <v>130</v>
      </c>
      <c r="D200" s="283" t="s">
        <v>459</v>
      </c>
      <c r="E200" s="283" t="s">
        <v>443</v>
      </c>
      <c r="F200" s="284"/>
      <c r="G200" s="145">
        <f>SUM(G201)</f>
        <v>0</v>
      </c>
      <c r="H200" s="21">
        <f>SUM(H201)</f>
        <v>0</v>
      </c>
      <c r="I200" s="14" t="e">
        <f t="shared" si="3"/>
        <v>#DIV/0!</v>
      </c>
    </row>
    <row r="201" spans="1:9" s="19" customFormat="1" ht="15" hidden="1">
      <c r="A201" s="233" t="s">
        <v>7</v>
      </c>
      <c r="B201" s="198"/>
      <c r="C201" s="282" t="s">
        <v>130</v>
      </c>
      <c r="D201" s="283" t="s">
        <v>459</v>
      </c>
      <c r="E201" s="283" t="s">
        <v>443</v>
      </c>
      <c r="F201" s="284" t="s">
        <v>8</v>
      </c>
      <c r="G201" s="145"/>
      <c r="H201" s="21"/>
      <c r="I201" s="14" t="e">
        <f>SUM(H201/#REF!*100)</f>
        <v>#REF!</v>
      </c>
    </row>
    <row r="202" spans="1:9" s="19" customFormat="1" ht="28.5" hidden="1">
      <c r="A202" s="235" t="s">
        <v>444</v>
      </c>
      <c r="B202" s="199"/>
      <c r="C202" s="282" t="s">
        <v>130</v>
      </c>
      <c r="D202" s="283" t="s">
        <v>459</v>
      </c>
      <c r="E202" s="283" t="s">
        <v>445</v>
      </c>
      <c r="F202" s="285"/>
      <c r="G202" s="145">
        <f>SUM(G203)</f>
        <v>0</v>
      </c>
      <c r="H202" s="21">
        <f>SUM(H203+H205)</f>
        <v>0</v>
      </c>
      <c r="I202" s="14" t="e">
        <f>SUM(H202/G207*100)</f>
        <v>#DIV/0!</v>
      </c>
    </row>
    <row r="203" spans="1:9" s="19" customFormat="1" ht="15" hidden="1">
      <c r="A203" s="233" t="s">
        <v>102</v>
      </c>
      <c r="B203" s="210"/>
      <c r="C203" s="282" t="s">
        <v>130</v>
      </c>
      <c r="D203" s="283" t="s">
        <v>459</v>
      </c>
      <c r="E203" s="283" t="s">
        <v>445</v>
      </c>
      <c r="F203" s="284" t="s">
        <v>103</v>
      </c>
      <c r="G203" s="145"/>
      <c r="H203" s="21">
        <f>SUM(H204)</f>
        <v>0</v>
      </c>
      <c r="I203" s="14" t="e">
        <f>SUM(H203/G208*100)</f>
        <v>#DIV/0!</v>
      </c>
    </row>
    <row r="204" spans="1:9" s="19" customFormat="1" ht="15" hidden="1">
      <c r="A204" s="235" t="s">
        <v>3</v>
      </c>
      <c r="B204" s="198"/>
      <c r="C204" s="282" t="s">
        <v>130</v>
      </c>
      <c r="D204" s="283" t="s">
        <v>459</v>
      </c>
      <c r="E204" s="283" t="s">
        <v>4</v>
      </c>
      <c r="F204" s="284"/>
      <c r="G204" s="145">
        <f>SUM(G207)+G212+G205</f>
        <v>0</v>
      </c>
      <c r="H204" s="14">
        <v>0</v>
      </c>
      <c r="I204" s="14" t="e">
        <f>SUM(H204/G209*100)</f>
        <v>#DIV/0!</v>
      </c>
    </row>
    <row r="205" spans="1:9" s="19" customFormat="1" ht="42.75" hidden="1">
      <c r="A205" s="235" t="s">
        <v>446</v>
      </c>
      <c r="B205" s="198"/>
      <c r="C205" s="282" t="s">
        <v>130</v>
      </c>
      <c r="D205" s="283" t="s">
        <v>459</v>
      </c>
      <c r="E205" s="283" t="s">
        <v>447</v>
      </c>
      <c r="F205" s="284"/>
      <c r="G205" s="145">
        <f>SUM(G206)</f>
        <v>0</v>
      </c>
      <c r="H205" s="14">
        <f>SUM(H206)</f>
        <v>0</v>
      </c>
      <c r="I205" s="14" t="e">
        <f>SUM(H205/G210*100)</f>
        <v>#DIV/0!</v>
      </c>
    </row>
    <row r="206" spans="1:9" s="19" customFormat="1" ht="15" hidden="1">
      <c r="A206" s="235" t="s">
        <v>133</v>
      </c>
      <c r="B206" s="198"/>
      <c r="C206" s="282" t="s">
        <v>130</v>
      </c>
      <c r="D206" s="283" t="s">
        <v>459</v>
      </c>
      <c r="E206" s="283" t="s">
        <v>447</v>
      </c>
      <c r="F206" s="284" t="s">
        <v>134</v>
      </c>
      <c r="G206" s="145"/>
      <c r="H206" s="14">
        <f>SUM('[1]Ведомств.'!G180)</f>
        <v>0</v>
      </c>
      <c r="I206" s="14" t="e">
        <f>SUM(H206/G211*100)</f>
        <v>#DIV/0!</v>
      </c>
    </row>
    <row r="207" spans="1:9" s="19" customFormat="1" ht="42.75" hidden="1">
      <c r="A207" s="233" t="s">
        <v>448</v>
      </c>
      <c r="B207" s="198"/>
      <c r="C207" s="282" t="s">
        <v>130</v>
      </c>
      <c r="D207" s="283" t="s">
        <v>459</v>
      </c>
      <c r="E207" s="283" t="s">
        <v>449</v>
      </c>
      <c r="F207" s="284"/>
      <c r="G207" s="145">
        <f>SUM(G208+G210)</f>
        <v>0</v>
      </c>
      <c r="H207" s="14">
        <f>SUM(H208)</f>
        <v>0</v>
      </c>
      <c r="I207" s="14" t="e">
        <f>SUM(H207/G213*100)</f>
        <v>#DIV/0!</v>
      </c>
    </row>
    <row r="208" spans="1:9" s="19" customFormat="1" ht="28.5" hidden="1">
      <c r="A208" s="235" t="s">
        <v>450</v>
      </c>
      <c r="B208" s="198"/>
      <c r="C208" s="282" t="s">
        <v>130</v>
      </c>
      <c r="D208" s="283" t="s">
        <v>459</v>
      </c>
      <c r="E208" s="283" t="s">
        <v>451</v>
      </c>
      <c r="F208" s="284"/>
      <c r="G208" s="145">
        <f>SUM(G209)</f>
        <v>0</v>
      </c>
      <c r="H208" s="14"/>
      <c r="I208" s="14" t="e">
        <f>SUM(H208/G214*100)</f>
        <v>#DIV/0!</v>
      </c>
    </row>
    <row r="209" spans="1:9" s="19" customFormat="1" ht="15" hidden="1">
      <c r="A209" s="234" t="s">
        <v>133</v>
      </c>
      <c r="B209" s="198"/>
      <c r="C209" s="282" t="s">
        <v>130</v>
      </c>
      <c r="D209" s="283" t="s">
        <v>459</v>
      </c>
      <c r="E209" s="283" t="s">
        <v>451</v>
      </c>
      <c r="F209" s="284" t="s">
        <v>134</v>
      </c>
      <c r="G209" s="145"/>
      <c r="H209" s="14">
        <f>SUM(H210)</f>
        <v>0</v>
      </c>
      <c r="I209" s="14" t="e">
        <f>SUM(H209/G215*100)</f>
        <v>#DIV/0!</v>
      </c>
    </row>
    <row r="210" spans="1:9" s="19" customFormat="1" ht="15" hidden="1">
      <c r="A210" s="234" t="s">
        <v>452</v>
      </c>
      <c r="B210" s="198"/>
      <c r="C210" s="282" t="s">
        <v>130</v>
      </c>
      <c r="D210" s="283" t="s">
        <v>459</v>
      </c>
      <c r="E210" s="283" t="s">
        <v>453</v>
      </c>
      <c r="F210" s="284"/>
      <c r="G210" s="145">
        <f>SUM(G211)</f>
        <v>0</v>
      </c>
      <c r="H210" s="14"/>
      <c r="I210" s="14" t="e">
        <f>SUM(H210/G216*100)</f>
        <v>#DIV/0!</v>
      </c>
    </row>
    <row r="211" spans="1:9" s="16" customFormat="1" ht="15" hidden="1">
      <c r="A211" s="233" t="s">
        <v>102</v>
      </c>
      <c r="B211" s="210"/>
      <c r="C211" s="282" t="s">
        <v>130</v>
      </c>
      <c r="D211" s="283" t="s">
        <v>459</v>
      </c>
      <c r="E211" s="283" t="s">
        <v>453</v>
      </c>
      <c r="F211" s="284" t="s">
        <v>103</v>
      </c>
      <c r="G211" s="145"/>
      <c r="H211" s="14"/>
      <c r="I211" s="14"/>
    </row>
    <row r="212" spans="1:9" s="16" customFormat="1" ht="28.5" hidden="1">
      <c r="A212" s="233" t="s">
        <v>454</v>
      </c>
      <c r="B212" s="210"/>
      <c r="C212" s="282" t="s">
        <v>130</v>
      </c>
      <c r="D212" s="283" t="s">
        <v>459</v>
      </c>
      <c r="E212" s="283" t="s">
        <v>455</v>
      </c>
      <c r="F212" s="284"/>
      <c r="G212" s="145"/>
      <c r="H212" s="14"/>
      <c r="I212" s="14"/>
    </row>
    <row r="213" spans="1:9" s="16" customFormat="1" ht="42.75" hidden="1">
      <c r="A213" s="233" t="s">
        <v>44</v>
      </c>
      <c r="B213" s="210"/>
      <c r="C213" s="282" t="s">
        <v>130</v>
      </c>
      <c r="D213" s="283" t="s">
        <v>459</v>
      </c>
      <c r="E213" s="283" t="s">
        <v>45</v>
      </c>
      <c r="F213" s="284"/>
      <c r="G213" s="145">
        <f>SUM(G214)</f>
        <v>0</v>
      </c>
      <c r="H213" s="14"/>
      <c r="I213" s="14"/>
    </row>
    <row r="214" spans="1:10" ht="15" hidden="1">
      <c r="A214" s="233" t="s">
        <v>7</v>
      </c>
      <c r="B214" s="210"/>
      <c r="C214" s="282" t="s">
        <v>130</v>
      </c>
      <c r="D214" s="283" t="s">
        <v>459</v>
      </c>
      <c r="E214" s="283" t="s">
        <v>45</v>
      </c>
      <c r="F214" s="284" t="s">
        <v>8</v>
      </c>
      <c r="G214" s="145"/>
      <c r="H214" s="14"/>
      <c r="I214" s="14"/>
      <c r="J214"/>
    </row>
    <row r="215" spans="1:10" ht="42.75" hidden="1">
      <c r="A215" s="233" t="s">
        <v>46</v>
      </c>
      <c r="B215" s="210"/>
      <c r="C215" s="282" t="s">
        <v>130</v>
      </c>
      <c r="D215" s="283" t="s">
        <v>459</v>
      </c>
      <c r="E215" s="283" t="s">
        <v>47</v>
      </c>
      <c r="F215" s="284"/>
      <c r="G215" s="145">
        <f>SUM(G216)</f>
        <v>0</v>
      </c>
      <c r="H215" s="14"/>
      <c r="I215" s="14"/>
      <c r="J215"/>
    </row>
    <row r="216" spans="1:9" s="19" customFormat="1" ht="15" hidden="1">
      <c r="A216" s="233" t="s">
        <v>7</v>
      </c>
      <c r="B216" s="210"/>
      <c r="C216" s="282" t="s">
        <v>130</v>
      </c>
      <c r="D216" s="283" t="s">
        <v>459</v>
      </c>
      <c r="E216" s="283" t="s">
        <v>47</v>
      </c>
      <c r="F216" s="284" t="s">
        <v>8</v>
      </c>
      <c r="G216" s="145"/>
      <c r="H216" s="14" t="e">
        <f>SUM(#REF!+#REF!)+H221</f>
        <v>#REF!</v>
      </c>
      <c r="I216" s="14" t="e">
        <f aca="true" t="shared" si="4" ref="I216:I223">SUM(H216/G222*100)</f>
        <v>#REF!</v>
      </c>
    </row>
    <row r="217" spans="1:9" s="19" customFormat="1" ht="15" hidden="1">
      <c r="A217" s="233" t="s">
        <v>440</v>
      </c>
      <c r="B217" s="210"/>
      <c r="C217" s="282" t="s">
        <v>130</v>
      </c>
      <c r="D217" s="283" t="s">
        <v>459</v>
      </c>
      <c r="E217" s="283" t="s">
        <v>441</v>
      </c>
      <c r="F217" s="284"/>
      <c r="G217" s="145">
        <f>SUM(G218)</f>
        <v>0</v>
      </c>
      <c r="H217" s="22">
        <f>SUM('[1]Ведомств.'!G188)</f>
        <v>0</v>
      </c>
      <c r="I217" s="14" t="e">
        <f t="shared" si="4"/>
        <v>#DIV/0!</v>
      </c>
    </row>
    <row r="218" spans="1:10" s="19" customFormat="1" ht="42.75" hidden="1">
      <c r="A218" s="233" t="s">
        <v>287</v>
      </c>
      <c r="B218" s="210"/>
      <c r="C218" s="282" t="s">
        <v>130</v>
      </c>
      <c r="D218" s="283" t="s">
        <v>459</v>
      </c>
      <c r="E218" s="283" t="s">
        <v>445</v>
      </c>
      <c r="F218" s="284"/>
      <c r="G218" s="145">
        <f>SUM(G219)</f>
        <v>0</v>
      </c>
      <c r="H218" s="22"/>
      <c r="I218" s="14" t="e">
        <f t="shared" si="4"/>
        <v>#DIV/0!</v>
      </c>
      <c r="J218" s="16"/>
    </row>
    <row r="219" spans="1:9" s="19" customFormat="1" ht="15" hidden="1">
      <c r="A219" s="233" t="s">
        <v>102</v>
      </c>
      <c r="B219" s="210"/>
      <c r="C219" s="282" t="s">
        <v>130</v>
      </c>
      <c r="D219" s="283" t="s">
        <v>459</v>
      </c>
      <c r="E219" s="283" t="s">
        <v>445</v>
      </c>
      <c r="F219" s="284" t="s">
        <v>103</v>
      </c>
      <c r="G219" s="145"/>
      <c r="H219" s="14">
        <f>SUM(H220)</f>
        <v>167.7</v>
      </c>
      <c r="I219" s="14" t="e">
        <f t="shared" si="4"/>
        <v>#DIV/0!</v>
      </c>
    </row>
    <row r="220" spans="1:9" s="19" customFormat="1" ht="15" hidden="1">
      <c r="A220" s="246" t="s">
        <v>127</v>
      </c>
      <c r="B220" s="198"/>
      <c r="C220" s="282" t="s">
        <v>130</v>
      </c>
      <c r="D220" s="283" t="s">
        <v>459</v>
      </c>
      <c r="E220" s="283" t="s">
        <v>128</v>
      </c>
      <c r="F220" s="284"/>
      <c r="G220" s="145">
        <f>SUM(G221+G224)+G228</f>
        <v>0</v>
      </c>
      <c r="H220" s="14">
        <v>167.7</v>
      </c>
      <c r="I220" s="14" t="e">
        <f t="shared" si="4"/>
        <v>#DIV/0!</v>
      </c>
    </row>
    <row r="221" spans="1:9" s="19" customFormat="1" ht="42.75" hidden="1">
      <c r="A221" s="246" t="s">
        <v>491</v>
      </c>
      <c r="B221" s="198"/>
      <c r="C221" s="282" t="s">
        <v>130</v>
      </c>
      <c r="D221" s="283" t="s">
        <v>459</v>
      </c>
      <c r="E221" s="283" t="s">
        <v>297</v>
      </c>
      <c r="F221" s="284"/>
      <c r="G221" s="146">
        <f>SUM(G222)</f>
        <v>0</v>
      </c>
      <c r="H221" s="14">
        <f>SUM(H222)</f>
        <v>110.4</v>
      </c>
      <c r="I221" s="14" t="e">
        <f t="shared" si="4"/>
        <v>#DIV/0!</v>
      </c>
    </row>
    <row r="222" spans="1:9" s="19" customFormat="1" ht="15" hidden="1">
      <c r="A222" s="234" t="s">
        <v>7</v>
      </c>
      <c r="B222" s="198"/>
      <c r="C222" s="282" t="s">
        <v>130</v>
      </c>
      <c r="D222" s="283" t="s">
        <v>459</v>
      </c>
      <c r="E222" s="283" t="s">
        <v>297</v>
      </c>
      <c r="F222" s="284" t="s">
        <v>8</v>
      </c>
      <c r="G222" s="146"/>
      <c r="H222" s="14">
        <v>110.4</v>
      </c>
      <c r="I222" s="14" t="e">
        <f t="shared" si="4"/>
        <v>#DIV/0!</v>
      </c>
    </row>
    <row r="223" spans="1:9" s="16" customFormat="1" ht="15" hidden="1">
      <c r="A223" s="246" t="s">
        <v>48</v>
      </c>
      <c r="B223" s="198"/>
      <c r="C223" s="282" t="s">
        <v>130</v>
      </c>
      <c r="D223" s="283" t="s">
        <v>459</v>
      </c>
      <c r="E223" s="283" t="s">
        <v>49</v>
      </c>
      <c r="F223" s="284" t="s">
        <v>103</v>
      </c>
      <c r="G223" s="145"/>
      <c r="H223" s="14" t="e">
        <f>SUM(H240+H262)+H226+H258+H228</f>
        <v>#REF!</v>
      </c>
      <c r="I223" s="14" t="e">
        <f t="shared" si="4"/>
        <v>#REF!</v>
      </c>
    </row>
    <row r="224" spans="1:9" s="16" customFormat="1" ht="15" hidden="1">
      <c r="A224" s="246" t="s">
        <v>133</v>
      </c>
      <c r="B224" s="198"/>
      <c r="C224" s="282" t="s">
        <v>130</v>
      </c>
      <c r="D224" s="283" t="s">
        <v>459</v>
      </c>
      <c r="E224" s="283" t="s">
        <v>128</v>
      </c>
      <c r="F224" s="284" t="s">
        <v>134</v>
      </c>
      <c r="G224" s="145">
        <f>SUM(G225)</f>
        <v>0</v>
      </c>
      <c r="H224" s="14"/>
      <c r="I224" s="14">
        <f>SUM(H224/G234*100)</f>
        <v>0</v>
      </c>
    </row>
    <row r="225" spans="1:9" s="16" customFormat="1" ht="28.5" hidden="1">
      <c r="A225" s="234" t="s">
        <v>50</v>
      </c>
      <c r="B225" s="198"/>
      <c r="C225" s="282" t="s">
        <v>130</v>
      </c>
      <c r="D225" s="283" t="s">
        <v>459</v>
      </c>
      <c r="E225" s="283" t="s">
        <v>51</v>
      </c>
      <c r="F225" s="284" t="s">
        <v>134</v>
      </c>
      <c r="G225" s="145">
        <f>SUM(G227)</f>
        <v>0</v>
      </c>
      <c r="H225" s="14"/>
      <c r="I225" s="14">
        <f>SUM(H225/G240*100)</f>
        <v>0</v>
      </c>
    </row>
    <row r="226" spans="1:9" s="16" customFormat="1" ht="28.5" hidden="1">
      <c r="A226" s="234" t="s">
        <v>66</v>
      </c>
      <c r="B226" s="198"/>
      <c r="C226" s="282"/>
      <c r="D226" s="283"/>
      <c r="E226" s="283"/>
      <c r="F226" s="284"/>
      <c r="G226" s="145"/>
      <c r="H226" s="14">
        <f>SUM(H227)</f>
        <v>0</v>
      </c>
      <c r="I226" s="14">
        <f>SUM(H226/G241*100)</f>
        <v>0</v>
      </c>
    </row>
    <row r="227" spans="1:9" s="16" customFormat="1" ht="28.5" hidden="1">
      <c r="A227" s="235" t="s">
        <v>450</v>
      </c>
      <c r="B227" s="198"/>
      <c r="C227" s="282" t="s">
        <v>130</v>
      </c>
      <c r="D227" s="283" t="s">
        <v>459</v>
      </c>
      <c r="E227" s="283" t="s">
        <v>52</v>
      </c>
      <c r="F227" s="284" t="s">
        <v>134</v>
      </c>
      <c r="G227" s="145"/>
      <c r="H227" s="14"/>
      <c r="I227" s="14">
        <f>SUM(H227/G242*100)</f>
        <v>0</v>
      </c>
    </row>
    <row r="228" spans="1:9" s="16" customFormat="1" ht="28.5" hidden="1">
      <c r="A228" s="233" t="s">
        <v>53</v>
      </c>
      <c r="B228" s="198"/>
      <c r="C228" s="282" t="s">
        <v>130</v>
      </c>
      <c r="D228" s="283" t="s">
        <v>459</v>
      </c>
      <c r="E228" s="283" t="s">
        <v>54</v>
      </c>
      <c r="F228" s="284"/>
      <c r="G228" s="145">
        <f>SUM(G229)</f>
        <v>0</v>
      </c>
      <c r="H228" s="14">
        <f>SUM(H229)</f>
        <v>9483.6</v>
      </c>
      <c r="I228" s="14" t="e">
        <f>SUM(H228/G244*100)</f>
        <v>#DIV/0!</v>
      </c>
    </row>
    <row r="229" spans="1:9" s="16" customFormat="1" ht="15" hidden="1">
      <c r="A229" s="246" t="s">
        <v>133</v>
      </c>
      <c r="B229" s="198"/>
      <c r="C229" s="282" t="s">
        <v>130</v>
      </c>
      <c r="D229" s="283" t="s">
        <v>459</v>
      </c>
      <c r="E229" s="283" t="s">
        <v>54</v>
      </c>
      <c r="F229" s="284" t="s">
        <v>134</v>
      </c>
      <c r="G229" s="145"/>
      <c r="H229" s="14">
        <f>SUM(H234)</f>
        <v>9483.6</v>
      </c>
      <c r="I229" s="14" t="e">
        <f>SUM(H229/G245*100)</f>
        <v>#DIV/0!</v>
      </c>
    </row>
    <row r="230" spans="1:9" s="16" customFormat="1" ht="15" hidden="1">
      <c r="A230" s="246"/>
      <c r="B230" s="198"/>
      <c r="C230" s="282"/>
      <c r="D230" s="283"/>
      <c r="E230" s="283"/>
      <c r="F230" s="284"/>
      <c r="G230" s="145"/>
      <c r="H230" s="14"/>
      <c r="I230" s="14"/>
    </row>
    <row r="231" spans="1:9" s="16" customFormat="1" ht="15" hidden="1">
      <c r="A231" s="246"/>
      <c r="B231" s="198"/>
      <c r="C231" s="282"/>
      <c r="D231" s="283"/>
      <c r="E231" s="283"/>
      <c r="F231" s="284"/>
      <c r="G231" s="145"/>
      <c r="H231" s="14"/>
      <c r="I231" s="14"/>
    </row>
    <row r="232" spans="1:9" s="16" customFormat="1" ht="15" hidden="1">
      <c r="A232" s="246"/>
      <c r="B232" s="198"/>
      <c r="C232" s="282"/>
      <c r="D232" s="283"/>
      <c r="E232" s="283"/>
      <c r="F232" s="284"/>
      <c r="G232" s="145"/>
      <c r="H232" s="14"/>
      <c r="I232" s="14"/>
    </row>
    <row r="233" spans="1:9" s="16" customFormat="1" ht="15" hidden="1">
      <c r="A233" s="246"/>
      <c r="B233" s="198"/>
      <c r="C233" s="282"/>
      <c r="D233" s="283"/>
      <c r="E233" s="283"/>
      <c r="F233" s="284"/>
      <c r="G233" s="145"/>
      <c r="H233" s="14"/>
      <c r="I233" s="14"/>
    </row>
    <row r="234" spans="1:11" s="16" customFormat="1" ht="15">
      <c r="A234" s="234" t="s">
        <v>55</v>
      </c>
      <c r="B234" s="201"/>
      <c r="C234" s="298" t="s">
        <v>130</v>
      </c>
      <c r="D234" s="299" t="s">
        <v>461</v>
      </c>
      <c r="E234" s="299"/>
      <c r="F234" s="300"/>
      <c r="G234" s="347">
        <f>G240+G246+G248+G235</f>
        <v>61522.600000000006</v>
      </c>
      <c r="H234" s="14">
        <v>9483.6</v>
      </c>
      <c r="I234" s="14">
        <f>SUM(H234/G255*100)</f>
        <v>12.261124880247303</v>
      </c>
      <c r="K234" s="176">
        <f>SUM(J235:J254)</f>
        <v>61522.600000000006</v>
      </c>
    </row>
    <row r="235" spans="1:9" s="108" customFormat="1" ht="15.75">
      <c r="A235" s="239" t="s">
        <v>680</v>
      </c>
      <c r="B235" s="319"/>
      <c r="C235" s="298" t="s">
        <v>130</v>
      </c>
      <c r="D235" s="299" t="s">
        <v>461</v>
      </c>
      <c r="E235" s="288" t="s">
        <v>682</v>
      </c>
      <c r="F235" s="285"/>
      <c r="G235" s="347">
        <f>SUM(G236)</f>
        <v>8000</v>
      </c>
      <c r="H235" s="22"/>
      <c r="I235" s="22"/>
    </row>
    <row r="236" spans="1:9" s="108" customFormat="1" ht="57">
      <c r="A236" s="234" t="s">
        <v>744</v>
      </c>
      <c r="B236" s="319"/>
      <c r="C236" s="298" t="s">
        <v>130</v>
      </c>
      <c r="D236" s="299" t="s">
        <v>461</v>
      </c>
      <c r="E236" s="288" t="s">
        <v>710</v>
      </c>
      <c r="F236" s="285"/>
      <c r="G236" s="347">
        <f>SUM(G237)</f>
        <v>8000</v>
      </c>
      <c r="H236" s="22"/>
      <c r="I236" s="22"/>
    </row>
    <row r="237" spans="1:9" s="108" customFormat="1" ht="28.5">
      <c r="A237" s="235" t="s">
        <v>745</v>
      </c>
      <c r="B237" s="320"/>
      <c r="C237" s="298" t="s">
        <v>130</v>
      </c>
      <c r="D237" s="299" t="s">
        <v>461</v>
      </c>
      <c r="E237" s="288" t="s">
        <v>746</v>
      </c>
      <c r="F237" s="284"/>
      <c r="G237" s="347">
        <f>SUM(G238:G239)</f>
        <v>8000</v>
      </c>
      <c r="H237" s="22"/>
      <c r="I237" s="22"/>
    </row>
    <row r="238" spans="1:10" s="108" customFormat="1" ht="15.75">
      <c r="A238" s="457" t="s">
        <v>499</v>
      </c>
      <c r="B238" s="320"/>
      <c r="C238" s="298" t="s">
        <v>130</v>
      </c>
      <c r="D238" s="299" t="s">
        <v>461</v>
      </c>
      <c r="E238" s="288" t="s">
        <v>746</v>
      </c>
      <c r="F238" s="284" t="s">
        <v>119</v>
      </c>
      <c r="G238" s="347">
        <v>6110.7</v>
      </c>
      <c r="H238" s="22"/>
      <c r="I238" s="22"/>
      <c r="J238" s="16">
        <f>SUM('ведомствен.2014'!G242)</f>
        <v>6110.7</v>
      </c>
    </row>
    <row r="239" spans="1:10" s="108" customFormat="1" ht="42.75">
      <c r="A239" s="246" t="s">
        <v>659</v>
      </c>
      <c r="B239" s="320"/>
      <c r="C239" s="298" t="s">
        <v>130</v>
      </c>
      <c r="D239" s="299" t="s">
        <v>461</v>
      </c>
      <c r="E239" s="288" t="s">
        <v>746</v>
      </c>
      <c r="F239" s="284" t="s">
        <v>559</v>
      </c>
      <c r="G239" s="145">
        <v>1889.3</v>
      </c>
      <c r="H239" s="22"/>
      <c r="I239" s="22"/>
      <c r="J239" s="16">
        <f>SUM('ведомствен.2014'!G243)</f>
        <v>1889.3</v>
      </c>
    </row>
    <row r="240" spans="1:9" s="16" customFormat="1" ht="15">
      <c r="A240" s="234" t="s">
        <v>294</v>
      </c>
      <c r="B240" s="201"/>
      <c r="C240" s="298" t="s">
        <v>130</v>
      </c>
      <c r="D240" s="299" t="s">
        <v>461</v>
      </c>
      <c r="E240" s="299" t="s">
        <v>553</v>
      </c>
      <c r="F240" s="300"/>
      <c r="G240" s="347">
        <f>G241</f>
        <v>20341.2</v>
      </c>
      <c r="H240" s="14">
        <f>SUM(H241+H244+H255)</f>
        <v>15047</v>
      </c>
      <c r="I240" s="14">
        <f>SUM(H240/G256*100)</f>
        <v>19.542979749176563</v>
      </c>
    </row>
    <row r="241" spans="1:9" s="16" customFormat="1" ht="15">
      <c r="A241" s="234" t="s">
        <v>41</v>
      </c>
      <c r="B241" s="201"/>
      <c r="C241" s="298" t="s">
        <v>130</v>
      </c>
      <c r="D241" s="299" t="s">
        <v>461</v>
      </c>
      <c r="E241" s="299" t="s">
        <v>554</v>
      </c>
      <c r="F241" s="300"/>
      <c r="G241" s="347">
        <f>SUM(G242:G243)</f>
        <v>20341.2</v>
      </c>
      <c r="H241" s="14">
        <f>SUM(H242)</f>
        <v>0</v>
      </c>
      <c r="I241" s="14">
        <f>SUM(H241/G257*100)</f>
        <v>0</v>
      </c>
    </row>
    <row r="242" spans="1:10" s="16" customFormat="1" ht="13.5" customHeight="1">
      <c r="A242" s="234" t="s">
        <v>499</v>
      </c>
      <c r="B242" s="201"/>
      <c r="C242" s="298" t="s">
        <v>130</v>
      </c>
      <c r="D242" s="299" t="s">
        <v>461</v>
      </c>
      <c r="E242" s="299" t="s">
        <v>554</v>
      </c>
      <c r="F242" s="300" t="s">
        <v>119</v>
      </c>
      <c r="G242" s="347">
        <v>10530.2</v>
      </c>
      <c r="H242" s="14"/>
      <c r="I242" s="14">
        <f>SUM(H242/G258*100)</f>
        <v>0</v>
      </c>
      <c r="J242" s="16">
        <f>SUM('ведомствен.2014'!G246)</f>
        <v>10530.2</v>
      </c>
    </row>
    <row r="243" spans="1:10" s="16" customFormat="1" ht="13.5" customHeight="1">
      <c r="A243" s="246" t="s">
        <v>659</v>
      </c>
      <c r="B243" s="211"/>
      <c r="C243" s="299" t="s">
        <v>130</v>
      </c>
      <c r="D243" s="299" t="s">
        <v>461</v>
      </c>
      <c r="E243" s="299" t="s">
        <v>554</v>
      </c>
      <c r="F243" s="285" t="s">
        <v>559</v>
      </c>
      <c r="G243" s="347">
        <v>9811</v>
      </c>
      <c r="H243" s="14"/>
      <c r="I243" s="14"/>
      <c r="J243" s="16">
        <f>SUM('ведомствен.2014'!G247)</f>
        <v>9811</v>
      </c>
    </row>
    <row r="244" spans="1:9" s="16" customFormat="1" ht="28.5" hidden="1">
      <c r="A244" s="234" t="s">
        <v>519</v>
      </c>
      <c r="B244" s="201"/>
      <c r="C244" s="298" t="s">
        <v>130</v>
      </c>
      <c r="D244" s="299" t="s">
        <v>461</v>
      </c>
      <c r="E244" s="299" t="s">
        <v>554</v>
      </c>
      <c r="F244" s="300" t="s">
        <v>520</v>
      </c>
      <c r="G244" s="347"/>
      <c r="H244" s="14">
        <f>SUM(H245)</f>
        <v>0</v>
      </c>
      <c r="I244" s="14">
        <f>SUM(H244/G259*100)</f>
        <v>0</v>
      </c>
    </row>
    <row r="245" spans="1:9" s="16" customFormat="1" ht="28.5" hidden="1">
      <c r="A245" s="234" t="s">
        <v>519</v>
      </c>
      <c r="B245" s="201"/>
      <c r="C245" s="298" t="s">
        <v>130</v>
      </c>
      <c r="D245" s="299" t="s">
        <v>461</v>
      </c>
      <c r="E245" s="299" t="s">
        <v>554</v>
      </c>
      <c r="F245" s="300" t="s">
        <v>520</v>
      </c>
      <c r="G245" s="347"/>
      <c r="H245" s="14"/>
      <c r="I245" s="14" t="e">
        <f>SUM(H245/#REF!*100)</f>
        <v>#REF!</v>
      </c>
    </row>
    <row r="246" spans="1:9" s="16" customFormat="1" ht="15" hidden="1">
      <c r="A246" s="235" t="s">
        <v>510</v>
      </c>
      <c r="B246" s="198"/>
      <c r="C246" s="298" t="s">
        <v>130</v>
      </c>
      <c r="D246" s="299" t="s">
        <v>461</v>
      </c>
      <c r="E246" s="283" t="s">
        <v>511</v>
      </c>
      <c r="F246" s="284"/>
      <c r="G246" s="347">
        <f>G247</f>
        <v>0</v>
      </c>
      <c r="H246" s="14"/>
      <c r="I246" s="14"/>
    </row>
    <row r="247" spans="1:10" s="16" customFormat="1" ht="15" hidden="1">
      <c r="A247" s="233" t="s">
        <v>500</v>
      </c>
      <c r="B247" s="198"/>
      <c r="C247" s="298" t="s">
        <v>130</v>
      </c>
      <c r="D247" s="299" t="s">
        <v>461</v>
      </c>
      <c r="E247" s="283" t="s">
        <v>511</v>
      </c>
      <c r="F247" s="284" t="s">
        <v>175</v>
      </c>
      <c r="G247" s="145"/>
      <c r="H247" s="14"/>
      <c r="I247" s="14"/>
      <c r="J247" s="16">
        <f>SUM('ведомствен.2014'!G373)</f>
        <v>0</v>
      </c>
    </row>
    <row r="248" spans="1:9" s="16" customFormat="1" ht="15">
      <c r="A248" s="122" t="s">
        <v>748</v>
      </c>
      <c r="B248" s="212"/>
      <c r="C248" s="282" t="s">
        <v>130</v>
      </c>
      <c r="D248" s="283" t="s">
        <v>461</v>
      </c>
      <c r="E248" s="283" t="s">
        <v>128</v>
      </c>
      <c r="F248" s="284"/>
      <c r="G248" s="278">
        <f>SUM(G249)+G254+G251</f>
        <v>33181.4</v>
      </c>
      <c r="H248" s="14"/>
      <c r="I248" s="14"/>
    </row>
    <row r="249" spans="1:9" s="16" customFormat="1" ht="57">
      <c r="A249" s="247" t="s">
        <v>672</v>
      </c>
      <c r="B249" s="213"/>
      <c r="C249" s="282" t="s">
        <v>130</v>
      </c>
      <c r="D249" s="283" t="s">
        <v>461</v>
      </c>
      <c r="E249" s="283" t="s">
        <v>653</v>
      </c>
      <c r="F249" s="315"/>
      <c r="G249" s="278">
        <f>SUM(G250:G250)</f>
        <v>16.4</v>
      </c>
      <c r="H249" s="14"/>
      <c r="I249" s="14"/>
    </row>
    <row r="250" spans="1:10" s="16" customFormat="1" ht="15">
      <c r="A250" s="234" t="s">
        <v>499</v>
      </c>
      <c r="B250" s="213"/>
      <c r="C250" s="282" t="s">
        <v>130</v>
      </c>
      <c r="D250" s="283" t="s">
        <v>461</v>
      </c>
      <c r="E250" s="283" t="s">
        <v>653</v>
      </c>
      <c r="F250" s="315" t="s">
        <v>119</v>
      </c>
      <c r="G250" s="278">
        <v>16.4</v>
      </c>
      <c r="H250" s="14"/>
      <c r="I250" s="14"/>
      <c r="J250" s="16">
        <f>SUM('ведомствен.2014'!G250)</f>
        <v>16.4</v>
      </c>
    </row>
    <row r="251" spans="1:9" s="16" customFormat="1" ht="42.75">
      <c r="A251" s="121" t="s">
        <v>740</v>
      </c>
      <c r="B251" s="187"/>
      <c r="C251" s="283" t="s">
        <v>130</v>
      </c>
      <c r="D251" s="283" t="s">
        <v>461</v>
      </c>
      <c r="E251" s="283" t="s">
        <v>741</v>
      </c>
      <c r="F251" s="315"/>
      <c r="G251" s="278">
        <f>SUM(G252)</f>
        <v>33059</v>
      </c>
      <c r="H251" s="14"/>
      <c r="I251" s="14"/>
    </row>
    <row r="252" spans="1:10" s="16" customFormat="1" ht="15">
      <c r="A252" s="121" t="s">
        <v>500</v>
      </c>
      <c r="B252" s="187"/>
      <c r="C252" s="283" t="s">
        <v>130</v>
      </c>
      <c r="D252" s="283" t="s">
        <v>461</v>
      </c>
      <c r="E252" s="283" t="s">
        <v>741</v>
      </c>
      <c r="F252" s="315" t="s">
        <v>175</v>
      </c>
      <c r="G252" s="278">
        <v>33059</v>
      </c>
      <c r="H252" s="14"/>
      <c r="I252" s="14"/>
      <c r="J252" s="16">
        <f>SUM('ведомствен.2014'!G252)</f>
        <v>33059</v>
      </c>
    </row>
    <row r="253" spans="1:9" s="16" customFormat="1" ht="57">
      <c r="A253" s="234" t="s">
        <v>675</v>
      </c>
      <c r="B253" s="211"/>
      <c r="C253" s="282" t="s">
        <v>130</v>
      </c>
      <c r="D253" s="283" t="s">
        <v>461</v>
      </c>
      <c r="E253" s="288" t="s">
        <v>42</v>
      </c>
      <c r="F253" s="285"/>
      <c r="G253" s="347">
        <f>G254</f>
        <v>106</v>
      </c>
      <c r="H253" s="14"/>
      <c r="I253" s="14"/>
    </row>
    <row r="254" spans="1:10" s="16" customFormat="1" ht="28.5">
      <c r="A254" s="234" t="s">
        <v>558</v>
      </c>
      <c r="B254" s="211"/>
      <c r="C254" s="282" t="s">
        <v>130</v>
      </c>
      <c r="D254" s="283" t="s">
        <v>461</v>
      </c>
      <c r="E254" s="288" t="s">
        <v>42</v>
      </c>
      <c r="F254" s="285" t="s">
        <v>559</v>
      </c>
      <c r="G254" s="347">
        <v>106</v>
      </c>
      <c r="H254" s="14"/>
      <c r="I254" s="14"/>
      <c r="J254" s="16">
        <f>SUM('ведомствен.2014'!G254)</f>
        <v>106</v>
      </c>
    </row>
    <row r="255" spans="1:11" s="16" customFormat="1" ht="15">
      <c r="A255" s="234" t="s">
        <v>43</v>
      </c>
      <c r="B255" s="201"/>
      <c r="C255" s="298" t="s">
        <v>130</v>
      </c>
      <c r="D255" s="299" t="s">
        <v>105</v>
      </c>
      <c r="E255" s="299"/>
      <c r="F255" s="300"/>
      <c r="G255" s="347">
        <f>G256+G267</f>
        <v>77346.9</v>
      </c>
      <c r="H255" s="14">
        <f>SUM(H256)+H257</f>
        <v>15047</v>
      </c>
      <c r="I255" s="14">
        <f>SUM(H255/G261*100)</f>
        <v>71.24526515151514</v>
      </c>
      <c r="K255" s="16">
        <f>SUM(J258:J271)</f>
        <v>77346.9</v>
      </c>
    </row>
    <row r="256" spans="1:10" s="16" customFormat="1" ht="15">
      <c r="A256" s="234" t="s">
        <v>43</v>
      </c>
      <c r="B256" s="205"/>
      <c r="C256" s="298" t="s">
        <v>130</v>
      </c>
      <c r="D256" s="299" t="s">
        <v>105</v>
      </c>
      <c r="E256" s="288" t="s">
        <v>71</v>
      </c>
      <c r="F256" s="285"/>
      <c r="G256" s="347">
        <f>G257+G261+G265+G259</f>
        <v>76994.4</v>
      </c>
      <c r="H256" s="18">
        <f>878+4272.1+2990.6</f>
        <v>8140.700000000001</v>
      </c>
      <c r="I256" s="14">
        <f>SUM(H256/G262*100)</f>
        <v>38.54498106060606</v>
      </c>
      <c r="J256" s="36"/>
    </row>
    <row r="257" spans="1:10" s="16" customFormat="1" ht="15">
      <c r="A257" s="240" t="s">
        <v>72</v>
      </c>
      <c r="B257" s="205"/>
      <c r="C257" s="298" t="s">
        <v>130</v>
      </c>
      <c r="D257" s="299" t="s">
        <v>105</v>
      </c>
      <c r="E257" s="288" t="s">
        <v>73</v>
      </c>
      <c r="F257" s="285"/>
      <c r="G257" s="347">
        <f>SUM(G258)</f>
        <v>55011.1</v>
      </c>
      <c r="H257" s="18">
        <v>6906.3</v>
      </c>
      <c r="I257" s="14" t="e">
        <f>SUM(H257/G263*100)</f>
        <v>#DIV/0!</v>
      </c>
      <c r="J257" s="36"/>
    </row>
    <row r="258" spans="1:10" s="16" customFormat="1" ht="15">
      <c r="A258" s="234" t="s">
        <v>499</v>
      </c>
      <c r="B258" s="205"/>
      <c r="C258" s="298" t="s">
        <v>130</v>
      </c>
      <c r="D258" s="299" t="s">
        <v>105</v>
      </c>
      <c r="E258" s="288" t="s">
        <v>73</v>
      </c>
      <c r="F258" s="285" t="s">
        <v>119</v>
      </c>
      <c r="G258" s="347">
        <v>55011.1</v>
      </c>
      <c r="H258" s="18" t="e">
        <f>SUM(H259)</f>
        <v>#REF!</v>
      </c>
      <c r="I258" s="14" t="e">
        <f>SUM(H258/G264*100)</f>
        <v>#REF!</v>
      </c>
      <c r="J258" s="16">
        <f>SUM('ведомствен.2014'!G258)</f>
        <v>55011.1</v>
      </c>
    </row>
    <row r="259" spans="1:9" s="16" customFormat="1" ht="15">
      <c r="A259" s="246" t="s">
        <v>654</v>
      </c>
      <c r="B259" s="214"/>
      <c r="C259" s="310" t="s">
        <v>130</v>
      </c>
      <c r="D259" s="311" t="s">
        <v>105</v>
      </c>
      <c r="E259" s="283" t="s">
        <v>655</v>
      </c>
      <c r="F259" s="285"/>
      <c r="G259" s="347">
        <f>SUM(G260)</f>
        <v>664.9</v>
      </c>
      <c r="H259" s="18" t="e">
        <f>SUM(#REF!)</f>
        <v>#REF!</v>
      </c>
      <c r="I259" s="14" t="e">
        <f>SUM(H259/G265*100)</f>
        <v>#REF!</v>
      </c>
    </row>
    <row r="260" spans="1:10" s="16" customFormat="1" ht="15">
      <c r="A260" s="234" t="s">
        <v>499</v>
      </c>
      <c r="B260" s="215"/>
      <c r="C260" s="298" t="s">
        <v>130</v>
      </c>
      <c r="D260" s="299" t="s">
        <v>105</v>
      </c>
      <c r="E260" s="283" t="s">
        <v>655</v>
      </c>
      <c r="F260" s="285" t="s">
        <v>119</v>
      </c>
      <c r="G260" s="347">
        <v>664.9</v>
      </c>
      <c r="H260" s="18"/>
      <c r="I260" s="14"/>
      <c r="J260" s="16">
        <f>SUM('ведомствен.2014'!G260)</f>
        <v>664.9</v>
      </c>
    </row>
    <row r="261" spans="1:9" s="16" customFormat="1" ht="28.5">
      <c r="A261" s="234" t="s">
        <v>604</v>
      </c>
      <c r="B261" s="205"/>
      <c r="C261" s="298" t="s">
        <v>130</v>
      </c>
      <c r="D261" s="299" t="s">
        <v>105</v>
      </c>
      <c r="E261" s="288" t="s">
        <v>40</v>
      </c>
      <c r="F261" s="285"/>
      <c r="G261" s="347">
        <f>G262</f>
        <v>21120</v>
      </c>
      <c r="H261" s="18"/>
      <c r="I261" s="14">
        <f>SUM(H261/G272*100)</f>
        <v>0</v>
      </c>
    </row>
    <row r="262" spans="1:10" s="16" customFormat="1" ht="15">
      <c r="A262" s="234" t="s">
        <v>499</v>
      </c>
      <c r="B262" s="205"/>
      <c r="C262" s="298" t="s">
        <v>130</v>
      </c>
      <c r="D262" s="299" t="s">
        <v>105</v>
      </c>
      <c r="E262" s="288" t="s">
        <v>40</v>
      </c>
      <c r="F262" s="285" t="s">
        <v>119</v>
      </c>
      <c r="G262" s="347">
        <v>21120</v>
      </c>
      <c r="H262" s="18">
        <f>SUM(H263)</f>
        <v>0</v>
      </c>
      <c r="I262" s="14">
        <f>SUM(H262/G278*100)</f>
        <v>0</v>
      </c>
      <c r="J262" s="16">
        <f>SUM('ведомствен.2014'!G262)</f>
        <v>21120</v>
      </c>
    </row>
    <row r="263" spans="1:9" s="16" customFormat="1" ht="28.5" hidden="1">
      <c r="A263" s="234" t="s">
        <v>517</v>
      </c>
      <c r="B263" s="205"/>
      <c r="C263" s="298" t="s">
        <v>130</v>
      </c>
      <c r="D263" s="299" t="s">
        <v>105</v>
      </c>
      <c r="E263" s="288" t="s">
        <v>40</v>
      </c>
      <c r="F263" s="285" t="s">
        <v>518</v>
      </c>
      <c r="G263" s="347"/>
      <c r="H263" s="18">
        <f>SUM(H264:H272)</f>
        <v>0</v>
      </c>
      <c r="I263" s="14" t="e">
        <f>SUM(H263/G281*100)</f>
        <v>#DIV/0!</v>
      </c>
    </row>
    <row r="264" spans="1:9" s="16" customFormat="1" ht="28.5" hidden="1">
      <c r="A264" s="234" t="s">
        <v>519</v>
      </c>
      <c r="B264" s="205"/>
      <c r="C264" s="298" t="s">
        <v>130</v>
      </c>
      <c r="D264" s="299" t="s">
        <v>105</v>
      </c>
      <c r="E264" s="288" t="s">
        <v>40</v>
      </c>
      <c r="F264" s="285" t="s">
        <v>520</v>
      </c>
      <c r="G264" s="347"/>
      <c r="H264" s="18"/>
      <c r="I264" s="14" t="e">
        <f>SUM(H264/G282*100)</f>
        <v>#DIV/0!</v>
      </c>
    </row>
    <row r="265" spans="1:9" s="16" customFormat="1" ht="57">
      <c r="A265" s="239" t="s">
        <v>602</v>
      </c>
      <c r="B265" s="203"/>
      <c r="C265" s="301" t="s">
        <v>130</v>
      </c>
      <c r="D265" s="302" t="s">
        <v>105</v>
      </c>
      <c r="E265" s="308" t="s">
        <v>603</v>
      </c>
      <c r="F265" s="303"/>
      <c r="G265" s="358">
        <f>SUM(G266)</f>
        <v>198.4</v>
      </c>
      <c r="H265" s="18"/>
      <c r="I265" s="14" t="e">
        <f>SUM(H265/G283*100)</f>
        <v>#DIV/0!</v>
      </c>
    </row>
    <row r="266" spans="1:10" s="16" customFormat="1" ht="15">
      <c r="A266" s="234" t="s">
        <v>499</v>
      </c>
      <c r="B266" s="205"/>
      <c r="C266" s="298" t="s">
        <v>130</v>
      </c>
      <c r="D266" s="299" t="s">
        <v>105</v>
      </c>
      <c r="E266" s="308" t="s">
        <v>603</v>
      </c>
      <c r="F266" s="285" t="s">
        <v>119</v>
      </c>
      <c r="G266" s="347">
        <v>198.4</v>
      </c>
      <c r="H266" s="18"/>
      <c r="I266" s="14" t="e">
        <f>SUM(H266/G284*100)</f>
        <v>#DIV/0!</v>
      </c>
      <c r="J266" s="16">
        <f>SUM('ведомствен.2014'!G266)</f>
        <v>198.4</v>
      </c>
    </row>
    <row r="267" spans="1:9" s="16" customFormat="1" ht="15">
      <c r="A267" s="122" t="s">
        <v>748</v>
      </c>
      <c r="B267" s="214"/>
      <c r="C267" s="310" t="s">
        <v>130</v>
      </c>
      <c r="D267" s="311" t="s">
        <v>105</v>
      </c>
      <c r="E267" s="283" t="s">
        <v>128</v>
      </c>
      <c r="F267" s="285"/>
      <c r="G267" s="347">
        <f>SUM(G268)+G270</f>
        <v>352.5</v>
      </c>
      <c r="H267" s="18"/>
      <c r="I267" s="14"/>
    </row>
    <row r="268" spans="1:9" s="16" customFormat="1" ht="42.75">
      <c r="A268" s="242" t="s">
        <v>673</v>
      </c>
      <c r="B268" s="216"/>
      <c r="C268" s="353" t="s">
        <v>130</v>
      </c>
      <c r="D268" s="317" t="s">
        <v>105</v>
      </c>
      <c r="E268" s="283" t="s">
        <v>656</v>
      </c>
      <c r="F268" s="285"/>
      <c r="G268" s="347">
        <f>SUM(G269)</f>
        <v>172.7</v>
      </c>
      <c r="H268" s="18"/>
      <c r="I268" s="14"/>
    </row>
    <row r="269" spans="1:10" s="16" customFormat="1" ht="15">
      <c r="A269" s="234" t="s">
        <v>499</v>
      </c>
      <c r="B269" s="215"/>
      <c r="C269" s="353" t="s">
        <v>130</v>
      </c>
      <c r="D269" s="317" t="s">
        <v>105</v>
      </c>
      <c r="E269" s="283" t="s">
        <v>656</v>
      </c>
      <c r="F269" s="285" t="s">
        <v>119</v>
      </c>
      <c r="G269" s="347">
        <v>172.7</v>
      </c>
      <c r="H269" s="18"/>
      <c r="I269" s="14"/>
      <c r="J269" s="16">
        <f>SUM('ведомствен.2014'!G269)</f>
        <v>172.7</v>
      </c>
    </row>
    <row r="270" spans="1:9" s="16" customFormat="1" ht="42.75">
      <c r="A270" s="121" t="s">
        <v>742</v>
      </c>
      <c r="B270" s="158"/>
      <c r="C270" s="317" t="s">
        <v>130</v>
      </c>
      <c r="D270" s="317" t="s">
        <v>105</v>
      </c>
      <c r="E270" s="283" t="s">
        <v>743</v>
      </c>
      <c r="F270" s="285"/>
      <c r="G270" s="343">
        <f>SUM(G271)</f>
        <v>179.8</v>
      </c>
      <c r="H270" s="18"/>
      <c r="I270" s="14"/>
    </row>
    <row r="271" spans="1:10" s="16" customFormat="1" ht="15">
      <c r="A271" s="121" t="s">
        <v>499</v>
      </c>
      <c r="B271" s="158"/>
      <c r="C271" s="317" t="s">
        <v>130</v>
      </c>
      <c r="D271" s="317" t="s">
        <v>105</v>
      </c>
      <c r="E271" s="283" t="s">
        <v>743</v>
      </c>
      <c r="F271" s="285" t="s">
        <v>119</v>
      </c>
      <c r="G271" s="343">
        <v>179.8</v>
      </c>
      <c r="H271" s="18"/>
      <c r="I271" s="14"/>
      <c r="J271" s="16">
        <f>SUM('ведомствен.2014'!G271)</f>
        <v>179.8</v>
      </c>
    </row>
    <row r="272" spans="1:12" s="16" customFormat="1" ht="27.75" customHeight="1">
      <c r="A272" s="234" t="s">
        <v>64</v>
      </c>
      <c r="B272" s="205"/>
      <c r="C272" s="298" t="s">
        <v>130</v>
      </c>
      <c r="D272" s="299" t="s">
        <v>130</v>
      </c>
      <c r="E272" s="288"/>
      <c r="F272" s="285"/>
      <c r="G272" s="347">
        <f>G278+G273</f>
        <v>56463.8</v>
      </c>
      <c r="H272" s="18">
        <f>SUM(H278)</f>
        <v>0</v>
      </c>
      <c r="I272" s="14">
        <f>SUM(H272/G285*100)</f>
        <v>0</v>
      </c>
      <c r="K272" s="16">
        <f>SUM(J277:J289)</f>
        <v>56463.8</v>
      </c>
      <c r="L272" s="16">
        <f>SUM('ведомствен.2014'!G275)</f>
        <v>56463.8</v>
      </c>
    </row>
    <row r="273" spans="1:9" s="16" customFormat="1" ht="18.75" customHeight="1">
      <c r="A273" s="239" t="s">
        <v>680</v>
      </c>
      <c r="B273" s="205"/>
      <c r="C273" s="298" t="s">
        <v>130</v>
      </c>
      <c r="D273" s="299" t="s">
        <v>130</v>
      </c>
      <c r="E273" s="288" t="s">
        <v>682</v>
      </c>
      <c r="F273" s="285"/>
      <c r="G273" s="358">
        <f>SUM(G274)</f>
        <v>42485.8</v>
      </c>
      <c r="H273" s="18"/>
      <c r="I273" s="14"/>
    </row>
    <row r="274" spans="1:9" s="16" customFormat="1" ht="57" customHeight="1">
      <c r="A274" s="234" t="s">
        <v>744</v>
      </c>
      <c r="B274" s="205"/>
      <c r="C274" s="298" t="s">
        <v>130</v>
      </c>
      <c r="D274" s="299" t="s">
        <v>130</v>
      </c>
      <c r="E274" s="288" t="s">
        <v>710</v>
      </c>
      <c r="F274" s="285"/>
      <c r="G274" s="358">
        <f>SUM(G275)</f>
        <v>42485.8</v>
      </c>
      <c r="H274" s="18"/>
      <c r="I274" s="14"/>
    </row>
    <row r="275" spans="1:9" s="16" customFormat="1" ht="28.5">
      <c r="A275" s="235" t="s">
        <v>745</v>
      </c>
      <c r="B275" s="198"/>
      <c r="C275" s="298" t="s">
        <v>130</v>
      </c>
      <c r="D275" s="299" t="s">
        <v>130</v>
      </c>
      <c r="E275" s="288" t="s">
        <v>746</v>
      </c>
      <c r="F275" s="284"/>
      <c r="G275" s="358">
        <f>SUM(G276:G277)</f>
        <v>42485.8</v>
      </c>
      <c r="H275" s="18"/>
      <c r="I275" s="14"/>
    </row>
    <row r="276" spans="1:10" s="16" customFormat="1" ht="15" hidden="1">
      <c r="A276" s="457" t="s">
        <v>499</v>
      </c>
      <c r="B276" s="320"/>
      <c r="C276" s="299" t="s">
        <v>130</v>
      </c>
      <c r="D276" s="299" t="s">
        <v>130</v>
      </c>
      <c r="E276" s="288" t="s">
        <v>746</v>
      </c>
      <c r="F276" s="284" t="s">
        <v>119</v>
      </c>
      <c r="G276" s="358"/>
      <c r="H276" s="18"/>
      <c r="I276" s="14"/>
      <c r="J276" s="16">
        <f>SUM('ведомствен.2014'!G279)</f>
        <v>0</v>
      </c>
    </row>
    <row r="277" spans="1:10" s="16" customFormat="1" ht="42.75">
      <c r="A277" s="246" t="s">
        <v>659</v>
      </c>
      <c r="B277" s="198"/>
      <c r="C277" s="298" t="s">
        <v>130</v>
      </c>
      <c r="D277" s="299" t="s">
        <v>130</v>
      </c>
      <c r="E277" s="288" t="s">
        <v>746</v>
      </c>
      <c r="F277" s="284" t="s">
        <v>559</v>
      </c>
      <c r="G277" s="148">
        <v>42485.8</v>
      </c>
      <c r="H277" s="18"/>
      <c r="I277" s="14"/>
      <c r="J277" s="16">
        <f>SUM('ведомствен.2014'!G280)</f>
        <v>42485.8</v>
      </c>
    </row>
    <row r="278" spans="1:9" s="16" customFormat="1" ht="15">
      <c r="A278" s="234" t="s">
        <v>550</v>
      </c>
      <c r="B278" s="205"/>
      <c r="C278" s="298" t="s">
        <v>130</v>
      </c>
      <c r="D278" s="299" t="s">
        <v>130</v>
      </c>
      <c r="E278" s="288" t="s">
        <v>128</v>
      </c>
      <c r="F278" s="285"/>
      <c r="G278" s="347">
        <f>G281+G283+G285+G287+G279</f>
        <v>13978</v>
      </c>
      <c r="H278" s="18">
        <f>SUM(H281)</f>
        <v>0</v>
      </c>
      <c r="I278" s="14">
        <f>SUM(H278/G286*100)</f>
        <v>0</v>
      </c>
    </row>
    <row r="279" spans="1:9" s="16" customFormat="1" ht="28.5">
      <c r="A279" s="233" t="s">
        <v>674</v>
      </c>
      <c r="B279" s="214"/>
      <c r="C279" s="292" t="s">
        <v>130</v>
      </c>
      <c r="D279" s="288" t="s">
        <v>130</v>
      </c>
      <c r="E279" s="283" t="s">
        <v>660</v>
      </c>
      <c r="F279" s="285"/>
      <c r="G279" s="347">
        <f>SUM(G280)</f>
        <v>995.3</v>
      </c>
      <c r="H279" s="18"/>
      <c r="I279" s="14"/>
    </row>
    <row r="280" spans="1:10" s="16" customFormat="1" ht="42" customHeight="1">
      <c r="A280" s="246" t="s">
        <v>659</v>
      </c>
      <c r="B280" s="215"/>
      <c r="C280" s="292" t="s">
        <v>130</v>
      </c>
      <c r="D280" s="288" t="s">
        <v>130</v>
      </c>
      <c r="E280" s="283" t="s">
        <v>660</v>
      </c>
      <c r="F280" s="285" t="s">
        <v>559</v>
      </c>
      <c r="G280" s="347">
        <v>995.3</v>
      </c>
      <c r="H280" s="18"/>
      <c r="I280" s="14"/>
      <c r="J280" s="16">
        <f>SUM('ведомствен.2014'!G283)</f>
        <v>995.3</v>
      </c>
    </row>
    <row r="281" spans="1:9" s="16" customFormat="1" ht="17.25" customHeight="1" hidden="1">
      <c r="A281" s="240" t="s">
        <v>555</v>
      </c>
      <c r="B281" s="205"/>
      <c r="C281" s="298" t="s">
        <v>130</v>
      </c>
      <c r="D281" s="299" t="s">
        <v>130</v>
      </c>
      <c r="E281" s="288" t="s">
        <v>13</v>
      </c>
      <c r="F281" s="285"/>
      <c r="G281" s="347">
        <f>G282</f>
        <v>0</v>
      </c>
      <c r="H281" s="18"/>
      <c r="I281" s="14">
        <f>SUM(H281/G287*100)</f>
        <v>0</v>
      </c>
    </row>
    <row r="282" spans="1:10" ht="28.5" hidden="1">
      <c r="A282" s="234" t="s">
        <v>523</v>
      </c>
      <c r="B282" s="205"/>
      <c r="C282" s="298" t="s">
        <v>130</v>
      </c>
      <c r="D282" s="299" t="s">
        <v>130</v>
      </c>
      <c r="E282" s="288" t="s">
        <v>13</v>
      </c>
      <c r="F282" s="285" t="s">
        <v>512</v>
      </c>
      <c r="G282" s="347"/>
      <c r="H282" s="14"/>
      <c r="I282" s="14"/>
      <c r="J282" s="16">
        <f>SUM('ведомствен.2014'!G285)</f>
        <v>0</v>
      </c>
    </row>
    <row r="283" spans="1:10" ht="42.75" hidden="1">
      <c r="A283" s="240" t="s">
        <v>556</v>
      </c>
      <c r="B283" s="205"/>
      <c r="C283" s="298" t="s">
        <v>557</v>
      </c>
      <c r="D283" s="299" t="s">
        <v>130</v>
      </c>
      <c r="E283" s="288" t="s">
        <v>14</v>
      </c>
      <c r="F283" s="285"/>
      <c r="G283" s="347">
        <f>G284</f>
        <v>0</v>
      </c>
      <c r="H283" s="14"/>
      <c r="I283" s="14"/>
      <c r="J283"/>
    </row>
    <row r="284" spans="1:10" ht="28.5" hidden="1">
      <c r="A284" s="234" t="s">
        <v>558</v>
      </c>
      <c r="B284" s="205"/>
      <c r="C284" s="298" t="s">
        <v>557</v>
      </c>
      <c r="D284" s="299" t="s">
        <v>130</v>
      </c>
      <c r="E284" s="288" t="s">
        <v>14</v>
      </c>
      <c r="F284" s="285" t="s">
        <v>559</v>
      </c>
      <c r="G284" s="347"/>
      <c r="H284" s="14"/>
      <c r="I284" s="14"/>
      <c r="J284" s="16">
        <f>SUM('ведомствен.2014'!G287)</f>
        <v>0</v>
      </c>
    </row>
    <row r="285" spans="1:10" ht="57">
      <c r="A285" s="234" t="s">
        <v>675</v>
      </c>
      <c r="B285" s="205"/>
      <c r="C285" s="298" t="s">
        <v>130</v>
      </c>
      <c r="D285" s="299" t="s">
        <v>130</v>
      </c>
      <c r="E285" s="288" t="s">
        <v>42</v>
      </c>
      <c r="F285" s="285"/>
      <c r="G285" s="347">
        <f>G286</f>
        <v>3569.2</v>
      </c>
      <c r="H285" s="14"/>
      <c r="I285" s="14"/>
      <c r="J285"/>
    </row>
    <row r="286" spans="1:10" ht="28.5">
      <c r="A286" s="234" t="s">
        <v>558</v>
      </c>
      <c r="B286" s="205"/>
      <c r="C286" s="298" t="s">
        <v>130</v>
      </c>
      <c r="D286" s="299" t="s">
        <v>130</v>
      </c>
      <c r="E286" s="288" t="s">
        <v>42</v>
      </c>
      <c r="F286" s="285" t="s">
        <v>559</v>
      </c>
      <c r="G286" s="347">
        <v>3569.2</v>
      </c>
      <c r="H286" s="14"/>
      <c r="I286" s="14"/>
      <c r="J286" s="16">
        <f>SUM('ведомствен.2014'!G289)</f>
        <v>3569.2</v>
      </c>
    </row>
    <row r="287" spans="1:10" ht="28.5">
      <c r="A287" s="240" t="s">
        <v>670</v>
      </c>
      <c r="B287" s="205"/>
      <c r="C287" s="298" t="s">
        <v>130</v>
      </c>
      <c r="D287" s="299" t="s">
        <v>130</v>
      </c>
      <c r="E287" s="288" t="s">
        <v>54</v>
      </c>
      <c r="F287" s="285"/>
      <c r="G287" s="347">
        <f>SUM(G288:G289)</f>
        <v>9413.5</v>
      </c>
      <c r="H287" s="14"/>
      <c r="I287" s="14"/>
      <c r="J287"/>
    </row>
    <row r="288" spans="1:10" ht="28.5">
      <c r="A288" s="234" t="s">
        <v>558</v>
      </c>
      <c r="B288" s="205"/>
      <c r="C288" s="298" t="s">
        <v>130</v>
      </c>
      <c r="D288" s="299" t="s">
        <v>130</v>
      </c>
      <c r="E288" s="288" t="s">
        <v>54</v>
      </c>
      <c r="F288" s="285" t="s">
        <v>559</v>
      </c>
      <c r="G288" s="347">
        <v>5213.5</v>
      </c>
      <c r="H288" s="14"/>
      <c r="I288" s="14"/>
      <c r="J288" s="16">
        <f>SUM('ведомствен.2014'!G291)</f>
        <v>5213.5</v>
      </c>
    </row>
    <row r="289" spans="1:10" ht="28.5">
      <c r="A289" s="234" t="s">
        <v>523</v>
      </c>
      <c r="B289" s="205"/>
      <c r="C289" s="298" t="s">
        <v>130</v>
      </c>
      <c r="D289" s="299" t="s">
        <v>130</v>
      </c>
      <c r="E289" s="288" t="s">
        <v>54</v>
      </c>
      <c r="F289" s="285" t="s">
        <v>512</v>
      </c>
      <c r="G289" s="347">
        <v>4200</v>
      </c>
      <c r="H289" s="14"/>
      <c r="I289" s="14"/>
      <c r="J289" s="16">
        <f>SUM('ведомствен.2014'!G292)</f>
        <v>4200</v>
      </c>
    </row>
    <row r="290" spans="1:12" ht="15">
      <c r="A290" s="237" t="s">
        <v>67</v>
      </c>
      <c r="B290" s="202"/>
      <c r="C290" s="289" t="s">
        <v>390</v>
      </c>
      <c r="D290" s="350"/>
      <c r="E290" s="350"/>
      <c r="F290" s="351"/>
      <c r="G290" s="147">
        <f>SUM(G291)</f>
        <v>6051</v>
      </c>
      <c r="H290" s="18">
        <f>SUM(H291)</f>
        <v>0</v>
      </c>
      <c r="I290" s="14">
        <f>SUM(H290/G296*100)</f>
        <v>0</v>
      </c>
      <c r="J290"/>
      <c r="K290">
        <f>SUM(J291:J301)</f>
        <v>6051.000000000001</v>
      </c>
      <c r="L290">
        <f>SUM('ведомствен.2014'!G293)</f>
        <v>6051</v>
      </c>
    </row>
    <row r="291" spans="1:10" ht="15">
      <c r="A291" s="233" t="s">
        <v>67</v>
      </c>
      <c r="B291" s="198"/>
      <c r="C291" s="282" t="s">
        <v>390</v>
      </c>
      <c r="D291" s="283"/>
      <c r="E291" s="283"/>
      <c r="F291" s="284"/>
      <c r="G291" s="145">
        <f>SUM(G292)+G297</f>
        <v>6051</v>
      </c>
      <c r="H291" s="18">
        <f>SUM(H292)</f>
        <v>0</v>
      </c>
      <c r="I291" s="14">
        <f>SUM(H291/G297*100)</f>
        <v>0</v>
      </c>
      <c r="J291"/>
    </row>
    <row r="292" spans="1:9" s="23" customFormat="1" ht="15">
      <c r="A292" s="234" t="s">
        <v>68</v>
      </c>
      <c r="B292" s="201"/>
      <c r="C292" s="298" t="s">
        <v>390</v>
      </c>
      <c r="D292" s="299" t="s">
        <v>105</v>
      </c>
      <c r="E292" s="299" t="s">
        <v>560</v>
      </c>
      <c r="F292" s="300"/>
      <c r="G292" s="347">
        <f>SUM(G293)</f>
        <v>5187.8</v>
      </c>
      <c r="H292" s="18"/>
      <c r="I292" s="14">
        <f>SUM(H292/G298*100)</f>
        <v>0</v>
      </c>
    </row>
    <row r="293" spans="1:10" ht="28.5">
      <c r="A293" s="234" t="s">
        <v>56</v>
      </c>
      <c r="B293" s="201"/>
      <c r="C293" s="298" t="s">
        <v>390</v>
      </c>
      <c r="D293" s="299" t="s">
        <v>105</v>
      </c>
      <c r="E293" s="299" t="s">
        <v>561</v>
      </c>
      <c r="F293" s="300"/>
      <c r="G293" s="347">
        <f>SUM(G294:G296)</f>
        <v>5187.8</v>
      </c>
      <c r="H293" s="18" t="e">
        <f>SUM(H296+H297+#REF!)</f>
        <v>#REF!</v>
      </c>
      <c r="I293" s="14" t="e">
        <f>SUM(H293/G299*100)</f>
        <v>#REF!</v>
      </c>
      <c r="J293"/>
    </row>
    <row r="294" spans="1:10" ht="42.75">
      <c r="A294" s="234" t="s">
        <v>494</v>
      </c>
      <c r="B294" s="201"/>
      <c r="C294" s="298" t="s">
        <v>390</v>
      </c>
      <c r="D294" s="299" t="s">
        <v>105</v>
      </c>
      <c r="E294" s="299" t="s">
        <v>561</v>
      </c>
      <c r="F294" s="300" t="s">
        <v>495</v>
      </c>
      <c r="G294" s="347">
        <v>4384.8</v>
      </c>
      <c r="H294" s="18"/>
      <c r="I294" s="14">
        <f>SUM(H294/G301*100)</f>
        <v>0</v>
      </c>
      <c r="J294">
        <f>SUM('ведомствен.2014'!G297)</f>
        <v>4384.8</v>
      </c>
    </row>
    <row r="295" spans="1:10" ht="15">
      <c r="A295" s="234" t="s">
        <v>499</v>
      </c>
      <c r="B295" s="201"/>
      <c r="C295" s="298" t="s">
        <v>390</v>
      </c>
      <c r="D295" s="299" t="s">
        <v>105</v>
      </c>
      <c r="E295" s="299" t="s">
        <v>561</v>
      </c>
      <c r="F295" s="300" t="s">
        <v>119</v>
      </c>
      <c r="G295" s="347">
        <v>732</v>
      </c>
      <c r="H295" s="24">
        <v>300</v>
      </c>
      <c r="I295" s="14" t="e">
        <f>SUM(H295/#REF!*100)</f>
        <v>#REF!</v>
      </c>
      <c r="J295">
        <f>SUM('ведомствен.2014'!G298)</f>
        <v>732</v>
      </c>
    </row>
    <row r="296" spans="1:10" ht="15">
      <c r="A296" s="234" t="s">
        <v>500</v>
      </c>
      <c r="B296" s="201"/>
      <c r="C296" s="298" t="s">
        <v>390</v>
      </c>
      <c r="D296" s="299" t="s">
        <v>105</v>
      </c>
      <c r="E296" s="299" t="s">
        <v>561</v>
      </c>
      <c r="F296" s="300" t="s">
        <v>175</v>
      </c>
      <c r="G296" s="347">
        <v>71</v>
      </c>
      <c r="H296" s="18"/>
      <c r="I296" s="14" t="e">
        <f>SUM(H296/#REF!*100)</f>
        <v>#REF!</v>
      </c>
      <c r="J296">
        <f>SUM('ведомствен.2014'!G299)</f>
        <v>71</v>
      </c>
    </row>
    <row r="297" spans="1:10" ht="15">
      <c r="A297" s="234" t="s">
        <v>69</v>
      </c>
      <c r="B297" s="201"/>
      <c r="C297" s="298" t="s">
        <v>390</v>
      </c>
      <c r="D297" s="299" t="s">
        <v>130</v>
      </c>
      <c r="E297" s="321"/>
      <c r="F297" s="300"/>
      <c r="G297" s="347">
        <f>G299</f>
        <v>863.2</v>
      </c>
      <c r="H297" s="18">
        <f>SUM(H298:H301)</f>
        <v>347.3</v>
      </c>
      <c r="I297" s="14" t="e">
        <f>SUM(H297/#REF!*100)</f>
        <v>#REF!</v>
      </c>
      <c r="J297"/>
    </row>
    <row r="298" spans="1:9" ht="15">
      <c r="A298" s="234" t="s">
        <v>550</v>
      </c>
      <c r="B298" s="201"/>
      <c r="C298" s="298" t="s">
        <v>390</v>
      </c>
      <c r="D298" s="299" t="s">
        <v>130</v>
      </c>
      <c r="E298" s="288" t="s">
        <v>128</v>
      </c>
      <c r="F298" s="300"/>
      <c r="G298" s="347">
        <f>SUM(G299)</f>
        <v>863.2</v>
      </c>
      <c r="H298" s="18"/>
      <c r="I298" s="14" t="e">
        <f>SUM(H298/#REF!*100)</f>
        <v>#REF!</v>
      </c>
    </row>
    <row r="299" spans="1:10" ht="15.75">
      <c r="A299" s="234" t="s">
        <v>641</v>
      </c>
      <c r="B299" s="204"/>
      <c r="C299" s="298" t="s">
        <v>390</v>
      </c>
      <c r="D299" s="299" t="s">
        <v>130</v>
      </c>
      <c r="E299" s="299" t="s">
        <v>70</v>
      </c>
      <c r="F299" s="300"/>
      <c r="G299" s="347">
        <f>SUM(G300:G301)</f>
        <v>863.2</v>
      </c>
      <c r="H299" s="18"/>
      <c r="I299" s="14"/>
      <c r="J299"/>
    </row>
    <row r="300" spans="1:10" s="93" customFormat="1" ht="42.75">
      <c r="A300" s="121" t="s">
        <v>494</v>
      </c>
      <c r="B300" s="304"/>
      <c r="C300" s="299" t="s">
        <v>390</v>
      </c>
      <c r="D300" s="299" t="s">
        <v>130</v>
      </c>
      <c r="E300" s="299" t="s">
        <v>70</v>
      </c>
      <c r="F300" s="300" t="s">
        <v>495</v>
      </c>
      <c r="G300" s="343">
        <v>148.1</v>
      </c>
      <c r="H300" s="22"/>
      <c r="I300" s="22"/>
      <c r="J300" s="93">
        <f>SUM('ведомствен.2014'!G303)</f>
        <v>148.1</v>
      </c>
    </row>
    <row r="301" spans="1:10" ht="15">
      <c r="A301" s="234" t="s">
        <v>499</v>
      </c>
      <c r="B301" s="201"/>
      <c r="C301" s="298" t="s">
        <v>390</v>
      </c>
      <c r="D301" s="299" t="s">
        <v>130</v>
      </c>
      <c r="E301" s="299" t="s">
        <v>70</v>
      </c>
      <c r="F301" s="300" t="s">
        <v>119</v>
      </c>
      <c r="G301" s="347">
        <v>715.1</v>
      </c>
      <c r="H301" s="18">
        <v>347.3</v>
      </c>
      <c r="I301" s="14" t="e">
        <f>SUM(H301/#REF!*100)</f>
        <v>#REF!</v>
      </c>
      <c r="J301">
        <f>SUM('ведомствен.2014'!G304)</f>
        <v>715.1</v>
      </c>
    </row>
    <row r="302" spans="1:12" s="25" customFormat="1" ht="15">
      <c r="A302" s="237" t="s">
        <v>115</v>
      </c>
      <c r="B302" s="202"/>
      <c r="C302" s="287" t="s">
        <v>116</v>
      </c>
      <c r="D302" s="334"/>
      <c r="E302" s="334"/>
      <c r="F302" s="335"/>
      <c r="G302" s="147">
        <f>SUM(G303+G343+G415+G448)</f>
        <v>1895241.7000000002</v>
      </c>
      <c r="H302" s="14"/>
      <c r="I302" s="14"/>
      <c r="K302" s="78">
        <f>SUM(J307:J464)</f>
        <v>1895341.6999999997</v>
      </c>
      <c r="L302" s="78">
        <f>SUM('ведомствен.2014'!G305+'ведомствен.2014'!G405+'ведомствен.2014'!G567+'ведомствен.2014'!G631+'ведомствен.2014'!G784)+'ведомствен.2014'!G889</f>
        <v>1895341.6999999997</v>
      </c>
    </row>
    <row r="303" spans="1:12" s="25" customFormat="1" ht="15">
      <c r="A303" s="239" t="s">
        <v>337</v>
      </c>
      <c r="B303" s="217"/>
      <c r="C303" s="332" t="s">
        <v>116</v>
      </c>
      <c r="D303" s="308" t="s">
        <v>459</v>
      </c>
      <c r="E303" s="308"/>
      <c r="F303" s="333"/>
      <c r="G303" s="148">
        <f>SUM(G304+G332)+G324</f>
        <v>674019.2</v>
      </c>
      <c r="H303" s="14"/>
      <c r="I303" s="14"/>
      <c r="L303" s="74">
        <f>SUM(L302-K302)</f>
        <v>0</v>
      </c>
    </row>
    <row r="304" spans="1:12" s="25" customFormat="1" ht="15">
      <c r="A304" s="239" t="s">
        <v>338</v>
      </c>
      <c r="B304" s="217"/>
      <c r="C304" s="332" t="s">
        <v>116</v>
      </c>
      <c r="D304" s="308" t="s">
        <v>459</v>
      </c>
      <c r="E304" s="308" t="s">
        <v>339</v>
      </c>
      <c r="F304" s="333"/>
      <c r="G304" s="148">
        <f>SUM(G305+G317+G321)</f>
        <v>644693.7</v>
      </c>
      <c r="H304" s="14"/>
      <c r="I304" s="14"/>
      <c r="K304" s="25">
        <f>SUM(J303:J342)</f>
        <v>674019.2</v>
      </c>
      <c r="L304" s="25">
        <f>SUM('ведомствен.2014'!G632)</f>
        <v>674019.2</v>
      </c>
    </row>
    <row r="305" spans="1:11" ht="28.5">
      <c r="A305" s="239" t="s">
        <v>605</v>
      </c>
      <c r="B305" s="217"/>
      <c r="C305" s="332" t="s">
        <v>116</v>
      </c>
      <c r="D305" s="308" t="s">
        <v>459</v>
      </c>
      <c r="E305" s="308" t="s">
        <v>84</v>
      </c>
      <c r="F305" s="333"/>
      <c r="G305" s="148">
        <f>SUM(G308+G306+G310)</f>
        <v>544327.2999999999</v>
      </c>
      <c r="H305" s="14"/>
      <c r="I305" s="14"/>
      <c r="J305"/>
      <c r="K305" s="276">
        <f>SUM(G303-K304)</f>
        <v>0</v>
      </c>
    </row>
    <row r="306" spans="1:10" ht="85.5">
      <c r="A306" s="239" t="s">
        <v>606</v>
      </c>
      <c r="B306" s="217"/>
      <c r="C306" s="332" t="s">
        <v>116</v>
      </c>
      <c r="D306" s="308" t="s">
        <v>459</v>
      </c>
      <c r="E306" s="308" t="s">
        <v>211</v>
      </c>
      <c r="F306" s="333"/>
      <c r="G306" s="148">
        <f>G307</f>
        <v>359221.8</v>
      </c>
      <c r="H306" s="14"/>
      <c r="I306" s="14"/>
      <c r="J306"/>
    </row>
    <row r="307" spans="1:10" s="25" customFormat="1" ht="28.5">
      <c r="A307" s="239" t="s">
        <v>523</v>
      </c>
      <c r="B307" s="217"/>
      <c r="C307" s="332" t="s">
        <v>116</v>
      </c>
      <c r="D307" s="308" t="s">
        <v>459</v>
      </c>
      <c r="E307" s="308" t="s">
        <v>211</v>
      </c>
      <c r="F307" s="333" t="s">
        <v>512</v>
      </c>
      <c r="G307" s="148">
        <v>359221.8</v>
      </c>
      <c r="H307" s="14"/>
      <c r="I307" s="14"/>
      <c r="J307">
        <f>SUM('ведомствен.2014'!G636)</f>
        <v>359221.8</v>
      </c>
    </row>
    <row r="308" spans="1:10" ht="28.5">
      <c r="A308" s="239" t="s">
        <v>204</v>
      </c>
      <c r="B308" s="217"/>
      <c r="C308" s="332" t="s">
        <v>116</v>
      </c>
      <c r="D308" s="308" t="s">
        <v>459</v>
      </c>
      <c r="E308" s="308" t="s">
        <v>85</v>
      </c>
      <c r="F308" s="333"/>
      <c r="G308" s="148">
        <f>SUM(G309)</f>
        <v>177562.9</v>
      </c>
      <c r="H308" s="14"/>
      <c r="I308" s="14"/>
      <c r="J308"/>
    </row>
    <row r="309" spans="1:10" ht="28.5">
      <c r="A309" s="239" t="s">
        <v>523</v>
      </c>
      <c r="B309" s="217"/>
      <c r="C309" s="332" t="s">
        <v>116</v>
      </c>
      <c r="D309" s="308" t="s">
        <v>459</v>
      </c>
      <c r="E309" s="308" t="s">
        <v>85</v>
      </c>
      <c r="F309" s="333" t="s">
        <v>512</v>
      </c>
      <c r="G309" s="148">
        <v>177562.9</v>
      </c>
      <c r="H309" s="14"/>
      <c r="I309" s="14"/>
      <c r="J309">
        <f>SUM('ведомствен.2014'!G638)</f>
        <v>177562.9</v>
      </c>
    </row>
    <row r="310" spans="1:10" ht="28.5">
      <c r="A310" s="248" t="s">
        <v>156</v>
      </c>
      <c r="B310" s="191"/>
      <c r="C310" s="310" t="s">
        <v>116</v>
      </c>
      <c r="D310" s="311" t="s">
        <v>459</v>
      </c>
      <c r="E310" s="311" t="s">
        <v>662</v>
      </c>
      <c r="F310" s="313"/>
      <c r="G310" s="177">
        <f>SUM(G315)+G311+G313</f>
        <v>7542.6</v>
      </c>
      <c r="H310" s="174"/>
      <c r="I310" s="174"/>
      <c r="J310"/>
    </row>
    <row r="311" spans="1:10" ht="28.5">
      <c r="A311" s="182" t="s">
        <v>143</v>
      </c>
      <c r="B311" s="190"/>
      <c r="C311" s="311" t="s">
        <v>116</v>
      </c>
      <c r="D311" s="311" t="s">
        <v>459</v>
      </c>
      <c r="E311" s="311" t="s">
        <v>721</v>
      </c>
      <c r="F311" s="313"/>
      <c r="G311" s="177">
        <f>SUM(G312)</f>
        <v>3099.6</v>
      </c>
      <c r="H311" s="174"/>
      <c r="I311" s="174"/>
      <c r="J311"/>
    </row>
    <row r="312" spans="1:10" ht="28.5">
      <c r="A312" s="122" t="s">
        <v>523</v>
      </c>
      <c r="B312" s="190"/>
      <c r="C312" s="311" t="s">
        <v>116</v>
      </c>
      <c r="D312" s="311" t="s">
        <v>459</v>
      </c>
      <c r="E312" s="311" t="s">
        <v>721</v>
      </c>
      <c r="F312" s="313" t="s">
        <v>512</v>
      </c>
      <c r="G312" s="177">
        <v>3099.6</v>
      </c>
      <c r="H312" s="174"/>
      <c r="I312" s="174"/>
      <c r="J312" s="36">
        <f>SUM('ведомствен.2014'!G641)</f>
        <v>3099.6</v>
      </c>
    </row>
    <row r="313" spans="1:10" ht="28.5">
      <c r="A313" s="182" t="s">
        <v>413</v>
      </c>
      <c r="B313" s="190"/>
      <c r="C313" s="311" t="s">
        <v>116</v>
      </c>
      <c r="D313" s="311" t="s">
        <v>459</v>
      </c>
      <c r="E313" s="311" t="s">
        <v>722</v>
      </c>
      <c r="F313" s="313"/>
      <c r="G313" s="177">
        <f>SUM(G314)</f>
        <v>10</v>
      </c>
      <c r="H313" s="174"/>
      <c r="I313" s="174"/>
      <c r="J313"/>
    </row>
    <row r="314" spans="1:10" ht="28.5">
      <c r="A314" s="122" t="s">
        <v>523</v>
      </c>
      <c r="B314" s="190"/>
      <c r="C314" s="311" t="s">
        <v>116</v>
      </c>
      <c r="D314" s="311" t="s">
        <v>459</v>
      </c>
      <c r="E314" s="311" t="s">
        <v>722</v>
      </c>
      <c r="F314" s="313" t="s">
        <v>512</v>
      </c>
      <c r="G314" s="177">
        <v>10</v>
      </c>
      <c r="H314" s="174"/>
      <c r="I314" s="174"/>
      <c r="J314" s="36">
        <f>SUM('ведомствен.2014'!G643)</f>
        <v>10</v>
      </c>
    </row>
    <row r="315" spans="1:7" ht="28.5">
      <c r="A315" s="244" t="s">
        <v>153</v>
      </c>
      <c r="B315" s="191"/>
      <c r="C315" s="310" t="s">
        <v>116</v>
      </c>
      <c r="D315" s="311" t="s">
        <v>459</v>
      </c>
      <c r="E315" s="311" t="s">
        <v>661</v>
      </c>
      <c r="F315" s="313"/>
      <c r="G315" s="177">
        <f>SUM(G316)</f>
        <v>4433</v>
      </c>
    </row>
    <row r="316" spans="1:10" ht="28.5">
      <c r="A316" s="239" t="s">
        <v>523</v>
      </c>
      <c r="B316" s="191"/>
      <c r="C316" s="310" t="s">
        <v>116</v>
      </c>
      <c r="D316" s="311" t="s">
        <v>459</v>
      </c>
      <c r="E316" s="311" t="s">
        <v>661</v>
      </c>
      <c r="F316" s="333" t="s">
        <v>512</v>
      </c>
      <c r="G316" s="177">
        <v>4433</v>
      </c>
      <c r="J316" s="36">
        <f>SUM('ведомствен.2014'!G645)</f>
        <v>4433</v>
      </c>
    </row>
    <row r="317" spans="1:9" s="25" customFormat="1" ht="28.5">
      <c r="A317" s="239" t="s">
        <v>56</v>
      </c>
      <c r="B317" s="217"/>
      <c r="C317" s="332" t="s">
        <v>116</v>
      </c>
      <c r="D317" s="308" t="s">
        <v>459</v>
      </c>
      <c r="E317" s="308" t="s">
        <v>340</v>
      </c>
      <c r="F317" s="333"/>
      <c r="G317" s="148">
        <f>SUM(G318+G319+G320)</f>
        <v>41795.4</v>
      </c>
      <c r="H317" s="14"/>
      <c r="I317" s="14"/>
    </row>
    <row r="318" spans="1:10" s="25" customFormat="1" ht="42.75">
      <c r="A318" s="239" t="s">
        <v>494</v>
      </c>
      <c r="B318" s="217"/>
      <c r="C318" s="332" t="s">
        <v>116</v>
      </c>
      <c r="D318" s="308" t="s">
        <v>459</v>
      </c>
      <c r="E318" s="308" t="s">
        <v>340</v>
      </c>
      <c r="F318" s="333" t="s">
        <v>495</v>
      </c>
      <c r="G318" s="148">
        <v>11445.2</v>
      </c>
      <c r="H318" s="14"/>
      <c r="I318" s="14"/>
      <c r="J318">
        <f>SUM('ведомствен.2014'!G647)</f>
        <v>11445.2</v>
      </c>
    </row>
    <row r="319" spans="1:10" s="25" customFormat="1" ht="15">
      <c r="A319" s="239" t="s">
        <v>499</v>
      </c>
      <c r="B319" s="218"/>
      <c r="C319" s="332" t="s">
        <v>116</v>
      </c>
      <c r="D319" s="308" t="s">
        <v>459</v>
      </c>
      <c r="E319" s="308" t="s">
        <v>340</v>
      </c>
      <c r="F319" s="333" t="s">
        <v>119</v>
      </c>
      <c r="G319" s="148">
        <v>27782.7</v>
      </c>
      <c r="H319" s="14"/>
      <c r="I319" s="14"/>
      <c r="J319">
        <f>SUM('ведомствен.2014'!G648)</f>
        <v>27782.7</v>
      </c>
    </row>
    <row r="320" spans="1:10" s="25" customFormat="1" ht="15">
      <c r="A320" s="239" t="s">
        <v>500</v>
      </c>
      <c r="B320" s="217"/>
      <c r="C320" s="332" t="s">
        <v>116</v>
      </c>
      <c r="D320" s="308" t="s">
        <v>459</v>
      </c>
      <c r="E320" s="308" t="s">
        <v>340</v>
      </c>
      <c r="F320" s="333" t="s">
        <v>175</v>
      </c>
      <c r="G320" s="148">
        <v>2567.5</v>
      </c>
      <c r="H320" s="14"/>
      <c r="I320" s="14"/>
      <c r="J320">
        <f>SUM('ведомствен.2014'!G649)</f>
        <v>2567.5</v>
      </c>
    </row>
    <row r="321" spans="1:9" s="25" customFormat="1" ht="57">
      <c r="A321" s="249" t="s">
        <v>607</v>
      </c>
      <c r="B321" s="217"/>
      <c r="C321" s="332" t="s">
        <v>116</v>
      </c>
      <c r="D321" s="308" t="s">
        <v>459</v>
      </c>
      <c r="E321" s="308" t="s">
        <v>341</v>
      </c>
      <c r="F321" s="333"/>
      <c r="G321" s="148">
        <f>SUM(G322+G323)</f>
        <v>58571</v>
      </c>
      <c r="H321" s="14">
        <f>SUM(H343+H347+H356+H358+H345)</f>
        <v>213007.5</v>
      </c>
      <c r="I321" s="14">
        <f>SUM(H321/G343*100)</f>
        <v>19.275474017440157</v>
      </c>
    </row>
    <row r="322" spans="1:10" ht="42.75">
      <c r="A322" s="239" t="s">
        <v>494</v>
      </c>
      <c r="B322" s="217"/>
      <c r="C322" s="332" t="s">
        <v>116</v>
      </c>
      <c r="D322" s="308" t="s">
        <v>459</v>
      </c>
      <c r="E322" s="308" t="s">
        <v>341</v>
      </c>
      <c r="F322" s="333" t="s">
        <v>495</v>
      </c>
      <c r="G322" s="148">
        <v>57125.8</v>
      </c>
      <c r="H322" s="14"/>
      <c r="I322" s="14"/>
      <c r="J322">
        <f>SUM('ведомствен.2014'!G651)</f>
        <v>57125.8</v>
      </c>
    </row>
    <row r="323" spans="1:10" ht="15">
      <c r="A323" s="239" t="s">
        <v>499</v>
      </c>
      <c r="B323" s="217"/>
      <c r="C323" s="332" t="s">
        <v>116</v>
      </c>
      <c r="D323" s="308" t="s">
        <v>459</v>
      </c>
      <c r="E323" s="308" t="s">
        <v>341</v>
      </c>
      <c r="F323" s="333" t="s">
        <v>119</v>
      </c>
      <c r="G323" s="148">
        <v>1445.2</v>
      </c>
      <c r="H323" s="14">
        <v>187516.5</v>
      </c>
      <c r="I323" s="14">
        <f>SUM(H323/G345*100)</f>
        <v>49.45374898958398</v>
      </c>
      <c r="J323">
        <f>SUM('ведомствен.2014'!G652)</f>
        <v>1445.2</v>
      </c>
    </row>
    <row r="324" spans="1:10" ht="15">
      <c r="A324" s="239" t="s">
        <v>680</v>
      </c>
      <c r="B324" s="219"/>
      <c r="C324" s="308" t="s">
        <v>116</v>
      </c>
      <c r="D324" s="308" t="s">
        <v>459</v>
      </c>
      <c r="E324" s="308" t="s">
        <v>682</v>
      </c>
      <c r="F324" s="333"/>
      <c r="G324" s="148">
        <f>SUM(G328)+G325</f>
        <v>18136.5</v>
      </c>
      <c r="H324" s="14"/>
      <c r="I324" s="14"/>
      <c r="J324"/>
    </row>
    <row r="325" spans="1:10" ht="28.5">
      <c r="A325" s="122" t="s">
        <v>778</v>
      </c>
      <c r="B325" s="326"/>
      <c r="C325" s="308" t="s">
        <v>116</v>
      </c>
      <c r="D325" s="308" t="s">
        <v>459</v>
      </c>
      <c r="E325" s="308" t="s">
        <v>683</v>
      </c>
      <c r="F325" s="333"/>
      <c r="G325" s="269">
        <f>SUM(G326:G327)</f>
        <v>167.7</v>
      </c>
      <c r="H325" s="14"/>
      <c r="I325" s="14"/>
      <c r="J325"/>
    </row>
    <row r="326" spans="1:10" ht="42.75">
      <c r="A326" s="122" t="s">
        <v>494</v>
      </c>
      <c r="B326" s="326"/>
      <c r="C326" s="308" t="s">
        <v>116</v>
      </c>
      <c r="D326" s="308" t="s">
        <v>459</v>
      </c>
      <c r="E326" s="308" t="s">
        <v>683</v>
      </c>
      <c r="F326" s="333" t="s">
        <v>495</v>
      </c>
      <c r="G326" s="269">
        <v>111.8</v>
      </c>
      <c r="H326" s="14"/>
      <c r="I326" s="14"/>
      <c r="J326">
        <f>SUM('ведомствен.2014'!G655)</f>
        <v>111.8</v>
      </c>
    </row>
    <row r="327" spans="1:10" ht="28.5">
      <c r="A327" s="122" t="s">
        <v>523</v>
      </c>
      <c r="B327" s="326"/>
      <c r="C327" s="308" t="s">
        <v>116</v>
      </c>
      <c r="D327" s="308" t="s">
        <v>459</v>
      </c>
      <c r="E327" s="308" t="s">
        <v>683</v>
      </c>
      <c r="F327" s="333" t="s">
        <v>512</v>
      </c>
      <c r="G327" s="269">
        <v>55.9</v>
      </c>
      <c r="H327" s="14"/>
      <c r="I327" s="14"/>
      <c r="J327">
        <f>SUM('ведомствен.2014'!G656)</f>
        <v>55.9</v>
      </c>
    </row>
    <row r="328" spans="1:10" ht="42.75">
      <c r="A328" s="239" t="s">
        <v>692</v>
      </c>
      <c r="B328" s="219"/>
      <c r="C328" s="308" t="s">
        <v>116</v>
      </c>
      <c r="D328" s="308" t="s">
        <v>459</v>
      </c>
      <c r="E328" s="308" t="s">
        <v>693</v>
      </c>
      <c r="F328" s="333"/>
      <c r="G328" s="148">
        <f>SUM(G329:G331)</f>
        <v>17968.8</v>
      </c>
      <c r="H328" s="14"/>
      <c r="I328" s="14"/>
      <c r="J328"/>
    </row>
    <row r="329" spans="1:10" ht="15">
      <c r="A329" s="239" t="s">
        <v>499</v>
      </c>
      <c r="B329" s="219"/>
      <c r="C329" s="308" t="s">
        <v>116</v>
      </c>
      <c r="D329" s="308" t="s">
        <v>459</v>
      </c>
      <c r="E329" s="308" t="s">
        <v>693</v>
      </c>
      <c r="F329" s="333" t="s">
        <v>119</v>
      </c>
      <c r="G329" s="148">
        <v>11663.4</v>
      </c>
      <c r="H329" s="14"/>
      <c r="I329" s="14"/>
      <c r="J329">
        <f>SUM('ведомствен.2014'!G658)</f>
        <v>11663.4</v>
      </c>
    </row>
    <row r="330" spans="1:10" ht="15">
      <c r="A330" s="241" t="s">
        <v>504</v>
      </c>
      <c r="B330" s="219"/>
      <c r="C330" s="308" t="s">
        <v>116</v>
      </c>
      <c r="D330" s="308" t="s">
        <v>459</v>
      </c>
      <c r="E330" s="308" t="s">
        <v>693</v>
      </c>
      <c r="F330" s="333" t="s">
        <v>505</v>
      </c>
      <c r="G330" s="148">
        <v>808.1</v>
      </c>
      <c r="H330" s="14"/>
      <c r="I330" s="14"/>
      <c r="J330">
        <f>SUM('ведомствен.2014'!G659)</f>
        <v>808.1</v>
      </c>
    </row>
    <row r="331" spans="1:10" ht="28.5">
      <c r="A331" s="239" t="s">
        <v>516</v>
      </c>
      <c r="B331" s="223"/>
      <c r="C331" s="308" t="s">
        <v>116</v>
      </c>
      <c r="D331" s="308" t="s">
        <v>459</v>
      </c>
      <c r="E331" s="308" t="s">
        <v>693</v>
      </c>
      <c r="F331" s="333" t="s">
        <v>512</v>
      </c>
      <c r="G331" s="148">
        <v>5497.3</v>
      </c>
      <c r="H331" s="14"/>
      <c r="I331" s="14"/>
      <c r="J331">
        <f>SUM('ведомствен.2014'!G660)</f>
        <v>5497.3</v>
      </c>
    </row>
    <row r="332" spans="1:9" s="16" customFormat="1" ht="15">
      <c r="A332" s="239" t="s">
        <v>593</v>
      </c>
      <c r="B332" s="220"/>
      <c r="C332" s="332" t="s">
        <v>116</v>
      </c>
      <c r="D332" s="308" t="s">
        <v>459</v>
      </c>
      <c r="E332" s="308" t="s">
        <v>128</v>
      </c>
      <c r="F332" s="333"/>
      <c r="G332" s="148">
        <f>G333+G337+G340</f>
        <v>11189</v>
      </c>
      <c r="H332" s="14"/>
      <c r="I332" s="14"/>
    </row>
    <row r="333" spans="1:9" s="16" customFormat="1" ht="28.5">
      <c r="A333" s="239" t="s">
        <v>608</v>
      </c>
      <c r="B333" s="217"/>
      <c r="C333" s="332" t="s">
        <v>116</v>
      </c>
      <c r="D333" s="308" t="s">
        <v>459</v>
      </c>
      <c r="E333" s="308" t="s">
        <v>365</v>
      </c>
      <c r="F333" s="333"/>
      <c r="G333" s="148">
        <f>SUM(G334:G336)</f>
        <v>8182.5</v>
      </c>
      <c r="H333" s="14">
        <v>187516.5</v>
      </c>
      <c r="I333" s="14">
        <f>SUM(H333/G347*100)</f>
        <v>198.79177042683992</v>
      </c>
    </row>
    <row r="334" spans="1:10" s="16" customFormat="1" ht="15">
      <c r="A334" s="239" t="s">
        <v>499</v>
      </c>
      <c r="B334" s="222"/>
      <c r="C334" s="332" t="s">
        <v>116</v>
      </c>
      <c r="D334" s="308" t="s">
        <v>459</v>
      </c>
      <c r="E334" s="308" t="s">
        <v>365</v>
      </c>
      <c r="F334" s="333" t="s">
        <v>119</v>
      </c>
      <c r="G334" s="148">
        <v>5715.6</v>
      </c>
      <c r="H334" s="14"/>
      <c r="I334" s="14"/>
      <c r="J334">
        <f>SUM('ведомствен.2014'!G663)</f>
        <v>5715.6</v>
      </c>
    </row>
    <row r="335" spans="1:10" s="16" customFormat="1" ht="15">
      <c r="A335" s="241" t="s">
        <v>504</v>
      </c>
      <c r="B335" s="221"/>
      <c r="C335" s="332" t="s">
        <v>116</v>
      </c>
      <c r="D335" s="308" t="s">
        <v>459</v>
      </c>
      <c r="E335" s="308" t="s">
        <v>365</v>
      </c>
      <c r="F335" s="333" t="s">
        <v>505</v>
      </c>
      <c r="G335" s="148">
        <v>1700</v>
      </c>
      <c r="H335" s="14"/>
      <c r="I335" s="14"/>
      <c r="J335">
        <f>SUM('ведомствен.2014'!G664)</f>
        <v>1700</v>
      </c>
    </row>
    <row r="336" spans="1:10" s="16" customFormat="1" ht="28.5">
      <c r="A336" s="122" t="s">
        <v>523</v>
      </c>
      <c r="B336" s="162"/>
      <c r="C336" s="308" t="s">
        <v>116</v>
      </c>
      <c r="D336" s="308" t="s">
        <v>459</v>
      </c>
      <c r="E336" s="308" t="s">
        <v>365</v>
      </c>
      <c r="F336" s="333" t="s">
        <v>512</v>
      </c>
      <c r="G336" s="269">
        <v>766.9</v>
      </c>
      <c r="H336" s="14"/>
      <c r="I336" s="14"/>
      <c r="J336">
        <f>SUM('ведомствен.2014'!G665)</f>
        <v>766.9</v>
      </c>
    </row>
    <row r="337" spans="1:10" s="16" customFormat="1" ht="28.5">
      <c r="A337" s="122" t="s">
        <v>723</v>
      </c>
      <c r="B337" s="162"/>
      <c r="C337" s="308" t="s">
        <v>116</v>
      </c>
      <c r="D337" s="308" t="s">
        <v>459</v>
      </c>
      <c r="E337" s="308" t="s">
        <v>724</v>
      </c>
      <c r="F337" s="333"/>
      <c r="G337" s="269">
        <f>SUM(G338:G339)</f>
        <v>3002</v>
      </c>
      <c r="H337" s="14"/>
      <c r="I337" s="14"/>
      <c r="J337"/>
    </row>
    <row r="338" spans="1:10" s="16" customFormat="1" ht="15">
      <c r="A338" s="122" t="s">
        <v>499</v>
      </c>
      <c r="B338" s="162"/>
      <c r="C338" s="308" t="s">
        <v>116</v>
      </c>
      <c r="D338" s="308" t="s">
        <v>459</v>
      </c>
      <c r="E338" s="308" t="s">
        <v>724</v>
      </c>
      <c r="F338" s="333" t="s">
        <v>119</v>
      </c>
      <c r="G338" s="269">
        <v>410</v>
      </c>
      <c r="H338" s="14"/>
      <c r="I338" s="14"/>
      <c r="J338">
        <f>SUM('ведомствен.2014'!G667)</f>
        <v>410</v>
      </c>
    </row>
    <row r="339" spans="1:10" s="16" customFormat="1" ht="28.5">
      <c r="A339" s="122" t="s">
        <v>523</v>
      </c>
      <c r="B339" s="337"/>
      <c r="C339" s="308" t="s">
        <v>116</v>
      </c>
      <c r="D339" s="308" t="s">
        <v>459</v>
      </c>
      <c r="E339" s="308" t="s">
        <v>724</v>
      </c>
      <c r="F339" s="333" t="s">
        <v>512</v>
      </c>
      <c r="G339" s="269">
        <v>2592</v>
      </c>
      <c r="H339" s="14"/>
      <c r="I339" s="14"/>
      <c r="J339">
        <f>SUM('ведомствен.2014'!G668)</f>
        <v>2592</v>
      </c>
    </row>
    <row r="340" spans="1:10" s="16" customFormat="1" ht="28.5">
      <c r="A340" s="122" t="s">
        <v>779</v>
      </c>
      <c r="B340" s="332"/>
      <c r="C340" s="308" t="s">
        <v>116</v>
      </c>
      <c r="D340" s="308" t="s">
        <v>459</v>
      </c>
      <c r="E340" s="308" t="s">
        <v>727</v>
      </c>
      <c r="F340" s="333"/>
      <c r="G340" s="269">
        <f>SUM(G341:G342)</f>
        <v>4.5</v>
      </c>
      <c r="H340" s="14"/>
      <c r="I340" s="14"/>
      <c r="J340"/>
    </row>
    <row r="341" spans="1:10" s="16" customFormat="1" ht="42.75">
      <c r="A341" s="122" t="s">
        <v>494</v>
      </c>
      <c r="B341" s="332"/>
      <c r="C341" s="308" t="s">
        <v>116</v>
      </c>
      <c r="D341" s="308" t="s">
        <v>459</v>
      </c>
      <c r="E341" s="308" t="s">
        <v>727</v>
      </c>
      <c r="F341" s="333" t="s">
        <v>495</v>
      </c>
      <c r="G341" s="269">
        <v>3</v>
      </c>
      <c r="H341" s="14"/>
      <c r="I341" s="14"/>
      <c r="J341">
        <f>SUM('ведомствен.2014'!G670)</f>
        <v>3</v>
      </c>
    </row>
    <row r="342" spans="1:10" s="16" customFormat="1" ht="15">
      <c r="A342" s="122" t="s">
        <v>499</v>
      </c>
      <c r="B342" s="332"/>
      <c r="C342" s="308" t="s">
        <v>116</v>
      </c>
      <c r="D342" s="308" t="s">
        <v>459</v>
      </c>
      <c r="E342" s="308" t="s">
        <v>727</v>
      </c>
      <c r="F342" s="333" t="s">
        <v>119</v>
      </c>
      <c r="G342" s="269">
        <v>1.5</v>
      </c>
      <c r="H342" s="14"/>
      <c r="I342" s="14"/>
      <c r="J342">
        <f>SUM('ведомствен.2014'!G671)</f>
        <v>1.5</v>
      </c>
    </row>
    <row r="343" spans="1:12" s="25" customFormat="1" ht="15">
      <c r="A343" s="239" t="s">
        <v>342</v>
      </c>
      <c r="B343" s="217"/>
      <c r="C343" s="332" t="s">
        <v>116</v>
      </c>
      <c r="D343" s="308" t="s">
        <v>461</v>
      </c>
      <c r="E343" s="308"/>
      <c r="F343" s="333"/>
      <c r="G343" s="148">
        <f>SUM(G344+G367+G387+G395+G379)+G402+G407+G399</f>
        <v>1105070.1</v>
      </c>
      <c r="H343" s="14">
        <v>187516.5</v>
      </c>
      <c r="I343" s="14">
        <f>SUM(H343/G356*100)</f>
        <v>67.44775686701622</v>
      </c>
      <c r="J343" s="39"/>
      <c r="K343" s="25">
        <f>SUM(J344:J414)</f>
        <v>1105170.0999999999</v>
      </c>
      <c r="L343" s="25">
        <f>SUM('ведомствен.2014'!G406+'ведомствен.2014'!G568+'ведомствен.2014'!G672+'ведомствен.2014'!G785)</f>
        <v>1105170.0999999999</v>
      </c>
    </row>
    <row r="344" spans="1:12" s="25" customFormat="1" ht="28.5">
      <c r="A344" s="239" t="s">
        <v>343</v>
      </c>
      <c r="B344" s="217"/>
      <c r="C344" s="332" t="s">
        <v>116</v>
      </c>
      <c r="D344" s="308" t="s">
        <v>461</v>
      </c>
      <c r="E344" s="308" t="s">
        <v>344</v>
      </c>
      <c r="F344" s="333"/>
      <c r="G344" s="148">
        <f>G345+G357</f>
        <v>797386.1</v>
      </c>
      <c r="H344" s="14"/>
      <c r="I344" s="14">
        <f>SUM(H344/G357*100)</f>
        <v>0</v>
      </c>
      <c r="K344" s="78">
        <f>SUM(K343-G343)</f>
        <v>99.99999999976717</v>
      </c>
      <c r="L344" s="195">
        <f>SUM(L343-K343)</f>
        <v>0</v>
      </c>
    </row>
    <row r="345" spans="1:10" ht="28.5">
      <c r="A345" s="239" t="s">
        <v>15</v>
      </c>
      <c r="B345" s="217"/>
      <c r="C345" s="332" t="s">
        <v>116</v>
      </c>
      <c r="D345" s="308" t="s">
        <v>461</v>
      </c>
      <c r="E345" s="308" t="s">
        <v>86</v>
      </c>
      <c r="F345" s="333"/>
      <c r="G345" s="148">
        <f>G346+G355+G348+G353</f>
        <v>379175.5</v>
      </c>
      <c r="H345" s="14">
        <f>SUM(H346)</f>
        <v>120.3</v>
      </c>
      <c r="I345" s="14">
        <f>SUM(H345/G358*100)</f>
        <v>0.3183567183059082</v>
      </c>
      <c r="J345"/>
    </row>
    <row r="346" spans="1:10" ht="28.5">
      <c r="A346" s="239" t="s">
        <v>204</v>
      </c>
      <c r="B346" s="217"/>
      <c r="C346" s="332" t="s">
        <v>116</v>
      </c>
      <c r="D346" s="308" t="s">
        <v>461</v>
      </c>
      <c r="E346" s="308" t="s">
        <v>87</v>
      </c>
      <c r="F346" s="333"/>
      <c r="G346" s="148">
        <f>SUM(G347)</f>
        <v>94328.1</v>
      </c>
      <c r="H346" s="14">
        <v>120.3</v>
      </c>
      <c r="I346" s="14">
        <f>SUM(H346/G359*100)</f>
        <v>0.2387658011158282</v>
      </c>
      <c r="J346"/>
    </row>
    <row r="347" spans="1:10" s="25" customFormat="1" ht="28.5">
      <c r="A347" s="239" t="s">
        <v>516</v>
      </c>
      <c r="B347" s="217"/>
      <c r="C347" s="332" t="s">
        <v>116</v>
      </c>
      <c r="D347" s="308" t="s">
        <v>461</v>
      </c>
      <c r="E347" s="308" t="s">
        <v>87</v>
      </c>
      <c r="F347" s="333" t="s">
        <v>512</v>
      </c>
      <c r="G347" s="148">
        <v>94328.1</v>
      </c>
      <c r="H347" s="14">
        <f>SUM(H355)</f>
        <v>24134</v>
      </c>
      <c r="I347" s="14">
        <f>SUM(H347/G360*100)</f>
        <v>153.35442957540636</v>
      </c>
      <c r="J347">
        <f>SUM('ведомствен.2014'!G676)</f>
        <v>94328.1</v>
      </c>
    </row>
    <row r="348" spans="1:10" s="25" customFormat="1" ht="28.5">
      <c r="A348" s="248" t="s">
        <v>156</v>
      </c>
      <c r="B348" s="223"/>
      <c r="C348" s="310" t="s">
        <v>116</v>
      </c>
      <c r="D348" s="311" t="s">
        <v>461</v>
      </c>
      <c r="E348" s="311" t="s">
        <v>664</v>
      </c>
      <c r="F348" s="333"/>
      <c r="G348" s="148">
        <f>SUM(G351)+G349</f>
        <v>2075.8</v>
      </c>
      <c r="H348" s="14"/>
      <c r="I348" s="14"/>
      <c r="J348"/>
    </row>
    <row r="349" spans="1:10" s="25" customFormat="1" ht="28.5">
      <c r="A349" s="182" t="s">
        <v>143</v>
      </c>
      <c r="B349" s="190"/>
      <c r="C349" s="311" t="s">
        <v>116</v>
      </c>
      <c r="D349" s="311" t="s">
        <v>461</v>
      </c>
      <c r="E349" s="311" t="s">
        <v>725</v>
      </c>
      <c r="F349" s="313"/>
      <c r="G349" s="177">
        <f>SUM(G350)</f>
        <v>250</v>
      </c>
      <c r="H349" s="14"/>
      <c r="I349" s="14"/>
      <c r="J349"/>
    </row>
    <row r="350" spans="1:10" s="25" customFormat="1" ht="28.5">
      <c r="A350" s="122" t="s">
        <v>523</v>
      </c>
      <c r="B350" s="190"/>
      <c r="C350" s="311" t="s">
        <v>116</v>
      </c>
      <c r="D350" s="311" t="s">
        <v>461</v>
      </c>
      <c r="E350" s="311" t="s">
        <v>725</v>
      </c>
      <c r="F350" s="313" t="s">
        <v>512</v>
      </c>
      <c r="G350" s="177">
        <v>250</v>
      </c>
      <c r="H350" s="14"/>
      <c r="I350" s="14"/>
      <c r="J350">
        <f>SUM('ведомствен.2014'!G679)</f>
        <v>250</v>
      </c>
    </row>
    <row r="351" spans="1:10" s="25" customFormat="1" ht="28.5">
      <c r="A351" s="244" t="s">
        <v>214</v>
      </c>
      <c r="B351" s="191"/>
      <c r="C351" s="310" t="s">
        <v>116</v>
      </c>
      <c r="D351" s="311" t="s">
        <v>461</v>
      </c>
      <c r="E351" s="311" t="s">
        <v>663</v>
      </c>
      <c r="F351" s="313"/>
      <c r="G351" s="177">
        <f>SUM(G352)</f>
        <v>1825.8</v>
      </c>
      <c r="H351" s="14"/>
      <c r="I351" s="14"/>
      <c r="J351"/>
    </row>
    <row r="352" spans="1:10" s="25" customFormat="1" ht="28.5">
      <c r="A352" s="239" t="s">
        <v>523</v>
      </c>
      <c r="B352" s="191"/>
      <c r="C352" s="310" t="s">
        <v>116</v>
      </c>
      <c r="D352" s="311" t="s">
        <v>461</v>
      </c>
      <c r="E352" s="311" t="s">
        <v>663</v>
      </c>
      <c r="F352" s="313" t="s">
        <v>512</v>
      </c>
      <c r="G352" s="177">
        <v>1825.8</v>
      </c>
      <c r="H352" s="14"/>
      <c r="I352" s="14"/>
      <c r="J352">
        <f>SUM('ведомствен.2014'!G681)</f>
        <v>1825.8</v>
      </c>
    </row>
    <row r="353" spans="1:10" s="25" customFormat="1" ht="57">
      <c r="A353" s="248" t="s">
        <v>665</v>
      </c>
      <c r="B353" s="224"/>
      <c r="C353" s="310" t="s">
        <v>116</v>
      </c>
      <c r="D353" s="311" t="s">
        <v>461</v>
      </c>
      <c r="E353" s="311" t="s">
        <v>667</v>
      </c>
      <c r="F353" s="313"/>
      <c r="G353" s="177">
        <f>SUM(G354)</f>
        <v>4754.2</v>
      </c>
      <c r="H353" s="14"/>
      <c r="I353" s="14"/>
      <c r="J353"/>
    </row>
    <row r="354" spans="1:10" s="25" customFormat="1" ht="28.5">
      <c r="A354" s="239" t="s">
        <v>523</v>
      </c>
      <c r="B354" s="191"/>
      <c r="C354" s="310" t="s">
        <v>116</v>
      </c>
      <c r="D354" s="311" t="s">
        <v>461</v>
      </c>
      <c r="E354" s="311" t="s">
        <v>667</v>
      </c>
      <c r="F354" s="313" t="s">
        <v>512</v>
      </c>
      <c r="G354" s="177">
        <v>4754.2</v>
      </c>
      <c r="H354" s="14"/>
      <c r="I354" s="14"/>
      <c r="J354">
        <f>SUM('ведомствен.2014'!G683)</f>
        <v>4754.2</v>
      </c>
    </row>
    <row r="355" spans="1:10" s="25" customFormat="1" ht="85.5">
      <c r="A355" s="239" t="s">
        <v>609</v>
      </c>
      <c r="B355" s="217"/>
      <c r="C355" s="332" t="s">
        <v>116</v>
      </c>
      <c r="D355" s="308" t="s">
        <v>461</v>
      </c>
      <c r="E355" s="308" t="s">
        <v>88</v>
      </c>
      <c r="F355" s="333"/>
      <c r="G355" s="148">
        <f>SUM(G356)</f>
        <v>278017.4</v>
      </c>
      <c r="H355" s="14">
        <v>24134</v>
      </c>
      <c r="I355" s="14">
        <f>SUM(H355/G363*100)</f>
        <v>7.791386859758588</v>
      </c>
      <c r="J355" s="39"/>
    </row>
    <row r="356" spans="1:10" s="25" customFormat="1" ht="28.5">
      <c r="A356" s="239" t="s">
        <v>516</v>
      </c>
      <c r="B356" s="217"/>
      <c r="C356" s="332" t="s">
        <v>116</v>
      </c>
      <c r="D356" s="308" t="s">
        <v>461</v>
      </c>
      <c r="E356" s="308" t="s">
        <v>88</v>
      </c>
      <c r="F356" s="333" t="s">
        <v>512</v>
      </c>
      <c r="G356" s="148">
        <v>278017.4</v>
      </c>
      <c r="H356" s="14">
        <f>SUM(H357)</f>
        <v>1236.7</v>
      </c>
      <c r="I356" s="14">
        <f>SUM(H356/G364*100)</f>
        <v>0.4054590585363279</v>
      </c>
      <c r="J356">
        <f>SUM('ведомствен.2014'!G685)</f>
        <v>278017.4</v>
      </c>
    </row>
    <row r="357" spans="1:10" s="25" customFormat="1" ht="28.5">
      <c r="A357" s="239" t="s">
        <v>56</v>
      </c>
      <c r="B357" s="217"/>
      <c r="C357" s="332" t="s">
        <v>116</v>
      </c>
      <c r="D357" s="308" t="s">
        <v>461</v>
      </c>
      <c r="E357" s="308" t="s">
        <v>345</v>
      </c>
      <c r="F357" s="333"/>
      <c r="G357" s="148">
        <f>SUM(G358+G359+G360+G363+G361)</f>
        <v>418210.6</v>
      </c>
      <c r="H357" s="14">
        <v>1236.7</v>
      </c>
      <c r="I357" s="14">
        <f>SUM(H357/G365*100)</f>
        <v>26.17686902040471</v>
      </c>
      <c r="J357" s="39"/>
    </row>
    <row r="358" spans="1:10" s="25" customFormat="1" ht="42.75">
      <c r="A358" s="239" t="s">
        <v>494</v>
      </c>
      <c r="B358" s="217"/>
      <c r="C358" s="332" t="s">
        <v>116</v>
      </c>
      <c r="D358" s="308" t="s">
        <v>461</v>
      </c>
      <c r="E358" s="308" t="s">
        <v>345</v>
      </c>
      <c r="F358" s="333" t="s">
        <v>495</v>
      </c>
      <c r="G358" s="148">
        <v>37787.8</v>
      </c>
      <c r="H358" s="14">
        <f>SUM(H359)</f>
        <v>0</v>
      </c>
      <c r="I358" s="14">
        <f>SUM(H358/G367*100)</f>
        <v>0</v>
      </c>
      <c r="J358">
        <f>SUM('ведомствен.2014'!G687)</f>
        <v>37787.8</v>
      </c>
    </row>
    <row r="359" spans="1:10" s="25" customFormat="1" ht="15">
      <c r="A359" s="239" t="s">
        <v>499</v>
      </c>
      <c r="B359" s="217"/>
      <c r="C359" s="332" t="s">
        <v>116</v>
      </c>
      <c r="D359" s="308" t="s">
        <v>461</v>
      </c>
      <c r="E359" s="308" t="s">
        <v>345</v>
      </c>
      <c r="F359" s="333" t="s">
        <v>119</v>
      </c>
      <c r="G359" s="148">
        <v>50384.1</v>
      </c>
      <c r="H359" s="14"/>
      <c r="I359" s="14">
        <f>SUM(H359/G368*100)</f>
        <v>0</v>
      </c>
      <c r="J359">
        <f>SUM('ведомствен.2014'!G688)</f>
        <v>50484.1</v>
      </c>
    </row>
    <row r="360" spans="1:15" s="25" customFormat="1" ht="15">
      <c r="A360" s="239" t="s">
        <v>500</v>
      </c>
      <c r="B360" s="221"/>
      <c r="C360" s="332" t="s">
        <v>116</v>
      </c>
      <c r="D360" s="308" t="s">
        <v>461</v>
      </c>
      <c r="E360" s="308" t="s">
        <v>345</v>
      </c>
      <c r="F360" s="338">
        <v>800</v>
      </c>
      <c r="G360" s="148">
        <v>15737.4</v>
      </c>
      <c r="H360" s="14">
        <f>SUM(H363)</f>
        <v>9549.8</v>
      </c>
      <c r="I360" s="14" t="e">
        <f>SUM(H360/G369*100)</f>
        <v>#DIV/0!</v>
      </c>
      <c r="J360">
        <f>SUM('ведомствен.2014'!G689)</f>
        <v>15737.4</v>
      </c>
      <c r="O360" s="74">
        <f>SUM(G369+G388)</f>
        <v>52679.1</v>
      </c>
    </row>
    <row r="361" spans="1:15" s="25" customFormat="1" ht="57">
      <c r="A361" s="248" t="s">
        <v>665</v>
      </c>
      <c r="B361" s="224"/>
      <c r="C361" s="310" t="s">
        <v>116</v>
      </c>
      <c r="D361" s="311" t="s">
        <v>461</v>
      </c>
      <c r="E361" s="311" t="s">
        <v>666</v>
      </c>
      <c r="F361" s="313"/>
      <c r="G361" s="177">
        <f>SUM(G362)</f>
        <v>4549</v>
      </c>
      <c r="H361" s="14"/>
      <c r="I361" s="14"/>
      <c r="J361"/>
      <c r="O361" s="74"/>
    </row>
    <row r="362" spans="1:15" s="25" customFormat="1" ht="15">
      <c r="A362" s="239" t="s">
        <v>499</v>
      </c>
      <c r="B362" s="222"/>
      <c r="C362" s="310" t="s">
        <v>116</v>
      </c>
      <c r="D362" s="311" t="s">
        <v>461</v>
      </c>
      <c r="E362" s="311" t="s">
        <v>666</v>
      </c>
      <c r="F362" s="338">
        <v>200</v>
      </c>
      <c r="G362" s="148">
        <v>4549</v>
      </c>
      <c r="H362" s="14"/>
      <c r="I362" s="14"/>
      <c r="J362">
        <f>SUM('ведомствен.2014'!G691)</f>
        <v>4549</v>
      </c>
      <c r="O362" s="74"/>
    </row>
    <row r="363" spans="1:9" s="25" customFormat="1" ht="85.5">
      <c r="A363" s="250" t="s">
        <v>609</v>
      </c>
      <c r="B363" s="217"/>
      <c r="C363" s="332" t="s">
        <v>116</v>
      </c>
      <c r="D363" s="308" t="s">
        <v>461</v>
      </c>
      <c r="E363" s="308" t="s">
        <v>318</v>
      </c>
      <c r="F363" s="333"/>
      <c r="G363" s="148">
        <f>SUM(G364+G365)+G366</f>
        <v>309752.3</v>
      </c>
      <c r="H363" s="14">
        <f>SUM(H364)</f>
        <v>9549.8</v>
      </c>
      <c r="I363" s="14" t="e">
        <f>SUM(H363/G370*100)</f>
        <v>#DIV/0!</v>
      </c>
    </row>
    <row r="364" spans="1:10" ht="42.75">
      <c r="A364" s="239" t="s">
        <v>494</v>
      </c>
      <c r="B364" s="217"/>
      <c r="C364" s="332" t="s">
        <v>116</v>
      </c>
      <c r="D364" s="308" t="s">
        <v>461</v>
      </c>
      <c r="E364" s="308" t="s">
        <v>318</v>
      </c>
      <c r="F364" s="333" t="s">
        <v>495</v>
      </c>
      <c r="G364" s="148">
        <v>305012.3</v>
      </c>
      <c r="H364" s="14">
        <v>9549.8</v>
      </c>
      <c r="I364" s="14">
        <f>SUM(H364/G371*100)</f>
        <v>5.575311187694592</v>
      </c>
      <c r="J364" s="276">
        <f>SUM('ведомствен.2014'!G693)</f>
        <v>305012.3</v>
      </c>
    </row>
    <row r="365" spans="1:10" ht="15">
      <c r="A365" s="239" t="s">
        <v>499</v>
      </c>
      <c r="B365" s="217"/>
      <c r="C365" s="332" t="s">
        <v>116</v>
      </c>
      <c r="D365" s="308" t="s">
        <v>461</v>
      </c>
      <c r="E365" s="308" t="s">
        <v>318</v>
      </c>
      <c r="F365" s="333" t="s">
        <v>119</v>
      </c>
      <c r="G365" s="148">
        <v>4724.4</v>
      </c>
      <c r="H365" s="14">
        <v>9549.8</v>
      </c>
      <c r="I365" s="14">
        <f>SUM(H365/G372*100)</f>
        <v>5.575311187694592</v>
      </c>
      <c r="J365">
        <f>SUM('ведомствен.2014'!G694)</f>
        <v>4724.4</v>
      </c>
    </row>
    <row r="366" spans="1:10" ht="15">
      <c r="A366" s="122" t="s">
        <v>500</v>
      </c>
      <c r="B366" s="139"/>
      <c r="C366" s="308" t="s">
        <v>116</v>
      </c>
      <c r="D366" s="308" t="s">
        <v>461</v>
      </c>
      <c r="E366" s="308" t="s">
        <v>318</v>
      </c>
      <c r="F366" s="333" t="s">
        <v>175</v>
      </c>
      <c r="G366" s="269">
        <v>15.6</v>
      </c>
      <c r="H366" s="14"/>
      <c r="I366" s="14"/>
      <c r="J366">
        <f>SUM('ведомствен.2014'!G695)</f>
        <v>15.6</v>
      </c>
    </row>
    <row r="367" spans="1:10" ht="15">
      <c r="A367" s="239" t="s">
        <v>633</v>
      </c>
      <c r="B367" s="218"/>
      <c r="C367" s="332" t="s">
        <v>116</v>
      </c>
      <c r="D367" s="308" t="s">
        <v>461</v>
      </c>
      <c r="E367" s="308" t="s">
        <v>320</v>
      </c>
      <c r="F367" s="333"/>
      <c r="G367" s="148">
        <f>SUM(G368)</f>
        <v>178619.4</v>
      </c>
      <c r="H367" s="14">
        <v>56722</v>
      </c>
      <c r="I367" s="14">
        <f>SUM(H367/G387*100)</f>
        <v>107.67458062115716</v>
      </c>
      <c r="J367"/>
    </row>
    <row r="368" spans="1:10" ht="28.5">
      <c r="A368" s="239" t="s">
        <v>605</v>
      </c>
      <c r="B368" s="217"/>
      <c r="C368" s="332" t="s">
        <v>116</v>
      </c>
      <c r="D368" s="308" t="s">
        <v>461</v>
      </c>
      <c r="E368" s="308" t="s">
        <v>78</v>
      </c>
      <c r="F368" s="333"/>
      <c r="G368" s="148">
        <f>SUM(G371+G373)</f>
        <v>178619.4</v>
      </c>
      <c r="H368" s="14" t="e">
        <f>SUM(#REF!)</f>
        <v>#REF!</v>
      </c>
      <c r="I368" s="14" t="e">
        <f>SUM(H368/G388*100)</f>
        <v>#REF!</v>
      </c>
      <c r="J368"/>
    </row>
    <row r="369" spans="1:9" s="16" customFormat="1" ht="57" hidden="1">
      <c r="A369" s="239" t="s">
        <v>210</v>
      </c>
      <c r="B369" s="217"/>
      <c r="C369" s="332" t="s">
        <v>116</v>
      </c>
      <c r="D369" s="308" t="s">
        <v>461</v>
      </c>
      <c r="E369" s="308" t="s">
        <v>212</v>
      </c>
      <c r="F369" s="333"/>
      <c r="G369" s="148">
        <f>SUM(G370)</f>
        <v>0</v>
      </c>
      <c r="H369" s="14"/>
      <c r="I369" s="14"/>
    </row>
    <row r="370" spans="1:9" s="16" customFormat="1" ht="28.5" hidden="1">
      <c r="A370" s="239" t="s">
        <v>156</v>
      </c>
      <c r="B370" s="217"/>
      <c r="C370" s="332" t="s">
        <v>116</v>
      </c>
      <c r="D370" s="308" t="s">
        <v>461</v>
      </c>
      <c r="E370" s="308" t="s">
        <v>212</v>
      </c>
      <c r="F370" s="333" t="s">
        <v>82</v>
      </c>
      <c r="G370" s="148"/>
      <c r="H370" s="14"/>
      <c r="I370" s="14"/>
    </row>
    <row r="371" spans="1:9" s="16" customFormat="1" ht="28.5">
      <c r="A371" s="239" t="s">
        <v>93</v>
      </c>
      <c r="B371" s="217"/>
      <c r="C371" s="332" t="s">
        <v>116</v>
      </c>
      <c r="D371" s="308" t="s">
        <v>461</v>
      </c>
      <c r="E371" s="308" t="s">
        <v>79</v>
      </c>
      <c r="F371" s="333"/>
      <c r="G371" s="148">
        <f>SUM(G372)</f>
        <v>171287.3</v>
      </c>
      <c r="H371" s="14"/>
      <c r="I371" s="14"/>
    </row>
    <row r="372" spans="1:10" s="16" customFormat="1" ht="28.5">
      <c r="A372" s="239" t="s">
        <v>516</v>
      </c>
      <c r="B372" s="217"/>
      <c r="C372" s="332" t="s">
        <v>116</v>
      </c>
      <c r="D372" s="308" t="s">
        <v>461</v>
      </c>
      <c r="E372" s="308" t="s">
        <v>79</v>
      </c>
      <c r="F372" s="333" t="s">
        <v>512</v>
      </c>
      <c r="G372" s="148">
        <v>171287.3</v>
      </c>
      <c r="H372" s="14"/>
      <c r="I372" s="14"/>
      <c r="J372" s="16">
        <f>SUM('ведомствен.2014'!G789+'ведомствен.2014'!G701+'ведомствен.2014'!G572)</f>
        <v>171287.3</v>
      </c>
    </row>
    <row r="373" spans="1:9" s="16" customFormat="1" ht="28.5">
      <c r="A373" s="239" t="s">
        <v>156</v>
      </c>
      <c r="B373" s="223"/>
      <c r="C373" s="292" t="s">
        <v>116</v>
      </c>
      <c r="D373" s="288" t="s">
        <v>461</v>
      </c>
      <c r="E373" s="288" t="s">
        <v>150</v>
      </c>
      <c r="F373" s="286"/>
      <c r="G373" s="145">
        <f>SUM(G376)+G374</f>
        <v>7332.1</v>
      </c>
      <c r="H373" s="14"/>
      <c r="I373" s="14"/>
    </row>
    <row r="374" spans="1:9" s="93" customFormat="1" ht="26.25" customHeight="1">
      <c r="A374" s="122" t="s">
        <v>462</v>
      </c>
      <c r="B374" s="326"/>
      <c r="C374" s="288" t="s">
        <v>116</v>
      </c>
      <c r="D374" s="288" t="s">
        <v>461</v>
      </c>
      <c r="E374" s="288" t="s">
        <v>463</v>
      </c>
      <c r="F374" s="286"/>
      <c r="G374" s="266">
        <f>SUM(G375)</f>
        <v>310.5</v>
      </c>
      <c r="H374" s="22"/>
      <c r="I374" s="22"/>
    </row>
    <row r="375" spans="1:10" s="93" customFormat="1" ht="27.75" customHeight="1">
      <c r="A375" s="122" t="s">
        <v>516</v>
      </c>
      <c r="B375" s="326"/>
      <c r="C375" s="288" t="s">
        <v>116</v>
      </c>
      <c r="D375" s="288" t="s">
        <v>461</v>
      </c>
      <c r="E375" s="288" t="s">
        <v>463</v>
      </c>
      <c r="F375" s="286" t="s">
        <v>82</v>
      </c>
      <c r="G375" s="266">
        <v>310.5</v>
      </c>
      <c r="H375" s="22">
        <f>SUM(H377+H433+H431)</f>
        <v>392.5</v>
      </c>
      <c r="I375" s="22" t="e">
        <f>SUM(H375/G416*100)</f>
        <v>#DIV/0!</v>
      </c>
      <c r="J375" s="93">
        <f>SUM('ведомствен.2014'!G792)</f>
        <v>310.5</v>
      </c>
    </row>
    <row r="376" spans="1:9" s="16" customFormat="1" ht="28.5">
      <c r="A376" s="239" t="s">
        <v>153</v>
      </c>
      <c r="B376" s="223"/>
      <c r="C376" s="292" t="s">
        <v>116</v>
      </c>
      <c r="D376" s="288" t="s">
        <v>461</v>
      </c>
      <c r="E376" s="288" t="s">
        <v>219</v>
      </c>
      <c r="F376" s="286"/>
      <c r="G376" s="145">
        <f>SUM(G377)</f>
        <v>7021.6</v>
      </c>
      <c r="H376" s="14"/>
      <c r="I376" s="14"/>
    </row>
    <row r="377" spans="1:10" s="16" customFormat="1" ht="27.75" customHeight="1">
      <c r="A377" s="239" t="s">
        <v>516</v>
      </c>
      <c r="B377" s="223"/>
      <c r="C377" s="292" t="s">
        <v>116</v>
      </c>
      <c r="D377" s="288" t="s">
        <v>461</v>
      </c>
      <c r="E377" s="288" t="s">
        <v>219</v>
      </c>
      <c r="F377" s="286" t="s">
        <v>512</v>
      </c>
      <c r="G377" s="145">
        <v>7021.6</v>
      </c>
      <c r="H377" s="14"/>
      <c r="I377" s="14"/>
      <c r="J377" s="16">
        <f>SUM('ведомствен.2014'!G794)+'ведомствен.2014'!G704</f>
        <v>7021.6</v>
      </c>
    </row>
    <row r="378" spans="1:9" s="16" customFormat="1" ht="28.5" hidden="1">
      <c r="A378" s="239" t="s">
        <v>153</v>
      </c>
      <c r="B378" s="223"/>
      <c r="C378" s="292" t="s">
        <v>116</v>
      </c>
      <c r="D378" s="288" t="s">
        <v>461</v>
      </c>
      <c r="E378" s="288" t="s">
        <v>219</v>
      </c>
      <c r="F378" s="286"/>
      <c r="G378" s="145"/>
      <c r="H378" s="14"/>
      <c r="I378" s="14"/>
    </row>
    <row r="379" spans="1:10" ht="17.25" customHeight="1">
      <c r="A379" s="233" t="s">
        <v>322</v>
      </c>
      <c r="B379" s="198"/>
      <c r="C379" s="292" t="s">
        <v>116</v>
      </c>
      <c r="D379" s="288" t="s">
        <v>461</v>
      </c>
      <c r="E379" s="288" t="s">
        <v>323</v>
      </c>
      <c r="F379" s="284"/>
      <c r="G379" s="145">
        <f>SUM(G380)</f>
        <v>64306.7</v>
      </c>
      <c r="H379" s="14">
        <f>SUM(H382)</f>
        <v>0</v>
      </c>
      <c r="I379" s="14">
        <f>SUM(H379/G393*100)</f>
        <v>0</v>
      </c>
      <c r="J379"/>
    </row>
    <row r="380" spans="1:10" ht="17.25" customHeight="1">
      <c r="A380" s="117" t="s">
        <v>56</v>
      </c>
      <c r="B380" s="65"/>
      <c r="C380" s="288" t="s">
        <v>116</v>
      </c>
      <c r="D380" s="288" t="s">
        <v>461</v>
      </c>
      <c r="E380" s="288" t="s">
        <v>324</v>
      </c>
      <c r="F380" s="284"/>
      <c r="G380" s="145">
        <f>SUM(G382+G381)</f>
        <v>64306.7</v>
      </c>
      <c r="H380" s="14"/>
      <c r="I380" s="14"/>
      <c r="J380"/>
    </row>
    <row r="381" spans="1:10" ht="17.25" customHeight="1">
      <c r="A381" s="117" t="s">
        <v>499</v>
      </c>
      <c r="B381" s="65"/>
      <c r="C381" s="288" t="s">
        <v>116</v>
      </c>
      <c r="D381" s="288" t="s">
        <v>461</v>
      </c>
      <c r="E381" s="283" t="s">
        <v>324</v>
      </c>
      <c r="F381" s="285" t="s">
        <v>119</v>
      </c>
      <c r="G381" s="266">
        <v>250</v>
      </c>
      <c r="H381" s="14"/>
      <c r="I381" s="14"/>
      <c r="J381" s="16">
        <f>SUM('ведомствен.2014'!G415)</f>
        <v>250</v>
      </c>
    </row>
    <row r="382" spans="1:9" s="16" customFormat="1" ht="71.25">
      <c r="A382" s="233" t="s">
        <v>466</v>
      </c>
      <c r="B382" s="198"/>
      <c r="C382" s="292" t="s">
        <v>116</v>
      </c>
      <c r="D382" s="288" t="s">
        <v>461</v>
      </c>
      <c r="E382" s="288" t="s">
        <v>328</v>
      </c>
      <c r="F382" s="284"/>
      <c r="G382" s="145">
        <f>SUM(G383:G386)</f>
        <v>64056.7</v>
      </c>
      <c r="H382" s="14"/>
      <c r="I382" s="14"/>
    </row>
    <row r="383" spans="1:10" s="16" customFormat="1" ht="42.75">
      <c r="A383" s="233" t="s">
        <v>494</v>
      </c>
      <c r="B383" s="198"/>
      <c r="C383" s="292" t="s">
        <v>116</v>
      </c>
      <c r="D383" s="288" t="s">
        <v>461</v>
      </c>
      <c r="E383" s="288" t="s">
        <v>328</v>
      </c>
      <c r="F383" s="284" t="s">
        <v>495</v>
      </c>
      <c r="G383" s="145">
        <v>43134.9</v>
      </c>
      <c r="H383" s="14"/>
      <c r="I383" s="14"/>
      <c r="J383" s="16">
        <f>SUM('ведомствен.2014'!G419)</f>
        <v>43134.9</v>
      </c>
    </row>
    <row r="384" spans="1:10" s="16" customFormat="1" ht="15">
      <c r="A384" s="233" t="s">
        <v>499</v>
      </c>
      <c r="B384" s="198"/>
      <c r="C384" s="292" t="s">
        <v>116</v>
      </c>
      <c r="D384" s="288" t="s">
        <v>461</v>
      </c>
      <c r="E384" s="288" t="s">
        <v>328</v>
      </c>
      <c r="F384" s="284" t="s">
        <v>119</v>
      </c>
      <c r="G384" s="145">
        <v>20207.8</v>
      </c>
      <c r="H384" s="14"/>
      <c r="I384" s="14"/>
      <c r="J384" s="16">
        <f>SUM('ведомствен.2014'!G420)</f>
        <v>20207.8</v>
      </c>
    </row>
    <row r="385" spans="1:10" s="16" customFormat="1" ht="15">
      <c r="A385" s="233" t="s">
        <v>504</v>
      </c>
      <c r="B385" s="214"/>
      <c r="C385" s="292" t="s">
        <v>116</v>
      </c>
      <c r="D385" s="288" t="s">
        <v>461</v>
      </c>
      <c r="E385" s="288" t="s">
        <v>328</v>
      </c>
      <c r="F385" s="284" t="s">
        <v>505</v>
      </c>
      <c r="G385" s="145">
        <v>26.9</v>
      </c>
      <c r="H385" s="14"/>
      <c r="I385" s="14"/>
      <c r="J385" s="16">
        <f>SUM('ведомствен.2014'!G421)</f>
        <v>26.9</v>
      </c>
    </row>
    <row r="386" spans="1:10" s="16" customFormat="1" ht="15">
      <c r="A386" s="233" t="s">
        <v>500</v>
      </c>
      <c r="B386" s="198"/>
      <c r="C386" s="292" t="s">
        <v>116</v>
      </c>
      <c r="D386" s="288" t="s">
        <v>461</v>
      </c>
      <c r="E386" s="288" t="s">
        <v>328</v>
      </c>
      <c r="F386" s="284" t="s">
        <v>175</v>
      </c>
      <c r="G386" s="145">
        <v>687.1</v>
      </c>
      <c r="H386" s="14"/>
      <c r="I386" s="14"/>
      <c r="J386" s="16">
        <f>SUM('ведомствен.2014'!G422)</f>
        <v>687.1</v>
      </c>
    </row>
    <row r="387" spans="1:9" s="16" customFormat="1" ht="15">
      <c r="A387" s="239" t="s">
        <v>329</v>
      </c>
      <c r="B387" s="218"/>
      <c r="C387" s="332" t="s">
        <v>116</v>
      </c>
      <c r="D387" s="308" t="s">
        <v>461</v>
      </c>
      <c r="E387" s="308" t="s">
        <v>330</v>
      </c>
      <c r="F387" s="333"/>
      <c r="G387" s="148">
        <f>SUM(G388)</f>
        <v>52679.1</v>
      </c>
      <c r="H387" s="14"/>
      <c r="I387" s="14"/>
    </row>
    <row r="388" spans="1:9" s="16" customFormat="1" ht="28.5">
      <c r="A388" s="239" t="s">
        <v>56</v>
      </c>
      <c r="B388" s="217"/>
      <c r="C388" s="332" t="s">
        <v>116</v>
      </c>
      <c r="D388" s="308" t="s">
        <v>461</v>
      </c>
      <c r="E388" s="308" t="s">
        <v>331</v>
      </c>
      <c r="F388" s="333"/>
      <c r="G388" s="148">
        <f>SUM(G389+G390+G391+G392)</f>
        <v>52679.1</v>
      </c>
      <c r="H388" s="14"/>
      <c r="I388" s="14"/>
    </row>
    <row r="389" spans="1:10" s="16" customFormat="1" ht="42.75">
      <c r="A389" s="239" t="s">
        <v>494</v>
      </c>
      <c r="B389" s="217"/>
      <c r="C389" s="332" t="s">
        <v>116</v>
      </c>
      <c r="D389" s="308" t="s">
        <v>461</v>
      </c>
      <c r="E389" s="308" t="s">
        <v>263</v>
      </c>
      <c r="F389" s="333" t="s">
        <v>495</v>
      </c>
      <c r="G389" s="148">
        <v>2687.8</v>
      </c>
      <c r="H389" s="14"/>
      <c r="I389" s="14"/>
      <c r="J389" s="16">
        <f>SUM('ведомствен.2014'!G707)</f>
        <v>2687.8</v>
      </c>
    </row>
    <row r="390" spans="1:10" s="16" customFormat="1" ht="15">
      <c r="A390" s="239" t="s">
        <v>499</v>
      </c>
      <c r="B390" s="217"/>
      <c r="C390" s="332" t="s">
        <v>116</v>
      </c>
      <c r="D390" s="308" t="s">
        <v>461</v>
      </c>
      <c r="E390" s="308" t="s">
        <v>263</v>
      </c>
      <c r="F390" s="333" t="s">
        <v>119</v>
      </c>
      <c r="G390" s="148">
        <v>3234.4</v>
      </c>
      <c r="H390" s="14"/>
      <c r="I390" s="14" t="e">
        <f>SUM(H390/#REF!*100)</f>
        <v>#REF!</v>
      </c>
      <c r="J390" s="16">
        <f>SUM('ведомствен.2014'!G708)</f>
        <v>3234.4</v>
      </c>
    </row>
    <row r="391" spans="1:10" ht="15">
      <c r="A391" s="239" t="s">
        <v>500</v>
      </c>
      <c r="B391" s="217"/>
      <c r="C391" s="332" t="s">
        <v>116</v>
      </c>
      <c r="D391" s="308" t="s">
        <v>461</v>
      </c>
      <c r="E391" s="308" t="s">
        <v>263</v>
      </c>
      <c r="F391" s="333" t="s">
        <v>175</v>
      </c>
      <c r="G391" s="148">
        <v>947.2</v>
      </c>
      <c r="H391" s="14"/>
      <c r="I391" s="14"/>
      <c r="J391" s="16">
        <f>SUM('ведомствен.2014'!G709)</f>
        <v>947.2</v>
      </c>
    </row>
    <row r="392" spans="1:10" ht="85.5">
      <c r="A392" s="239" t="s">
        <v>611</v>
      </c>
      <c r="B392" s="217"/>
      <c r="C392" s="332" t="s">
        <v>116</v>
      </c>
      <c r="D392" s="308" t="s">
        <v>461</v>
      </c>
      <c r="E392" s="308" t="s">
        <v>332</v>
      </c>
      <c r="F392" s="333"/>
      <c r="G392" s="148">
        <f>SUM(G393+G394)</f>
        <v>45809.7</v>
      </c>
      <c r="H392" s="14"/>
      <c r="I392" s="14"/>
      <c r="J392" s="16"/>
    </row>
    <row r="393" spans="1:10" s="25" customFormat="1" ht="42.75">
      <c r="A393" s="239" t="s">
        <v>494</v>
      </c>
      <c r="B393" s="217"/>
      <c r="C393" s="332" t="s">
        <v>116</v>
      </c>
      <c r="D393" s="308" t="s">
        <v>461</v>
      </c>
      <c r="E393" s="308" t="s">
        <v>332</v>
      </c>
      <c r="F393" s="333" t="s">
        <v>495</v>
      </c>
      <c r="G393" s="148">
        <v>42420.5</v>
      </c>
      <c r="H393" s="14" t="e">
        <f>SUM(H395+#REF!+#REF!+#REF!)+#REF!+#REF!+#REF!+#REF!+#REF!+#REF!</f>
        <v>#REF!</v>
      </c>
      <c r="I393" s="14" t="e">
        <f>SUM(H393/G395*100)</f>
        <v>#REF!</v>
      </c>
      <c r="J393" s="16">
        <f>SUM('ведомствен.2014'!G711)</f>
        <v>42420.5</v>
      </c>
    </row>
    <row r="394" spans="1:10" ht="15">
      <c r="A394" s="239" t="s">
        <v>499</v>
      </c>
      <c r="B394" s="217"/>
      <c r="C394" s="332" t="s">
        <v>116</v>
      </c>
      <c r="D394" s="308" t="s">
        <v>461</v>
      </c>
      <c r="E394" s="308" t="s">
        <v>332</v>
      </c>
      <c r="F394" s="333" t="s">
        <v>119</v>
      </c>
      <c r="G394" s="148">
        <v>3389.2</v>
      </c>
      <c r="H394" s="14"/>
      <c r="I394" s="14" t="e">
        <f>SUM(H394/G416*100)</f>
        <v>#DIV/0!</v>
      </c>
      <c r="J394" s="16">
        <f>SUM('ведомствен.2014'!G712)</f>
        <v>3389.2</v>
      </c>
    </row>
    <row r="395" spans="1:9" s="25" customFormat="1" ht="15">
      <c r="A395" s="239" t="s">
        <v>333</v>
      </c>
      <c r="B395" s="218"/>
      <c r="C395" s="332" t="s">
        <v>116</v>
      </c>
      <c r="D395" s="308" t="s">
        <v>461</v>
      </c>
      <c r="E395" s="308" t="s">
        <v>334</v>
      </c>
      <c r="F395" s="333"/>
      <c r="G395" s="148">
        <f>G396</f>
        <v>6110</v>
      </c>
      <c r="H395" s="14" t="e">
        <f>SUM(H427)</f>
        <v>#REF!</v>
      </c>
      <c r="I395" s="14" t="e">
        <f>SUM(H395/G417*100)</f>
        <v>#REF!</v>
      </c>
    </row>
    <row r="396" spans="1:9" s="25" customFormat="1" ht="15">
      <c r="A396" s="239" t="s">
        <v>231</v>
      </c>
      <c r="B396" s="218"/>
      <c r="C396" s="332" t="s">
        <v>116</v>
      </c>
      <c r="D396" s="308" t="s">
        <v>461</v>
      </c>
      <c r="E396" s="308" t="s">
        <v>293</v>
      </c>
      <c r="F396" s="333"/>
      <c r="G396" s="148">
        <f>G397</f>
        <v>6110</v>
      </c>
      <c r="H396" s="14"/>
      <c r="I396" s="14"/>
    </row>
    <row r="397" spans="1:10" ht="57">
      <c r="A397" s="239" t="s">
        <v>612</v>
      </c>
      <c r="B397" s="218"/>
      <c r="C397" s="332" t="s">
        <v>116</v>
      </c>
      <c r="D397" s="308" t="s">
        <v>461</v>
      </c>
      <c r="E397" s="308" t="s">
        <v>289</v>
      </c>
      <c r="F397" s="333"/>
      <c r="G397" s="148">
        <f>G398</f>
        <v>6110</v>
      </c>
      <c r="H397" s="14"/>
      <c r="I397" s="14"/>
      <c r="J397"/>
    </row>
    <row r="398" spans="1:10" ht="28.5">
      <c r="A398" s="239" t="s">
        <v>516</v>
      </c>
      <c r="B398" s="218"/>
      <c r="C398" s="332" t="s">
        <v>116</v>
      </c>
      <c r="D398" s="308" t="s">
        <v>461</v>
      </c>
      <c r="E398" s="308" t="s">
        <v>289</v>
      </c>
      <c r="F398" s="333" t="s">
        <v>512</v>
      </c>
      <c r="G398" s="148">
        <v>6110</v>
      </c>
      <c r="H398" s="14"/>
      <c r="I398" s="14"/>
      <c r="J398">
        <f>SUM('ведомствен.2014'!G716)</f>
        <v>6110</v>
      </c>
    </row>
    <row r="399" spans="1:9" s="93" customFormat="1" ht="28.5">
      <c r="A399" s="121" t="s">
        <v>598</v>
      </c>
      <c r="B399" s="326"/>
      <c r="C399" s="288" t="s">
        <v>116</v>
      </c>
      <c r="D399" s="288" t="s">
        <v>461</v>
      </c>
      <c r="E399" s="288" t="s">
        <v>135</v>
      </c>
      <c r="F399" s="286"/>
      <c r="G399" s="266">
        <f>SUM(G401)</f>
        <v>647.2</v>
      </c>
      <c r="H399" s="22"/>
      <c r="I399" s="22"/>
    </row>
    <row r="400" spans="1:9" s="93" customFormat="1" ht="28.5">
      <c r="A400" s="121" t="s">
        <v>1048</v>
      </c>
      <c r="B400" s="326"/>
      <c r="C400" s="288" t="s">
        <v>116</v>
      </c>
      <c r="D400" s="288" t="s">
        <v>461</v>
      </c>
      <c r="E400" s="288" t="s">
        <v>1049</v>
      </c>
      <c r="F400" s="286"/>
      <c r="G400" s="266">
        <f>SUM(G401)</f>
        <v>647.2</v>
      </c>
      <c r="H400" s="22"/>
      <c r="I400" s="22"/>
    </row>
    <row r="401" spans="1:10" s="93" customFormat="1" ht="27.75" customHeight="1">
      <c r="A401" s="122" t="s">
        <v>516</v>
      </c>
      <c r="B401" s="326"/>
      <c r="C401" s="288" t="s">
        <v>116</v>
      </c>
      <c r="D401" s="288" t="s">
        <v>461</v>
      </c>
      <c r="E401" s="288" t="s">
        <v>1049</v>
      </c>
      <c r="F401" s="286" t="s">
        <v>512</v>
      </c>
      <c r="G401" s="266">
        <v>647.2</v>
      </c>
      <c r="H401" s="22"/>
      <c r="I401" s="22"/>
      <c r="J401" s="93">
        <f>SUM('ведомствен.2014'!G797)</f>
        <v>647.2</v>
      </c>
    </row>
    <row r="402" spans="1:10" ht="15">
      <c r="A402" s="239" t="s">
        <v>680</v>
      </c>
      <c r="B402" s="225"/>
      <c r="C402" s="308" t="s">
        <v>116</v>
      </c>
      <c r="D402" s="308" t="s">
        <v>461</v>
      </c>
      <c r="E402" s="308" t="s">
        <v>682</v>
      </c>
      <c r="F402" s="333"/>
      <c r="G402" s="148">
        <f>SUM(G403)</f>
        <v>2885</v>
      </c>
      <c r="H402" s="14"/>
      <c r="I402" s="14"/>
      <c r="J402"/>
    </row>
    <row r="403" spans="1:10" ht="28.5">
      <c r="A403" s="122" t="s">
        <v>681</v>
      </c>
      <c r="B403" s="332"/>
      <c r="C403" s="308" t="s">
        <v>116</v>
      </c>
      <c r="D403" s="308" t="s">
        <v>461</v>
      </c>
      <c r="E403" s="308" t="s">
        <v>683</v>
      </c>
      <c r="F403" s="333"/>
      <c r="G403" s="269">
        <f>SUM(G405:G406)+G404</f>
        <v>2885</v>
      </c>
      <c r="H403" s="14"/>
      <c r="I403" s="14"/>
      <c r="J403"/>
    </row>
    <row r="404" spans="1:10" ht="42.75">
      <c r="A404" s="122" t="s">
        <v>494</v>
      </c>
      <c r="B404" s="332"/>
      <c r="C404" s="308" t="s">
        <v>116</v>
      </c>
      <c r="D404" s="308" t="s">
        <v>461</v>
      </c>
      <c r="E404" s="308" t="s">
        <v>683</v>
      </c>
      <c r="F404" s="333" t="s">
        <v>495</v>
      </c>
      <c r="G404" s="269">
        <v>195.7</v>
      </c>
      <c r="H404" s="14"/>
      <c r="I404" s="14"/>
      <c r="J404">
        <f>SUM('ведомствен.2014'!G719)</f>
        <v>195.7</v>
      </c>
    </row>
    <row r="405" spans="1:10" ht="15">
      <c r="A405" s="239" t="s">
        <v>499</v>
      </c>
      <c r="B405" s="225"/>
      <c r="C405" s="308" t="s">
        <v>116</v>
      </c>
      <c r="D405" s="308" t="s">
        <v>461</v>
      </c>
      <c r="E405" s="308" t="s">
        <v>683</v>
      </c>
      <c r="F405" s="333" t="s">
        <v>119</v>
      </c>
      <c r="G405" s="148">
        <v>43.5</v>
      </c>
      <c r="H405" s="14"/>
      <c r="I405" s="14"/>
      <c r="J405">
        <f>SUM('ведомствен.2014'!G720)</f>
        <v>43.5</v>
      </c>
    </row>
    <row r="406" spans="1:10" ht="28.5">
      <c r="A406" s="239" t="s">
        <v>523</v>
      </c>
      <c r="B406" s="225"/>
      <c r="C406" s="308" t="s">
        <v>116</v>
      </c>
      <c r="D406" s="308" t="s">
        <v>461</v>
      </c>
      <c r="E406" s="308" t="s">
        <v>683</v>
      </c>
      <c r="F406" s="333" t="s">
        <v>512</v>
      </c>
      <c r="G406" s="148">
        <v>2645.8</v>
      </c>
      <c r="H406" s="14"/>
      <c r="I406" s="14"/>
      <c r="J406">
        <f>SUM('ведомствен.2014'!G721)</f>
        <v>2645.8</v>
      </c>
    </row>
    <row r="407" spans="1:10" ht="15">
      <c r="A407" s="122" t="s">
        <v>593</v>
      </c>
      <c r="B407" s="140"/>
      <c r="C407" s="308" t="s">
        <v>116</v>
      </c>
      <c r="D407" s="308" t="s">
        <v>461</v>
      </c>
      <c r="E407" s="308" t="s">
        <v>128</v>
      </c>
      <c r="F407" s="333"/>
      <c r="G407" s="269">
        <f>G408+G411</f>
        <v>2436.6</v>
      </c>
      <c r="H407" s="14"/>
      <c r="I407" s="14"/>
      <c r="J407"/>
    </row>
    <row r="408" spans="1:10" ht="28.5">
      <c r="A408" s="122" t="s">
        <v>723</v>
      </c>
      <c r="B408" s="162"/>
      <c r="C408" s="308" t="s">
        <v>116</v>
      </c>
      <c r="D408" s="308" t="s">
        <v>461</v>
      </c>
      <c r="E408" s="308" t="s">
        <v>724</v>
      </c>
      <c r="F408" s="333"/>
      <c r="G408" s="269">
        <f>SUM(G409:G410)</f>
        <v>2326.7</v>
      </c>
      <c r="H408" s="14"/>
      <c r="I408" s="14"/>
      <c r="J408"/>
    </row>
    <row r="409" spans="1:10" ht="15">
      <c r="A409" s="122" t="s">
        <v>499</v>
      </c>
      <c r="B409" s="162"/>
      <c r="C409" s="308" t="s">
        <v>116</v>
      </c>
      <c r="D409" s="308" t="s">
        <v>461</v>
      </c>
      <c r="E409" s="308" t="s">
        <v>724</v>
      </c>
      <c r="F409" s="333" t="s">
        <v>119</v>
      </c>
      <c r="G409" s="269">
        <v>2126.7</v>
      </c>
      <c r="H409" s="14"/>
      <c r="I409" s="14"/>
      <c r="J409">
        <f>SUM('ведомствен.2014'!G724)</f>
        <v>2126.7</v>
      </c>
    </row>
    <row r="410" spans="1:10" ht="28.5">
      <c r="A410" s="122" t="s">
        <v>523</v>
      </c>
      <c r="B410" s="337"/>
      <c r="C410" s="308" t="s">
        <v>116</v>
      </c>
      <c r="D410" s="308" t="s">
        <v>461</v>
      </c>
      <c r="E410" s="308" t="s">
        <v>724</v>
      </c>
      <c r="F410" s="333" t="s">
        <v>512</v>
      </c>
      <c r="G410" s="269">
        <v>200</v>
      </c>
      <c r="H410" s="14"/>
      <c r="I410" s="14"/>
      <c r="J410">
        <f>SUM('ведомствен.2014'!G725)</f>
        <v>200</v>
      </c>
    </row>
    <row r="411" spans="1:10" ht="28.5">
      <c r="A411" s="122" t="s">
        <v>726</v>
      </c>
      <c r="B411" s="332"/>
      <c r="C411" s="308" t="s">
        <v>116</v>
      </c>
      <c r="D411" s="308" t="s">
        <v>461</v>
      </c>
      <c r="E411" s="308" t="s">
        <v>727</v>
      </c>
      <c r="F411" s="333"/>
      <c r="G411" s="269">
        <f>SUM(G412:G414)</f>
        <v>109.9</v>
      </c>
      <c r="H411" s="14"/>
      <c r="I411" s="14"/>
      <c r="J411"/>
    </row>
    <row r="412" spans="1:10" ht="42.75">
      <c r="A412" s="122" t="s">
        <v>494</v>
      </c>
      <c r="B412" s="332"/>
      <c r="C412" s="308" t="s">
        <v>116</v>
      </c>
      <c r="D412" s="308" t="s">
        <v>461</v>
      </c>
      <c r="E412" s="308" t="s">
        <v>727</v>
      </c>
      <c r="F412" s="333" t="s">
        <v>495</v>
      </c>
      <c r="G412" s="269">
        <v>5.2</v>
      </c>
      <c r="H412" s="14"/>
      <c r="I412" s="14"/>
      <c r="J412">
        <f>SUM('ведомствен.2014'!G727)</f>
        <v>5.2</v>
      </c>
    </row>
    <row r="413" spans="1:10" ht="15">
      <c r="A413" s="122" t="s">
        <v>499</v>
      </c>
      <c r="B413" s="332"/>
      <c r="C413" s="308" t="s">
        <v>116</v>
      </c>
      <c r="D413" s="308" t="s">
        <v>461</v>
      </c>
      <c r="E413" s="308" t="s">
        <v>727</v>
      </c>
      <c r="F413" s="333" t="s">
        <v>119</v>
      </c>
      <c r="G413" s="269">
        <v>101</v>
      </c>
      <c r="H413" s="14"/>
      <c r="I413" s="14"/>
      <c r="J413">
        <f>SUM('ведомствен.2014'!G728)</f>
        <v>101</v>
      </c>
    </row>
    <row r="414" spans="1:10" ht="28.5">
      <c r="A414" s="122" t="s">
        <v>523</v>
      </c>
      <c r="B414" s="332"/>
      <c r="C414" s="308" t="s">
        <v>116</v>
      </c>
      <c r="D414" s="308" t="s">
        <v>461</v>
      </c>
      <c r="E414" s="308" t="s">
        <v>727</v>
      </c>
      <c r="F414" s="333" t="s">
        <v>512</v>
      </c>
      <c r="G414" s="269">
        <v>3.7</v>
      </c>
      <c r="H414" s="14"/>
      <c r="I414" s="14"/>
      <c r="J414">
        <f>SUM('ведомствен.2014'!G729)</f>
        <v>3.7</v>
      </c>
    </row>
    <row r="415" spans="1:12" s="25" customFormat="1" ht="15">
      <c r="A415" s="239" t="s">
        <v>117</v>
      </c>
      <c r="B415" s="218"/>
      <c r="C415" s="332" t="s">
        <v>116</v>
      </c>
      <c r="D415" s="308" t="s">
        <v>116</v>
      </c>
      <c r="E415" s="308"/>
      <c r="F415" s="333"/>
      <c r="G415" s="148">
        <f>SUM(G420+G427+G416+G442)+G438</f>
        <v>47522.8</v>
      </c>
      <c r="H415" s="14"/>
      <c r="I415" s="14"/>
      <c r="K415" s="25">
        <f>SUM(J420:J447)</f>
        <v>47522.799999999996</v>
      </c>
      <c r="L415" s="25">
        <f>SUM('ведомствен.2014'!G573+'ведомствен.2014'!G730+'ведомствен.2014'!G801+'ведомствен.2014'!G890)</f>
        <v>47522.8</v>
      </c>
    </row>
    <row r="416" spans="1:9" s="25" customFormat="1" ht="15" hidden="1">
      <c r="A416" s="239" t="s">
        <v>406</v>
      </c>
      <c r="B416" s="218"/>
      <c r="C416" s="332" t="s">
        <v>116</v>
      </c>
      <c r="D416" s="308" t="s">
        <v>116</v>
      </c>
      <c r="E416" s="308" t="s">
        <v>408</v>
      </c>
      <c r="F416" s="333"/>
      <c r="G416" s="148">
        <f>SUM(G417)</f>
        <v>0</v>
      </c>
      <c r="H416" s="14"/>
      <c r="I416" s="14"/>
    </row>
    <row r="417" spans="1:9" s="25" customFormat="1" ht="15" hidden="1">
      <c r="A417" s="239" t="s">
        <v>386</v>
      </c>
      <c r="B417" s="218"/>
      <c r="C417" s="332" t="s">
        <v>116</v>
      </c>
      <c r="D417" s="308" t="s">
        <v>116</v>
      </c>
      <c r="E417" s="308" t="s">
        <v>387</v>
      </c>
      <c r="F417" s="333"/>
      <c r="G417" s="148">
        <f>SUM(G418+G419)</f>
        <v>0</v>
      </c>
      <c r="H417" s="14"/>
      <c r="I417" s="14"/>
    </row>
    <row r="418" spans="1:9" s="16" customFormat="1" ht="15" hidden="1">
      <c r="A418" s="239" t="s">
        <v>245</v>
      </c>
      <c r="B418" s="218"/>
      <c r="C418" s="332" t="s">
        <v>116</v>
      </c>
      <c r="D418" s="308" t="s">
        <v>116</v>
      </c>
      <c r="E418" s="308" t="s">
        <v>387</v>
      </c>
      <c r="F418" s="333" t="s">
        <v>246</v>
      </c>
      <c r="G418" s="148"/>
      <c r="H418" s="14"/>
      <c r="I418" s="14"/>
    </row>
    <row r="419" spans="1:9" s="16" customFormat="1" ht="15" hidden="1">
      <c r="A419" s="239" t="s">
        <v>222</v>
      </c>
      <c r="B419" s="218"/>
      <c r="C419" s="332" t="s">
        <v>116</v>
      </c>
      <c r="D419" s="308" t="s">
        <v>116</v>
      </c>
      <c r="E419" s="308" t="s">
        <v>387</v>
      </c>
      <c r="F419" s="333" t="s">
        <v>223</v>
      </c>
      <c r="G419" s="148"/>
      <c r="H419" s="14"/>
      <c r="I419" s="14"/>
    </row>
    <row r="420" spans="1:11" s="16" customFormat="1" ht="15">
      <c r="A420" s="239" t="s">
        <v>224</v>
      </c>
      <c r="B420" s="218"/>
      <c r="C420" s="332" t="s">
        <v>116</v>
      </c>
      <c r="D420" s="308" t="s">
        <v>116</v>
      </c>
      <c r="E420" s="308" t="s">
        <v>225</v>
      </c>
      <c r="F420" s="333"/>
      <c r="G420" s="148">
        <f>SUM(G423+G421)</f>
        <v>2260.2999999999997</v>
      </c>
      <c r="H420" s="14"/>
      <c r="I420" s="14"/>
      <c r="K420" s="176">
        <f>SUM(K415-G415)</f>
        <v>-7.275957614183426E-12</v>
      </c>
    </row>
    <row r="421" spans="1:9" s="16" customFormat="1" ht="28.5">
      <c r="A421" s="239" t="s">
        <v>256</v>
      </c>
      <c r="B421" s="218"/>
      <c r="C421" s="332" t="s">
        <v>116</v>
      </c>
      <c r="D421" s="308" t="s">
        <v>116</v>
      </c>
      <c r="E421" s="308" t="s">
        <v>213</v>
      </c>
      <c r="F421" s="333"/>
      <c r="G421" s="148">
        <f>SUM(G422)</f>
        <v>396.4</v>
      </c>
      <c r="H421" s="14"/>
      <c r="I421" s="14"/>
    </row>
    <row r="422" spans="1:10" ht="15">
      <c r="A422" s="122" t="s">
        <v>499</v>
      </c>
      <c r="B422" s="218"/>
      <c r="C422" s="332" t="s">
        <v>116</v>
      </c>
      <c r="D422" s="308" t="s">
        <v>116</v>
      </c>
      <c r="E422" s="308" t="s">
        <v>213</v>
      </c>
      <c r="F422" s="333" t="s">
        <v>119</v>
      </c>
      <c r="G422" s="148">
        <v>396.4</v>
      </c>
      <c r="H422" s="14"/>
      <c r="I422" s="14"/>
      <c r="J422">
        <f>SUM('ведомствен.2014'!G737)</f>
        <v>396.4</v>
      </c>
    </row>
    <row r="423" spans="1:10" ht="28.5">
      <c r="A423" s="239" t="s">
        <v>56</v>
      </c>
      <c r="B423" s="218"/>
      <c r="C423" s="332" t="s">
        <v>116</v>
      </c>
      <c r="D423" s="308" t="s">
        <v>116</v>
      </c>
      <c r="E423" s="308" t="s">
        <v>228</v>
      </c>
      <c r="F423" s="333"/>
      <c r="G423" s="148">
        <f>SUM(G424+G425+G426)</f>
        <v>1863.8999999999999</v>
      </c>
      <c r="H423" s="14"/>
      <c r="I423" s="14"/>
      <c r="J423"/>
    </row>
    <row r="424" spans="1:10" s="25" customFormat="1" ht="42.75">
      <c r="A424" s="239" t="s">
        <v>494</v>
      </c>
      <c r="B424" s="218"/>
      <c r="C424" s="332" t="s">
        <v>116</v>
      </c>
      <c r="D424" s="308" t="s">
        <v>116</v>
      </c>
      <c r="E424" s="308" t="s">
        <v>228</v>
      </c>
      <c r="F424" s="333" t="s">
        <v>495</v>
      </c>
      <c r="G424" s="148">
        <v>1714.3</v>
      </c>
      <c r="H424" s="14"/>
      <c r="I424" s="14"/>
      <c r="J424">
        <f>SUM('ведомствен.2014'!G739)</f>
        <v>1714.3</v>
      </c>
    </row>
    <row r="425" spans="1:10" ht="15">
      <c r="A425" s="239" t="s">
        <v>499</v>
      </c>
      <c r="B425" s="218"/>
      <c r="C425" s="332" t="s">
        <v>116</v>
      </c>
      <c r="D425" s="308" t="s">
        <v>116</v>
      </c>
      <c r="E425" s="308" t="s">
        <v>228</v>
      </c>
      <c r="F425" s="333" t="s">
        <v>119</v>
      </c>
      <c r="G425" s="148">
        <v>145.6</v>
      </c>
      <c r="H425" s="14"/>
      <c r="I425" s="14"/>
      <c r="J425" s="78">
        <f>SUM('ведомствен.2014'!G740)</f>
        <v>145.6</v>
      </c>
    </row>
    <row r="426" spans="1:10" s="25" customFormat="1" ht="15">
      <c r="A426" s="239" t="s">
        <v>500</v>
      </c>
      <c r="B426" s="218"/>
      <c r="C426" s="332" t="s">
        <v>116</v>
      </c>
      <c r="D426" s="308" t="s">
        <v>116</v>
      </c>
      <c r="E426" s="308" t="s">
        <v>228</v>
      </c>
      <c r="F426" s="333" t="s">
        <v>175</v>
      </c>
      <c r="G426" s="148">
        <v>4</v>
      </c>
      <c r="H426" s="14"/>
      <c r="I426" s="14"/>
      <c r="J426" s="78">
        <f>SUM('ведомствен.2014'!G741)</f>
        <v>4</v>
      </c>
    </row>
    <row r="427" spans="1:9" s="25" customFormat="1" ht="15">
      <c r="A427" s="251" t="s">
        <v>229</v>
      </c>
      <c r="B427" s="218"/>
      <c r="C427" s="332" t="s">
        <v>116</v>
      </c>
      <c r="D427" s="308" t="s">
        <v>116</v>
      </c>
      <c r="E427" s="308" t="s">
        <v>118</v>
      </c>
      <c r="F427" s="333"/>
      <c r="G427" s="148">
        <f>SUM(G428)</f>
        <v>44238.3</v>
      </c>
      <c r="H427" s="14" t="e">
        <f>SUM(H428+H448+H450+H457+#REF!+H431+H445)+#REF!</f>
        <v>#REF!</v>
      </c>
      <c r="I427" s="14" t="e">
        <f>SUM(H427/G445*100)</f>
        <v>#REF!</v>
      </c>
    </row>
    <row r="428" spans="1:9" s="25" customFormat="1" ht="42.75">
      <c r="A428" s="251" t="s">
        <v>89</v>
      </c>
      <c r="B428" s="218"/>
      <c r="C428" s="332" t="s">
        <v>116</v>
      </c>
      <c r="D428" s="308" t="s">
        <v>116</v>
      </c>
      <c r="E428" s="308" t="s">
        <v>90</v>
      </c>
      <c r="F428" s="333"/>
      <c r="G428" s="148">
        <f>SUM(G429)+G434</f>
        <v>44238.3</v>
      </c>
      <c r="H428" s="14">
        <v>53118.9</v>
      </c>
      <c r="I428" s="14">
        <f>SUM(H428/G446*100)</f>
        <v>12793.569364161849</v>
      </c>
    </row>
    <row r="429" spans="1:9" s="25" customFormat="1" ht="42.75">
      <c r="A429" s="251" t="s">
        <v>91</v>
      </c>
      <c r="B429" s="218"/>
      <c r="C429" s="332" t="s">
        <v>116</v>
      </c>
      <c r="D429" s="308" t="s">
        <v>116</v>
      </c>
      <c r="E429" s="308" t="s">
        <v>92</v>
      </c>
      <c r="F429" s="333"/>
      <c r="G429" s="148">
        <f>SUM(G431:G433)</f>
        <v>24902.8</v>
      </c>
      <c r="H429" s="14"/>
      <c r="I429" s="14">
        <f>SUM(H429/G448*100)</f>
        <v>0</v>
      </c>
    </row>
    <row r="430" spans="1:9" s="25" customFormat="1" ht="15" hidden="1">
      <c r="A430" s="239" t="s">
        <v>57</v>
      </c>
      <c r="B430" s="218"/>
      <c r="C430" s="332" t="s">
        <v>116</v>
      </c>
      <c r="D430" s="308" t="s">
        <v>116</v>
      </c>
      <c r="E430" s="308" t="s">
        <v>92</v>
      </c>
      <c r="F430" s="333"/>
      <c r="G430" s="148"/>
      <c r="H430" s="14"/>
      <c r="I430" s="14">
        <f>SUM(H430/G449*100)</f>
        <v>0</v>
      </c>
    </row>
    <row r="431" spans="1:10" s="25" customFormat="1" ht="15">
      <c r="A431" s="239" t="s">
        <v>499</v>
      </c>
      <c r="B431" s="218"/>
      <c r="C431" s="332" t="s">
        <v>116</v>
      </c>
      <c r="D431" s="308" t="s">
        <v>116</v>
      </c>
      <c r="E431" s="308" t="s">
        <v>92</v>
      </c>
      <c r="F431" s="333" t="s">
        <v>119</v>
      </c>
      <c r="G431" s="148">
        <v>2198.6</v>
      </c>
      <c r="H431" s="14">
        <f>SUM(H442)</f>
        <v>392.5</v>
      </c>
      <c r="I431" s="14">
        <f>SUM(H431/G450*100)</f>
        <v>1.0676931028385674</v>
      </c>
      <c r="J431" s="78">
        <f>SUM('ведомствен.2014'!G746)+'ведомствен.2014'!G809</f>
        <v>2198.6</v>
      </c>
    </row>
    <row r="432" spans="1:10" s="25" customFormat="1" ht="28.5">
      <c r="A432" s="239" t="s">
        <v>523</v>
      </c>
      <c r="B432" s="225"/>
      <c r="C432" s="308" t="s">
        <v>116</v>
      </c>
      <c r="D432" s="308" t="s">
        <v>116</v>
      </c>
      <c r="E432" s="308" t="s">
        <v>92</v>
      </c>
      <c r="F432" s="333" t="s">
        <v>512</v>
      </c>
      <c r="G432" s="148">
        <v>2542.4</v>
      </c>
      <c r="H432" s="14"/>
      <c r="I432" s="14"/>
      <c r="J432" s="78">
        <f>SUM('ведомствен.2014'!G747)+'ведомствен.2014'!G577+'ведомствен.2014'!G810</f>
        <v>2542.4</v>
      </c>
    </row>
    <row r="433" spans="1:10" s="25" customFormat="1" ht="15">
      <c r="A433" s="122" t="s">
        <v>500</v>
      </c>
      <c r="B433" s="77"/>
      <c r="C433" s="308" t="s">
        <v>116</v>
      </c>
      <c r="D433" s="308" t="s">
        <v>116</v>
      </c>
      <c r="E433" s="308" t="s">
        <v>92</v>
      </c>
      <c r="F433" s="333" t="s">
        <v>175</v>
      </c>
      <c r="G433" s="269">
        <v>20161.8</v>
      </c>
      <c r="H433" s="14"/>
      <c r="I433" s="14"/>
      <c r="J433" s="78">
        <f>SUM('ведомствен.2014'!G748)</f>
        <v>20161.8</v>
      </c>
    </row>
    <row r="434" spans="1:10" s="25" customFormat="1" ht="57">
      <c r="A434" s="128" t="s">
        <v>728</v>
      </c>
      <c r="B434" s="77"/>
      <c r="C434" s="308" t="s">
        <v>116</v>
      </c>
      <c r="D434" s="308" t="s">
        <v>116</v>
      </c>
      <c r="E434" s="308" t="s">
        <v>729</v>
      </c>
      <c r="F434" s="333"/>
      <c r="G434" s="269">
        <f>SUM(G435:G437)</f>
        <v>19335.5</v>
      </c>
      <c r="H434" s="14"/>
      <c r="I434" s="14"/>
      <c r="J434" s="78"/>
    </row>
    <row r="435" spans="1:10" s="25" customFormat="1" ht="15">
      <c r="A435" s="122" t="s">
        <v>499</v>
      </c>
      <c r="B435" s="77"/>
      <c r="C435" s="308" t="s">
        <v>116</v>
      </c>
      <c r="D435" s="308" t="s">
        <v>116</v>
      </c>
      <c r="E435" s="308" t="s">
        <v>729</v>
      </c>
      <c r="F435" s="333" t="s">
        <v>119</v>
      </c>
      <c r="G435" s="269">
        <v>3812.9</v>
      </c>
      <c r="H435" s="14"/>
      <c r="I435" s="14"/>
      <c r="J435" s="78">
        <f>SUM('ведомствен.2014'!G750)</f>
        <v>3812.9</v>
      </c>
    </row>
    <row r="436" spans="1:10" s="25" customFormat="1" ht="28.5">
      <c r="A436" s="122" t="s">
        <v>523</v>
      </c>
      <c r="B436" s="77"/>
      <c r="C436" s="308" t="s">
        <v>116</v>
      </c>
      <c r="D436" s="308" t="s">
        <v>116</v>
      </c>
      <c r="E436" s="308" t="s">
        <v>729</v>
      </c>
      <c r="F436" s="333" t="s">
        <v>512</v>
      </c>
      <c r="G436" s="269">
        <v>4413.2</v>
      </c>
      <c r="H436" s="14"/>
      <c r="I436" s="14"/>
      <c r="J436" s="78">
        <f>SUM('ведомствен.2014'!G751)</f>
        <v>4413.2</v>
      </c>
    </row>
    <row r="437" spans="1:10" s="25" customFormat="1" ht="15">
      <c r="A437" s="122" t="s">
        <v>500</v>
      </c>
      <c r="B437" s="77"/>
      <c r="C437" s="308" t="s">
        <v>116</v>
      </c>
      <c r="D437" s="308" t="s">
        <v>116</v>
      </c>
      <c r="E437" s="308" t="s">
        <v>729</v>
      </c>
      <c r="F437" s="333" t="s">
        <v>175</v>
      </c>
      <c r="G437" s="269">
        <v>11109.4</v>
      </c>
      <c r="H437" s="14"/>
      <c r="I437" s="14"/>
      <c r="J437" s="78">
        <f>SUM('ведомствен.2014'!G752)</f>
        <v>11109.4</v>
      </c>
    </row>
    <row r="438" spans="1:10" s="25" customFormat="1" ht="15">
      <c r="A438" s="122" t="s">
        <v>680</v>
      </c>
      <c r="B438" s="139"/>
      <c r="C438" s="308" t="s">
        <v>116</v>
      </c>
      <c r="D438" s="308" t="s">
        <v>116</v>
      </c>
      <c r="E438" s="308" t="s">
        <v>682</v>
      </c>
      <c r="F438" s="333"/>
      <c r="G438" s="269">
        <f>SUM(G439)</f>
        <v>220.1</v>
      </c>
      <c r="H438" s="14"/>
      <c r="I438" s="14"/>
      <c r="J438" s="78"/>
    </row>
    <row r="439" spans="1:10" s="25" customFormat="1" ht="42.75">
      <c r="A439" s="122" t="s">
        <v>730</v>
      </c>
      <c r="B439" s="77"/>
      <c r="C439" s="308" t="s">
        <v>116</v>
      </c>
      <c r="D439" s="308" t="s">
        <v>116</v>
      </c>
      <c r="E439" s="308" t="s">
        <v>731</v>
      </c>
      <c r="F439" s="333"/>
      <c r="G439" s="269">
        <f>SUM(G440)</f>
        <v>220.1</v>
      </c>
      <c r="H439" s="14"/>
      <c r="I439" s="14"/>
      <c r="J439" s="78"/>
    </row>
    <row r="440" spans="1:10" s="25" customFormat="1" ht="28.5">
      <c r="A440" s="122" t="s">
        <v>732</v>
      </c>
      <c r="B440" s="77"/>
      <c r="C440" s="308" t="s">
        <v>116</v>
      </c>
      <c r="D440" s="308" t="s">
        <v>116</v>
      </c>
      <c r="E440" s="308" t="s">
        <v>733</v>
      </c>
      <c r="F440" s="333"/>
      <c r="G440" s="269">
        <f>SUM(G441)</f>
        <v>220.1</v>
      </c>
      <c r="H440" s="14"/>
      <c r="I440" s="14"/>
      <c r="J440" s="78"/>
    </row>
    <row r="441" spans="1:10" s="25" customFormat="1" ht="15">
      <c r="A441" s="122" t="s">
        <v>499</v>
      </c>
      <c r="B441" s="77"/>
      <c r="C441" s="308" t="s">
        <v>116</v>
      </c>
      <c r="D441" s="308" t="s">
        <v>116</v>
      </c>
      <c r="E441" s="308" t="s">
        <v>733</v>
      </c>
      <c r="F441" s="333" t="s">
        <v>119</v>
      </c>
      <c r="G441" s="269">
        <v>220.1</v>
      </c>
      <c r="H441" s="14"/>
      <c r="I441" s="14"/>
      <c r="J441" s="78">
        <f>SUM('ведомствен.2014'!G756)</f>
        <v>220.1</v>
      </c>
    </row>
    <row r="442" spans="1:9" s="25" customFormat="1" ht="15">
      <c r="A442" s="239" t="s">
        <v>593</v>
      </c>
      <c r="B442" s="220"/>
      <c r="C442" s="332" t="s">
        <v>116</v>
      </c>
      <c r="D442" s="308" t="s">
        <v>116</v>
      </c>
      <c r="E442" s="308" t="s">
        <v>128</v>
      </c>
      <c r="F442" s="333"/>
      <c r="G442" s="148">
        <f>SUM(G445)+G443</f>
        <v>804.0999999999999</v>
      </c>
      <c r="H442" s="14">
        <v>392.5</v>
      </c>
      <c r="I442" s="14">
        <f>SUM(H442/G451*100)</f>
        <v>1.193495222978356</v>
      </c>
    </row>
    <row r="443" spans="1:9" s="25" customFormat="1" ht="57">
      <c r="A443" s="412" t="s">
        <v>781</v>
      </c>
      <c r="B443" s="327"/>
      <c r="C443" s="308" t="s">
        <v>116</v>
      </c>
      <c r="D443" s="308" t="s">
        <v>116</v>
      </c>
      <c r="E443" s="308" t="s">
        <v>780</v>
      </c>
      <c r="F443" s="333"/>
      <c r="G443" s="269">
        <f>SUM(G444)</f>
        <v>10</v>
      </c>
      <c r="H443" s="14"/>
      <c r="I443" s="14"/>
    </row>
    <row r="444" spans="1:10" s="25" customFormat="1" ht="15">
      <c r="A444" s="122" t="s">
        <v>499</v>
      </c>
      <c r="B444" s="327"/>
      <c r="C444" s="308" t="s">
        <v>116</v>
      </c>
      <c r="D444" s="308" t="s">
        <v>116</v>
      </c>
      <c r="E444" s="308" t="s">
        <v>780</v>
      </c>
      <c r="F444" s="333" t="s">
        <v>119</v>
      </c>
      <c r="G444" s="269">
        <v>10</v>
      </c>
      <c r="H444" s="14"/>
      <c r="I444" s="14"/>
      <c r="J444" s="25">
        <f>SUM('ведомствен.2014'!G759)</f>
        <v>10</v>
      </c>
    </row>
    <row r="445" spans="1:9" s="25" customFormat="1" ht="28.5">
      <c r="A445" s="252" t="s">
        <v>613</v>
      </c>
      <c r="B445" s="220"/>
      <c r="C445" s="332" t="s">
        <v>116</v>
      </c>
      <c r="D445" s="308" t="s">
        <v>116</v>
      </c>
      <c r="E445" s="308" t="s">
        <v>96</v>
      </c>
      <c r="F445" s="333"/>
      <c r="G445" s="149">
        <f>SUM(G446:G447)</f>
        <v>794.0999999999999</v>
      </c>
      <c r="H445" s="14">
        <f>SUM(H446)</f>
        <v>0</v>
      </c>
      <c r="I445" s="14">
        <f>SUM(H445/G452*100)</f>
        <v>0</v>
      </c>
    </row>
    <row r="446" spans="1:10" s="25" customFormat="1" ht="15">
      <c r="A446" s="239" t="s">
        <v>499</v>
      </c>
      <c r="B446" s="220"/>
      <c r="C446" s="332" t="s">
        <v>116</v>
      </c>
      <c r="D446" s="308" t="s">
        <v>116</v>
      </c>
      <c r="E446" s="308" t="s">
        <v>96</v>
      </c>
      <c r="F446" s="333" t="s">
        <v>119</v>
      </c>
      <c r="G446" s="149">
        <v>415.2</v>
      </c>
      <c r="H446" s="14"/>
      <c r="I446" s="14">
        <f>SUM(H446/G453*100)</f>
        <v>0</v>
      </c>
      <c r="J446" s="78">
        <f>SUM('ведомствен.2014'!G761)</f>
        <v>415.2</v>
      </c>
    </row>
    <row r="447" spans="1:10" s="25" customFormat="1" ht="28.5">
      <c r="A447" s="239" t="s">
        <v>523</v>
      </c>
      <c r="B447" s="220"/>
      <c r="C447" s="332" t="s">
        <v>116</v>
      </c>
      <c r="D447" s="308" t="s">
        <v>116</v>
      </c>
      <c r="E447" s="308" t="s">
        <v>96</v>
      </c>
      <c r="F447" s="333" t="s">
        <v>512</v>
      </c>
      <c r="G447" s="149">
        <v>378.9</v>
      </c>
      <c r="H447" s="14"/>
      <c r="I447" s="14"/>
      <c r="J447" s="78">
        <f>SUM('ведомствен.2014'!G893+'ведомствен.2014'!G813+'ведомствен.2014'!G762+'ведомствен.2014'!G580)</f>
        <v>378.9</v>
      </c>
    </row>
    <row r="448" spans="1:12" s="25" customFormat="1" ht="15">
      <c r="A448" s="239" t="s">
        <v>230</v>
      </c>
      <c r="B448" s="218"/>
      <c r="C448" s="332" t="s">
        <v>116</v>
      </c>
      <c r="D448" s="308" t="s">
        <v>299</v>
      </c>
      <c r="E448" s="308"/>
      <c r="F448" s="333"/>
      <c r="G448" s="148">
        <f>G449+G457+G454</f>
        <v>68629.6</v>
      </c>
      <c r="H448" s="14">
        <f>SUM(H449)</f>
        <v>5014</v>
      </c>
      <c r="I448" s="14">
        <f>SUM(H448/G457*100)</f>
        <v>15.737058670290732</v>
      </c>
      <c r="K448" s="78">
        <f>SUM(J451:J464)</f>
        <v>68629.6</v>
      </c>
      <c r="L448" s="25">
        <f>SUM('ведомствен.2014'!G306+'ведомствен.2014'!G433+'ведомствен.2014'!G763)</f>
        <v>68629.6</v>
      </c>
    </row>
    <row r="449" spans="1:9" s="25" customFormat="1" ht="57">
      <c r="A449" s="251" t="s">
        <v>290</v>
      </c>
      <c r="B449" s="218"/>
      <c r="C449" s="332" t="s">
        <v>116</v>
      </c>
      <c r="D449" s="308" t="s">
        <v>299</v>
      </c>
      <c r="E449" s="308" t="s">
        <v>291</v>
      </c>
      <c r="F449" s="333"/>
      <c r="G449" s="148">
        <f>SUM(G450)</f>
        <v>36761.5</v>
      </c>
      <c r="H449" s="14">
        <v>5014</v>
      </c>
      <c r="I449" s="14">
        <f>SUM(H449/G462*100)</f>
        <v>15.801532250694114</v>
      </c>
    </row>
    <row r="450" spans="1:10" ht="28.5">
      <c r="A450" s="239" t="s">
        <v>56</v>
      </c>
      <c r="B450" s="218"/>
      <c r="C450" s="332" t="s">
        <v>116</v>
      </c>
      <c r="D450" s="308" t="s">
        <v>299</v>
      </c>
      <c r="E450" s="308" t="s">
        <v>292</v>
      </c>
      <c r="F450" s="333"/>
      <c r="G450" s="148">
        <f>SUM(G451+G452+G453)</f>
        <v>36761.5</v>
      </c>
      <c r="H450" s="14">
        <f>SUM(H451)</f>
        <v>0</v>
      </c>
      <c r="I450" s="14">
        <f>SUM(H450/G463*100)</f>
        <v>0</v>
      </c>
      <c r="J450"/>
    </row>
    <row r="451" spans="1:10" s="25" customFormat="1" ht="42.75">
      <c r="A451" s="239" t="s">
        <v>494</v>
      </c>
      <c r="B451" s="218"/>
      <c r="C451" s="332" t="s">
        <v>116</v>
      </c>
      <c r="D451" s="308" t="s">
        <v>299</v>
      </c>
      <c r="E451" s="308" t="s">
        <v>292</v>
      </c>
      <c r="F451" s="333" t="s">
        <v>495</v>
      </c>
      <c r="G451" s="148">
        <v>32886.6</v>
      </c>
      <c r="H451" s="14"/>
      <c r="I451" s="14" t="e">
        <f>SUM(H451/#REF!*100)</f>
        <v>#REF!</v>
      </c>
      <c r="J451" s="78">
        <f>SUM('ведомствен.2014'!G766)</f>
        <v>32886.6</v>
      </c>
    </row>
    <row r="452" spans="1:10" ht="15">
      <c r="A452" s="239" t="s">
        <v>499</v>
      </c>
      <c r="B452" s="220"/>
      <c r="C452" s="332" t="s">
        <v>116</v>
      </c>
      <c r="D452" s="308" t="s">
        <v>299</v>
      </c>
      <c r="E452" s="308" t="s">
        <v>292</v>
      </c>
      <c r="F452" s="333" t="s">
        <v>119</v>
      </c>
      <c r="G452" s="148">
        <v>3424.9</v>
      </c>
      <c r="H452" s="14">
        <f>SUM(H453)</f>
        <v>0</v>
      </c>
      <c r="I452" s="14" t="e">
        <f>SUM(H452/#REF!*100)</f>
        <v>#REF!</v>
      </c>
      <c r="J452" s="78">
        <f>SUM('ведомствен.2014'!G767)</f>
        <v>3424.9</v>
      </c>
    </row>
    <row r="453" spans="1:10" ht="15">
      <c r="A453" s="239" t="s">
        <v>500</v>
      </c>
      <c r="B453" s="218"/>
      <c r="C453" s="332" t="s">
        <v>116</v>
      </c>
      <c r="D453" s="308" t="s">
        <v>299</v>
      </c>
      <c r="E453" s="308" t="s">
        <v>292</v>
      </c>
      <c r="F453" s="333" t="s">
        <v>175</v>
      </c>
      <c r="G453" s="148">
        <v>450</v>
      </c>
      <c r="H453" s="14"/>
      <c r="I453" s="14" t="e">
        <f>SUM(H453/#REF!*100)</f>
        <v>#REF!</v>
      </c>
      <c r="J453" s="78">
        <f>SUM('ведомствен.2014'!G768)</f>
        <v>450</v>
      </c>
    </row>
    <row r="454" spans="1:10" ht="15">
      <c r="A454" s="239" t="s">
        <v>680</v>
      </c>
      <c r="B454" s="226"/>
      <c r="C454" s="288" t="s">
        <v>116</v>
      </c>
      <c r="D454" s="288" t="s">
        <v>299</v>
      </c>
      <c r="E454" s="288" t="s">
        <v>682</v>
      </c>
      <c r="F454" s="286"/>
      <c r="G454" s="145">
        <f>SUM(G455)</f>
        <v>7</v>
      </c>
      <c r="H454" s="14"/>
      <c r="I454" s="14"/>
      <c r="J454" s="78"/>
    </row>
    <row r="455" spans="1:10" ht="28.5">
      <c r="A455" s="239" t="s">
        <v>681</v>
      </c>
      <c r="B455" s="226"/>
      <c r="C455" s="288" t="s">
        <v>116</v>
      </c>
      <c r="D455" s="288" t="s">
        <v>299</v>
      </c>
      <c r="E455" s="288" t="s">
        <v>683</v>
      </c>
      <c r="F455" s="286"/>
      <c r="G455" s="145">
        <f>SUM(G456)</f>
        <v>7</v>
      </c>
      <c r="H455" s="14"/>
      <c r="I455" s="14"/>
      <c r="J455" s="78"/>
    </row>
    <row r="456" spans="1:10" ht="42.75">
      <c r="A456" s="233" t="s">
        <v>494</v>
      </c>
      <c r="B456" s="226"/>
      <c r="C456" s="288" t="s">
        <v>116</v>
      </c>
      <c r="D456" s="288" t="s">
        <v>299</v>
      </c>
      <c r="E456" s="288" t="s">
        <v>683</v>
      </c>
      <c r="F456" s="286" t="s">
        <v>495</v>
      </c>
      <c r="G456" s="145">
        <v>7</v>
      </c>
      <c r="H456" s="14"/>
      <c r="I456" s="14"/>
      <c r="J456" s="78">
        <f>SUM('ведомствен.2014'!G436)</f>
        <v>7</v>
      </c>
    </row>
    <row r="457" spans="1:10" ht="15">
      <c r="A457" s="234" t="s">
        <v>550</v>
      </c>
      <c r="B457" s="201"/>
      <c r="C457" s="298" t="s">
        <v>116</v>
      </c>
      <c r="D457" s="299" t="s">
        <v>299</v>
      </c>
      <c r="E457" s="288" t="s">
        <v>128</v>
      </c>
      <c r="F457" s="300"/>
      <c r="G457" s="347">
        <f>SUM(G462)+G460+G458</f>
        <v>31861.1</v>
      </c>
      <c r="H457" s="14">
        <f>SUM(H462)</f>
        <v>454</v>
      </c>
      <c r="I457" s="14" t="e">
        <f>SUM(H457/#REF!*100)</f>
        <v>#REF!</v>
      </c>
      <c r="J457"/>
    </row>
    <row r="458" spans="1:9" s="93" customFormat="1" ht="28.5">
      <c r="A458" s="122" t="s">
        <v>723</v>
      </c>
      <c r="B458" s="337"/>
      <c r="C458" s="308" t="s">
        <v>116</v>
      </c>
      <c r="D458" s="308" t="s">
        <v>299</v>
      </c>
      <c r="E458" s="308" t="s">
        <v>724</v>
      </c>
      <c r="F458" s="333"/>
      <c r="G458" s="269">
        <f>SUM(G459)</f>
        <v>30</v>
      </c>
      <c r="H458" s="22"/>
      <c r="I458" s="22"/>
    </row>
    <row r="459" spans="1:10" s="93" customFormat="1" ht="15">
      <c r="A459" s="122" t="s">
        <v>499</v>
      </c>
      <c r="B459" s="337"/>
      <c r="C459" s="308" t="s">
        <v>116</v>
      </c>
      <c r="D459" s="308" t="s">
        <v>299</v>
      </c>
      <c r="E459" s="308" t="s">
        <v>724</v>
      </c>
      <c r="F459" s="333" t="s">
        <v>119</v>
      </c>
      <c r="G459" s="269">
        <v>30</v>
      </c>
      <c r="H459" s="22"/>
      <c r="I459" s="22"/>
      <c r="J459" s="93">
        <f>SUM('ведомствен.2014'!G771)</f>
        <v>30</v>
      </c>
    </row>
    <row r="460" spans="1:10" ht="28.5">
      <c r="A460" s="122" t="s">
        <v>726</v>
      </c>
      <c r="B460" s="77"/>
      <c r="C460" s="308" t="s">
        <v>116</v>
      </c>
      <c r="D460" s="308" t="s">
        <v>299</v>
      </c>
      <c r="E460" s="308" t="s">
        <v>727</v>
      </c>
      <c r="F460" s="333"/>
      <c r="G460" s="269">
        <f>SUM(G461)</f>
        <v>100</v>
      </c>
      <c r="H460" s="14"/>
      <c r="I460" s="14"/>
      <c r="J460"/>
    </row>
    <row r="461" spans="1:10" ht="15">
      <c r="A461" s="122" t="s">
        <v>499</v>
      </c>
      <c r="B461" s="77"/>
      <c r="C461" s="308" t="s">
        <v>116</v>
      </c>
      <c r="D461" s="308" t="s">
        <v>299</v>
      </c>
      <c r="E461" s="308" t="s">
        <v>727</v>
      </c>
      <c r="F461" s="333" t="s">
        <v>119</v>
      </c>
      <c r="G461" s="269">
        <v>100</v>
      </c>
      <c r="H461" s="14"/>
      <c r="I461" s="14"/>
      <c r="J461">
        <f>SUM('ведомствен.2014'!G773)</f>
        <v>100</v>
      </c>
    </row>
    <row r="462" spans="1:9" s="25" customFormat="1" ht="28.5">
      <c r="A462" s="240" t="s">
        <v>670</v>
      </c>
      <c r="B462" s="201"/>
      <c r="C462" s="298" t="s">
        <v>116</v>
      </c>
      <c r="D462" s="299" t="s">
        <v>299</v>
      </c>
      <c r="E462" s="299" t="s">
        <v>54</v>
      </c>
      <c r="F462" s="300"/>
      <c r="G462" s="347">
        <f>SUM(G463:G464)</f>
        <v>31731.1</v>
      </c>
      <c r="H462" s="14">
        <v>454</v>
      </c>
      <c r="I462" s="14" t="e">
        <f>SUM(H462/#REF!*100)</f>
        <v>#REF!</v>
      </c>
    </row>
    <row r="463" spans="1:10" ht="28.5">
      <c r="A463" s="234" t="s">
        <v>565</v>
      </c>
      <c r="B463" s="201"/>
      <c r="C463" s="298" t="s">
        <v>116</v>
      </c>
      <c r="D463" s="299" t="s">
        <v>299</v>
      </c>
      <c r="E463" s="299" t="s">
        <v>562</v>
      </c>
      <c r="F463" s="300" t="s">
        <v>559</v>
      </c>
      <c r="G463" s="347">
        <v>31708.6</v>
      </c>
      <c r="H463" s="14"/>
      <c r="I463" s="14" t="e">
        <f>SUM(H463/#REF!*100)</f>
        <v>#REF!</v>
      </c>
      <c r="J463">
        <f>SUM('ведомствен.2014'!G309)</f>
        <v>31708.6</v>
      </c>
    </row>
    <row r="464" spans="1:10" ht="28.5">
      <c r="A464" s="121" t="s">
        <v>523</v>
      </c>
      <c r="B464" s="298"/>
      <c r="C464" s="299" t="s">
        <v>116</v>
      </c>
      <c r="D464" s="299" t="s">
        <v>299</v>
      </c>
      <c r="E464" s="299" t="s">
        <v>562</v>
      </c>
      <c r="F464" s="300" t="s">
        <v>512</v>
      </c>
      <c r="G464" s="343">
        <v>22.5</v>
      </c>
      <c r="H464" s="14"/>
      <c r="I464" s="14"/>
      <c r="J464">
        <f>SUM('ведомствен.2014'!G310)</f>
        <v>22.5</v>
      </c>
    </row>
    <row r="465" spans="1:12" ht="15">
      <c r="A465" s="237" t="s">
        <v>327</v>
      </c>
      <c r="B465" s="202"/>
      <c r="C465" s="287" t="s">
        <v>123</v>
      </c>
      <c r="D465" s="334"/>
      <c r="E465" s="334"/>
      <c r="F465" s="335"/>
      <c r="G465" s="150">
        <f>SUM(G466+G519)</f>
        <v>122492.4</v>
      </c>
      <c r="H465" s="14">
        <f>SUM(H481:H482)</f>
        <v>14679.5</v>
      </c>
      <c r="I465" s="14" t="e">
        <f>SUM(H465/G479*100)</f>
        <v>#DIV/0!</v>
      </c>
      <c r="J465"/>
      <c r="K465">
        <f>SUM(J466:J540)</f>
        <v>122492.4</v>
      </c>
      <c r="L465">
        <f>SUM('ведомствен.2014'!G814)</f>
        <v>122492.4</v>
      </c>
    </row>
    <row r="466" spans="1:10" ht="15">
      <c r="A466" s="233" t="s">
        <v>366</v>
      </c>
      <c r="B466" s="198"/>
      <c r="C466" s="292" t="s">
        <v>123</v>
      </c>
      <c r="D466" s="288" t="s">
        <v>459</v>
      </c>
      <c r="E466" s="288"/>
      <c r="F466" s="285"/>
      <c r="G466" s="145">
        <f>SUM(G467+G493+G504)</f>
        <v>114339.9</v>
      </c>
      <c r="H466" s="14"/>
      <c r="I466" s="14"/>
      <c r="J466"/>
    </row>
    <row r="467" spans="1:10" ht="28.5">
      <c r="A467" s="234" t="s">
        <v>598</v>
      </c>
      <c r="B467" s="198"/>
      <c r="C467" s="292" t="s">
        <v>123</v>
      </c>
      <c r="D467" s="288" t="s">
        <v>459</v>
      </c>
      <c r="E467" s="288" t="s">
        <v>135</v>
      </c>
      <c r="F467" s="285"/>
      <c r="G467" s="145">
        <f>SUM(G468+G474)</f>
        <v>63431.5</v>
      </c>
      <c r="H467" s="14"/>
      <c r="I467" s="14"/>
      <c r="J467"/>
    </row>
    <row r="468" spans="1:10" ht="28.5">
      <c r="A468" s="233" t="s">
        <v>15</v>
      </c>
      <c r="B468" s="202"/>
      <c r="C468" s="292" t="s">
        <v>123</v>
      </c>
      <c r="D468" s="288" t="s">
        <v>459</v>
      </c>
      <c r="E468" s="288" t="s">
        <v>203</v>
      </c>
      <c r="F468" s="285"/>
      <c r="G468" s="145">
        <f>SUM(G469)+G471</f>
        <v>38342.5</v>
      </c>
      <c r="H468" s="14"/>
      <c r="I468" s="14"/>
      <c r="J468"/>
    </row>
    <row r="469" spans="1:10" ht="28.5">
      <c r="A469" s="233" t="s">
        <v>93</v>
      </c>
      <c r="B469" s="202"/>
      <c r="C469" s="292" t="s">
        <v>123</v>
      </c>
      <c r="D469" s="288" t="s">
        <v>459</v>
      </c>
      <c r="E469" s="288" t="s">
        <v>205</v>
      </c>
      <c r="F469" s="285"/>
      <c r="G469" s="145">
        <f>SUM(G470)</f>
        <v>38299.5</v>
      </c>
      <c r="H469" s="14"/>
      <c r="I469" s="14"/>
      <c r="J469"/>
    </row>
    <row r="470" spans="1:10" ht="28.5">
      <c r="A470" s="239" t="s">
        <v>516</v>
      </c>
      <c r="B470" s="217"/>
      <c r="C470" s="292" t="s">
        <v>123</v>
      </c>
      <c r="D470" s="288" t="s">
        <v>459</v>
      </c>
      <c r="E470" s="288" t="s">
        <v>205</v>
      </c>
      <c r="F470" s="286" t="s">
        <v>512</v>
      </c>
      <c r="G470" s="145">
        <v>38299.5</v>
      </c>
      <c r="H470" s="14"/>
      <c r="I470" s="14"/>
      <c r="J470">
        <f>SUM('ведомствен.2014'!G819)</f>
        <v>38299.5</v>
      </c>
    </row>
    <row r="471" spans="1:10" ht="28.5">
      <c r="A471" s="233" t="s">
        <v>156</v>
      </c>
      <c r="B471" s="219"/>
      <c r="C471" s="288" t="s">
        <v>123</v>
      </c>
      <c r="D471" s="288" t="s">
        <v>459</v>
      </c>
      <c r="E471" s="288" t="s">
        <v>414</v>
      </c>
      <c r="F471" s="286"/>
      <c r="G471" s="145">
        <f>SUM(G472)</f>
        <v>43</v>
      </c>
      <c r="H471" s="14"/>
      <c r="I471" s="14"/>
      <c r="J471"/>
    </row>
    <row r="472" spans="1:10" ht="28.5">
      <c r="A472" s="239" t="s">
        <v>143</v>
      </c>
      <c r="B472" s="219"/>
      <c r="C472" s="288" t="s">
        <v>123</v>
      </c>
      <c r="D472" s="288" t="s">
        <v>459</v>
      </c>
      <c r="E472" s="288" t="s">
        <v>415</v>
      </c>
      <c r="F472" s="286"/>
      <c r="G472" s="145">
        <f>SUM(G473)</f>
        <v>43</v>
      </c>
      <c r="H472" s="14"/>
      <c r="I472" s="14"/>
      <c r="J472"/>
    </row>
    <row r="473" spans="1:10" ht="28.5">
      <c r="A473" s="239" t="s">
        <v>516</v>
      </c>
      <c r="B473" s="219"/>
      <c r="C473" s="288" t="s">
        <v>123</v>
      </c>
      <c r="D473" s="288" t="s">
        <v>459</v>
      </c>
      <c r="E473" s="288" t="s">
        <v>415</v>
      </c>
      <c r="F473" s="286" t="s">
        <v>512</v>
      </c>
      <c r="G473" s="145">
        <v>43</v>
      </c>
      <c r="H473" s="14"/>
      <c r="I473" s="14"/>
      <c r="J473">
        <f>SUM('ведомствен.2014'!G822)</f>
        <v>43</v>
      </c>
    </row>
    <row r="474" spans="1:10" ht="28.5">
      <c r="A474" s="233" t="s">
        <v>56</v>
      </c>
      <c r="B474" s="217"/>
      <c r="C474" s="292" t="s">
        <v>123</v>
      </c>
      <c r="D474" s="288" t="s">
        <v>459</v>
      </c>
      <c r="E474" s="288" t="s">
        <v>136</v>
      </c>
      <c r="F474" s="286"/>
      <c r="G474" s="145">
        <f>SUM(G475:G477)</f>
        <v>25089.000000000004</v>
      </c>
      <c r="H474" s="14"/>
      <c r="I474" s="14"/>
      <c r="J474"/>
    </row>
    <row r="475" spans="1:10" ht="42.75">
      <c r="A475" s="233" t="s">
        <v>494</v>
      </c>
      <c r="B475" s="198"/>
      <c r="C475" s="292" t="s">
        <v>123</v>
      </c>
      <c r="D475" s="288" t="s">
        <v>459</v>
      </c>
      <c r="E475" s="288" t="s">
        <v>136</v>
      </c>
      <c r="F475" s="284" t="s">
        <v>495</v>
      </c>
      <c r="G475" s="145">
        <v>19404.9</v>
      </c>
      <c r="H475" s="14"/>
      <c r="I475" s="14"/>
      <c r="J475">
        <f>SUM('ведомствен.2014'!G824)</f>
        <v>19404.9</v>
      </c>
    </row>
    <row r="476" spans="1:10" ht="15">
      <c r="A476" s="233" t="s">
        <v>499</v>
      </c>
      <c r="B476" s="198"/>
      <c r="C476" s="292" t="s">
        <v>123</v>
      </c>
      <c r="D476" s="288" t="s">
        <v>459</v>
      </c>
      <c r="E476" s="288" t="s">
        <v>136</v>
      </c>
      <c r="F476" s="284" t="s">
        <v>119</v>
      </c>
      <c r="G476" s="146">
        <v>5291.2</v>
      </c>
      <c r="H476" s="14"/>
      <c r="I476" s="14"/>
      <c r="J476">
        <f>SUM('ведомствен.2014'!G825)</f>
        <v>5291.2</v>
      </c>
    </row>
    <row r="477" spans="1:10" ht="15">
      <c r="A477" s="233" t="s">
        <v>500</v>
      </c>
      <c r="B477" s="198"/>
      <c r="C477" s="292" t="s">
        <v>123</v>
      </c>
      <c r="D477" s="288" t="s">
        <v>459</v>
      </c>
      <c r="E477" s="288" t="s">
        <v>136</v>
      </c>
      <c r="F477" s="285" t="s">
        <v>175</v>
      </c>
      <c r="G477" s="145">
        <v>392.9</v>
      </c>
      <c r="H477" s="14"/>
      <c r="I477" s="14"/>
      <c r="J477">
        <f>SUM('ведомствен.2014'!G826)</f>
        <v>392.9</v>
      </c>
    </row>
    <row r="478" spans="1:9" ht="28.5" hidden="1">
      <c r="A478" s="233" t="s">
        <v>94</v>
      </c>
      <c r="B478" s="202"/>
      <c r="C478" s="292" t="s">
        <v>123</v>
      </c>
      <c r="D478" s="288" t="s">
        <v>459</v>
      </c>
      <c r="E478" s="288" t="s">
        <v>203</v>
      </c>
      <c r="F478" s="285"/>
      <c r="G478" s="145">
        <f>SUM(G479+G481)</f>
        <v>0</v>
      </c>
      <c r="H478" s="14"/>
      <c r="I478" s="14"/>
    </row>
    <row r="479" spans="1:10" ht="28.5" hidden="1">
      <c r="A479" s="233" t="s">
        <v>204</v>
      </c>
      <c r="B479" s="202"/>
      <c r="C479" s="292" t="s">
        <v>123</v>
      </c>
      <c r="D479" s="288" t="s">
        <v>459</v>
      </c>
      <c r="E479" s="288" t="s">
        <v>205</v>
      </c>
      <c r="F479" s="285"/>
      <c r="G479" s="145">
        <f>SUM(G480)</f>
        <v>0</v>
      </c>
      <c r="H479" s="14"/>
      <c r="I479" s="14"/>
      <c r="J479"/>
    </row>
    <row r="480" spans="1:10" ht="42.75" hidden="1">
      <c r="A480" s="239" t="s">
        <v>155</v>
      </c>
      <c r="B480" s="217"/>
      <c r="C480" s="292" t="s">
        <v>123</v>
      </c>
      <c r="D480" s="288" t="s">
        <v>459</v>
      </c>
      <c r="E480" s="288" t="s">
        <v>205</v>
      </c>
      <c r="F480" s="286" t="s">
        <v>58</v>
      </c>
      <c r="G480" s="145"/>
      <c r="H480" s="14"/>
      <c r="I480" s="14"/>
      <c r="J480"/>
    </row>
    <row r="481" spans="1:9" ht="28.5" hidden="1">
      <c r="A481" s="233" t="s">
        <v>156</v>
      </c>
      <c r="B481" s="198"/>
      <c r="C481" s="292" t="s">
        <v>123</v>
      </c>
      <c r="D481" s="288" t="s">
        <v>459</v>
      </c>
      <c r="E481" s="283" t="s">
        <v>414</v>
      </c>
      <c r="F481" s="286"/>
      <c r="G481" s="145">
        <f>SUM(G484+G486)+G482</f>
        <v>0</v>
      </c>
      <c r="H481" s="14">
        <v>14679.5</v>
      </c>
      <c r="I481" s="14" t="e">
        <f>SUM(H481/G487*100)</f>
        <v>#DIV/0!</v>
      </c>
    </row>
    <row r="482" spans="1:9" ht="28.5" hidden="1">
      <c r="A482" s="233" t="s">
        <v>462</v>
      </c>
      <c r="B482" s="198"/>
      <c r="C482" s="292" t="s">
        <v>123</v>
      </c>
      <c r="D482" s="288" t="s">
        <v>459</v>
      </c>
      <c r="E482" s="283" t="s">
        <v>415</v>
      </c>
      <c r="F482" s="286"/>
      <c r="G482" s="145">
        <f>SUM(G483)</f>
        <v>0</v>
      </c>
      <c r="H482" s="14"/>
      <c r="I482" s="14" t="e">
        <f>SUM(H482/G488*100)</f>
        <v>#DIV/0!</v>
      </c>
    </row>
    <row r="483" spans="1:10" ht="28.5" hidden="1">
      <c r="A483" s="233" t="s">
        <v>156</v>
      </c>
      <c r="B483" s="198"/>
      <c r="C483" s="292" t="s">
        <v>123</v>
      </c>
      <c r="D483" s="288" t="s">
        <v>459</v>
      </c>
      <c r="E483" s="283" t="s">
        <v>415</v>
      </c>
      <c r="F483" s="286" t="s">
        <v>82</v>
      </c>
      <c r="G483" s="145"/>
      <c r="H483" s="14">
        <f>SUM(H484)</f>
        <v>2102.5</v>
      </c>
      <c r="I483" s="14" t="e">
        <f>SUM(H483/G489*100)</f>
        <v>#DIV/0!</v>
      </c>
      <c r="J483"/>
    </row>
    <row r="484" spans="1:10" ht="28.5" hidden="1">
      <c r="A484" s="239" t="s">
        <v>413</v>
      </c>
      <c r="B484" s="217"/>
      <c r="C484" s="292" t="s">
        <v>123</v>
      </c>
      <c r="D484" s="288" t="s">
        <v>459</v>
      </c>
      <c r="E484" s="288" t="s">
        <v>412</v>
      </c>
      <c r="F484" s="286"/>
      <c r="G484" s="145">
        <f>SUM(G485)</f>
        <v>0</v>
      </c>
      <c r="H484" s="14">
        <f>SUM(H486)+H493</f>
        <v>2102.5</v>
      </c>
      <c r="I484" s="14" t="e">
        <f>SUM(H484/G490*100)</f>
        <v>#DIV/0!</v>
      </c>
      <c r="J484"/>
    </row>
    <row r="485" spans="1:10" ht="28.5" hidden="1">
      <c r="A485" s="239" t="s">
        <v>142</v>
      </c>
      <c r="B485" s="217"/>
      <c r="C485" s="292" t="s">
        <v>123</v>
      </c>
      <c r="D485" s="288" t="s">
        <v>459</v>
      </c>
      <c r="E485" s="288" t="s">
        <v>412</v>
      </c>
      <c r="F485" s="286" t="s">
        <v>82</v>
      </c>
      <c r="G485" s="145"/>
      <c r="H485" s="14"/>
      <c r="I485" s="14"/>
      <c r="J485"/>
    </row>
    <row r="486" spans="1:9" ht="28.5" hidden="1">
      <c r="A486" s="239" t="s">
        <v>153</v>
      </c>
      <c r="B486" s="217"/>
      <c r="C486" s="292" t="s">
        <v>123</v>
      </c>
      <c r="D486" s="288" t="s">
        <v>459</v>
      </c>
      <c r="E486" s="288" t="s">
        <v>215</v>
      </c>
      <c r="F486" s="286"/>
      <c r="G486" s="145">
        <f>SUM(G487)</f>
        <v>0</v>
      </c>
      <c r="H486" s="14">
        <v>2102.5</v>
      </c>
      <c r="I486" s="14" t="e">
        <f>SUM(H486/G492*100)</f>
        <v>#DIV/0!</v>
      </c>
    </row>
    <row r="487" spans="1:9" ht="28.5" hidden="1">
      <c r="A487" s="239" t="s">
        <v>142</v>
      </c>
      <c r="B487" s="217"/>
      <c r="C487" s="292" t="s">
        <v>123</v>
      </c>
      <c r="D487" s="288" t="s">
        <v>459</v>
      </c>
      <c r="E487" s="288" t="s">
        <v>215</v>
      </c>
      <c r="F487" s="286" t="s">
        <v>82</v>
      </c>
      <c r="G487" s="145"/>
      <c r="H487" s="14"/>
      <c r="I487" s="14"/>
    </row>
    <row r="488" spans="1:9" ht="28.5" hidden="1">
      <c r="A488" s="233" t="s">
        <v>56</v>
      </c>
      <c r="B488" s="199"/>
      <c r="C488" s="292" t="s">
        <v>123</v>
      </c>
      <c r="D488" s="288" t="s">
        <v>459</v>
      </c>
      <c r="E488" s="288" t="s">
        <v>136</v>
      </c>
      <c r="F488" s="285"/>
      <c r="G488" s="145">
        <f>SUM(G489:G491)</f>
        <v>0</v>
      </c>
      <c r="H488" s="14"/>
      <c r="I488" s="14"/>
    </row>
    <row r="489" spans="1:9" ht="15" hidden="1">
      <c r="A489" s="239" t="s">
        <v>57</v>
      </c>
      <c r="B489" s="199"/>
      <c r="C489" s="292" t="s">
        <v>123</v>
      </c>
      <c r="D489" s="288" t="s">
        <v>459</v>
      </c>
      <c r="E489" s="288" t="s">
        <v>136</v>
      </c>
      <c r="F489" s="285" t="s">
        <v>246</v>
      </c>
      <c r="G489" s="145"/>
      <c r="H489" s="14"/>
      <c r="I489" s="14"/>
    </row>
    <row r="490" spans="1:9" ht="42.75" hidden="1">
      <c r="A490" s="239" t="s">
        <v>369</v>
      </c>
      <c r="B490" s="217"/>
      <c r="C490" s="292" t="s">
        <v>123</v>
      </c>
      <c r="D490" s="288" t="s">
        <v>459</v>
      </c>
      <c r="E490" s="288" t="s">
        <v>136</v>
      </c>
      <c r="F490" s="286" t="s">
        <v>370</v>
      </c>
      <c r="G490" s="145"/>
      <c r="H490" s="14"/>
      <c r="I490" s="14"/>
    </row>
    <row r="491" spans="1:9" ht="57" hidden="1">
      <c r="A491" s="233" t="s">
        <v>257</v>
      </c>
      <c r="B491" s="198"/>
      <c r="C491" s="292" t="s">
        <v>123</v>
      </c>
      <c r="D491" s="288" t="s">
        <v>459</v>
      </c>
      <c r="E491" s="288" t="s">
        <v>371</v>
      </c>
      <c r="F491" s="286"/>
      <c r="G491" s="145">
        <f>SUM(G492)</f>
        <v>0</v>
      </c>
      <c r="H491" s="14"/>
      <c r="I491" s="14"/>
    </row>
    <row r="492" spans="1:9" ht="15" hidden="1">
      <c r="A492" s="239" t="s">
        <v>245</v>
      </c>
      <c r="B492" s="217"/>
      <c r="C492" s="292" t="s">
        <v>123</v>
      </c>
      <c r="D492" s="288" t="s">
        <v>459</v>
      </c>
      <c r="E492" s="288" t="s">
        <v>371</v>
      </c>
      <c r="F492" s="286" t="s">
        <v>246</v>
      </c>
      <c r="G492" s="145"/>
      <c r="H492" s="14">
        <v>14679.5</v>
      </c>
      <c r="I492" s="14" t="e">
        <f aca="true" t="shared" si="5" ref="I492:I510">SUM(H492/G498*100)</f>
        <v>#DIV/0!</v>
      </c>
    </row>
    <row r="493" spans="1:9" ht="15">
      <c r="A493" s="233" t="s">
        <v>372</v>
      </c>
      <c r="B493" s="198"/>
      <c r="C493" s="292" t="s">
        <v>123</v>
      </c>
      <c r="D493" s="288" t="s">
        <v>459</v>
      </c>
      <c r="E493" s="288" t="s">
        <v>373</v>
      </c>
      <c r="F493" s="285"/>
      <c r="G493" s="145">
        <f>SUM(G494)</f>
        <v>7709.9</v>
      </c>
      <c r="H493" s="14"/>
      <c r="I493" s="14" t="e">
        <f t="shared" si="5"/>
        <v>#DIV/0!</v>
      </c>
    </row>
    <row r="494" spans="1:10" ht="28.5">
      <c r="A494" s="233" t="s">
        <v>94</v>
      </c>
      <c r="B494" s="202"/>
      <c r="C494" s="292" t="s">
        <v>123</v>
      </c>
      <c r="D494" s="288" t="s">
        <v>459</v>
      </c>
      <c r="E494" s="288" t="s">
        <v>80</v>
      </c>
      <c r="F494" s="285"/>
      <c r="G494" s="145">
        <f>SUM(G495)+G497</f>
        <v>7709.9</v>
      </c>
      <c r="H494" s="14"/>
      <c r="I494" s="14" t="e">
        <f t="shared" si="5"/>
        <v>#DIV/0!</v>
      </c>
      <c r="J494"/>
    </row>
    <row r="495" spans="1:10" ht="28.5">
      <c r="A495" s="233" t="s">
        <v>204</v>
      </c>
      <c r="B495" s="202"/>
      <c r="C495" s="292" t="s">
        <v>123</v>
      </c>
      <c r="D495" s="288" t="s">
        <v>459</v>
      </c>
      <c r="E495" s="288" t="s">
        <v>81</v>
      </c>
      <c r="F495" s="285"/>
      <c r="G495" s="145">
        <f>SUM(G496)</f>
        <v>7629.9</v>
      </c>
      <c r="H495" s="14">
        <f>SUM(H496)</f>
        <v>10268.9</v>
      </c>
      <c r="I495" s="14" t="e">
        <f t="shared" si="5"/>
        <v>#DIV/0!</v>
      </c>
      <c r="J495"/>
    </row>
    <row r="496" spans="1:10" ht="28.5">
      <c r="A496" s="239" t="s">
        <v>516</v>
      </c>
      <c r="B496" s="217"/>
      <c r="C496" s="292" t="s">
        <v>123</v>
      </c>
      <c r="D496" s="288" t="s">
        <v>459</v>
      </c>
      <c r="E496" s="288" t="s">
        <v>81</v>
      </c>
      <c r="F496" s="286" t="s">
        <v>512</v>
      </c>
      <c r="G496" s="145">
        <v>7629.9</v>
      </c>
      <c r="H496" s="14">
        <f>SUM(H497+H499+H501)</f>
        <v>10268.9</v>
      </c>
      <c r="I496" s="14">
        <f aca="true" t="shared" si="6" ref="I496:I501">SUM(H496/G504*100)</f>
        <v>23.771427248631323</v>
      </c>
      <c r="J496">
        <f>SUM('ведомствен.2014'!G845)</f>
        <v>7629.9</v>
      </c>
    </row>
    <row r="497" spans="1:9" ht="28.5">
      <c r="A497" s="233" t="s">
        <v>156</v>
      </c>
      <c r="B497" s="217"/>
      <c r="C497" s="292" t="s">
        <v>123</v>
      </c>
      <c r="D497" s="288" t="s">
        <v>459</v>
      </c>
      <c r="E497" s="288" t="s">
        <v>216</v>
      </c>
      <c r="F497" s="286"/>
      <c r="G497" s="145">
        <f>SUM(G502)+G498</f>
        <v>80</v>
      </c>
      <c r="H497" s="14">
        <v>8963.8</v>
      </c>
      <c r="I497" s="14">
        <f t="shared" si="6"/>
        <v>20.750257532090234</v>
      </c>
    </row>
    <row r="498" spans="1:10" ht="28.5" hidden="1">
      <c r="A498" s="239" t="s">
        <v>143</v>
      </c>
      <c r="B498" s="217"/>
      <c r="C498" s="292" t="s">
        <v>123</v>
      </c>
      <c r="D498" s="288" t="s">
        <v>459</v>
      </c>
      <c r="E498" s="288" t="s">
        <v>464</v>
      </c>
      <c r="F498" s="286"/>
      <c r="G498" s="145">
        <f>SUM(G499)</f>
        <v>0</v>
      </c>
      <c r="H498" s="14"/>
      <c r="I498" s="14">
        <f t="shared" si="6"/>
        <v>0</v>
      </c>
      <c r="J498"/>
    </row>
    <row r="499" spans="1:10" ht="28.5" hidden="1">
      <c r="A499" s="239" t="s">
        <v>516</v>
      </c>
      <c r="B499" s="217"/>
      <c r="C499" s="292" t="s">
        <v>123</v>
      </c>
      <c r="D499" s="288" t="s">
        <v>459</v>
      </c>
      <c r="E499" s="288" t="s">
        <v>464</v>
      </c>
      <c r="F499" s="286" t="s">
        <v>512</v>
      </c>
      <c r="G499" s="145"/>
      <c r="H499" s="14">
        <f>SUM(H500)</f>
        <v>0</v>
      </c>
      <c r="I499" s="14">
        <f t="shared" si="6"/>
        <v>0</v>
      </c>
      <c r="J499"/>
    </row>
    <row r="500" spans="1:10" ht="28.5" hidden="1">
      <c r="A500" s="239" t="s">
        <v>413</v>
      </c>
      <c r="B500" s="217"/>
      <c r="C500" s="292" t="s">
        <v>123</v>
      </c>
      <c r="D500" s="288" t="s">
        <v>459</v>
      </c>
      <c r="E500" s="288" t="s">
        <v>152</v>
      </c>
      <c r="F500" s="286"/>
      <c r="G500" s="145">
        <f>SUM(G501)</f>
        <v>0</v>
      </c>
      <c r="H500" s="14"/>
      <c r="I500" s="14">
        <f t="shared" si="6"/>
        <v>0</v>
      </c>
      <c r="J500"/>
    </row>
    <row r="501" spans="1:10" ht="28.5" hidden="1">
      <c r="A501" s="239" t="s">
        <v>142</v>
      </c>
      <c r="B501" s="217"/>
      <c r="C501" s="292" t="s">
        <v>123</v>
      </c>
      <c r="D501" s="288" t="s">
        <v>459</v>
      </c>
      <c r="E501" s="288" t="s">
        <v>152</v>
      </c>
      <c r="F501" s="286" t="s">
        <v>82</v>
      </c>
      <c r="G501" s="145"/>
      <c r="H501" s="14">
        <f>SUM(H504)</f>
        <v>1305.1</v>
      </c>
      <c r="I501" s="14" t="e">
        <f t="shared" si="6"/>
        <v>#DIV/0!</v>
      </c>
      <c r="J501"/>
    </row>
    <row r="502" spans="1:10" ht="28.5">
      <c r="A502" s="248" t="s">
        <v>153</v>
      </c>
      <c r="B502" s="223"/>
      <c r="C502" s="292" t="s">
        <v>123</v>
      </c>
      <c r="D502" s="288" t="s">
        <v>459</v>
      </c>
      <c r="E502" s="288" t="s">
        <v>639</v>
      </c>
      <c r="F502" s="286"/>
      <c r="G502" s="145">
        <f>SUM(G503)</f>
        <v>80</v>
      </c>
      <c r="H502" s="14"/>
      <c r="I502" s="14"/>
      <c r="J502"/>
    </row>
    <row r="503" spans="1:10" ht="28.5">
      <c r="A503" s="239" t="s">
        <v>516</v>
      </c>
      <c r="B503" s="223"/>
      <c r="C503" s="292" t="s">
        <v>123</v>
      </c>
      <c r="D503" s="288" t="s">
        <v>459</v>
      </c>
      <c r="E503" s="288" t="s">
        <v>639</v>
      </c>
      <c r="F503" s="286" t="s">
        <v>512</v>
      </c>
      <c r="G503" s="145">
        <v>80</v>
      </c>
      <c r="H503" s="14"/>
      <c r="I503" s="14"/>
      <c r="J503">
        <f>SUM('ведомствен.2014'!G852)</f>
        <v>80</v>
      </c>
    </row>
    <row r="504" spans="1:10" ht="15">
      <c r="A504" s="233" t="s">
        <v>374</v>
      </c>
      <c r="B504" s="198"/>
      <c r="C504" s="292" t="s">
        <v>123</v>
      </c>
      <c r="D504" s="288" t="s">
        <v>459</v>
      </c>
      <c r="E504" s="288" t="s">
        <v>375</v>
      </c>
      <c r="F504" s="285"/>
      <c r="G504" s="145">
        <f>SUM(G505)</f>
        <v>43198.49999999999</v>
      </c>
      <c r="H504" s="14">
        <v>1305.1</v>
      </c>
      <c r="I504" s="14" t="e">
        <f t="shared" si="5"/>
        <v>#DIV/0!</v>
      </c>
      <c r="J504"/>
    </row>
    <row r="505" spans="1:10" ht="28.5">
      <c r="A505" s="233" t="s">
        <v>56</v>
      </c>
      <c r="B505" s="202"/>
      <c r="C505" s="292" t="s">
        <v>123</v>
      </c>
      <c r="D505" s="288" t="s">
        <v>459</v>
      </c>
      <c r="E505" s="288" t="s">
        <v>376</v>
      </c>
      <c r="F505" s="285"/>
      <c r="G505" s="145">
        <f>SUM(G506:G508)</f>
        <v>43198.49999999999</v>
      </c>
      <c r="H505" s="14">
        <f>SUM(H506+H507)</f>
        <v>0</v>
      </c>
      <c r="I505" s="14" t="e">
        <f t="shared" si="5"/>
        <v>#DIV/0!</v>
      </c>
      <c r="J505"/>
    </row>
    <row r="506" spans="1:10" ht="42.75">
      <c r="A506" s="233" t="s">
        <v>494</v>
      </c>
      <c r="B506" s="198"/>
      <c r="C506" s="292" t="s">
        <v>123</v>
      </c>
      <c r="D506" s="288" t="s">
        <v>459</v>
      </c>
      <c r="E506" s="288" t="s">
        <v>376</v>
      </c>
      <c r="F506" s="284" t="s">
        <v>495</v>
      </c>
      <c r="G506" s="145">
        <v>37991.2</v>
      </c>
      <c r="H506" s="14"/>
      <c r="I506" s="14" t="e">
        <f t="shared" si="5"/>
        <v>#DIV/0!</v>
      </c>
      <c r="J506">
        <f>SUM('ведомствен.2014'!G855)</f>
        <v>37991.2</v>
      </c>
    </row>
    <row r="507" spans="1:10" ht="15">
      <c r="A507" s="233" t="s">
        <v>499</v>
      </c>
      <c r="B507" s="198"/>
      <c r="C507" s="292" t="s">
        <v>123</v>
      </c>
      <c r="D507" s="288" t="s">
        <v>459</v>
      </c>
      <c r="E507" s="288" t="s">
        <v>376</v>
      </c>
      <c r="F507" s="284" t="s">
        <v>119</v>
      </c>
      <c r="G507" s="146">
        <v>4673.6</v>
      </c>
      <c r="H507" s="14">
        <f>SUM(H508)</f>
        <v>0</v>
      </c>
      <c r="I507" s="14" t="e">
        <f t="shared" si="5"/>
        <v>#DIV/0!</v>
      </c>
      <c r="J507">
        <f>SUM('ведомствен.2014'!G856)</f>
        <v>4673.6</v>
      </c>
    </row>
    <row r="508" spans="1:10" ht="15">
      <c r="A508" s="233" t="s">
        <v>500</v>
      </c>
      <c r="B508" s="198"/>
      <c r="C508" s="292" t="s">
        <v>123</v>
      </c>
      <c r="D508" s="288" t="s">
        <v>459</v>
      </c>
      <c r="E508" s="288" t="s">
        <v>376</v>
      </c>
      <c r="F508" s="285" t="s">
        <v>175</v>
      </c>
      <c r="G508" s="145">
        <v>533.7</v>
      </c>
      <c r="H508" s="14"/>
      <c r="I508" s="14" t="e">
        <f t="shared" si="5"/>
        <v>#DIV/0!</v>
      </c>
      <c r="J508">
        <f>SUM('ведомствен.2014'!G857)</f>
        <v>533.7</v>
      </c>
    </row>
    <row r="509" spans="1:10" ht="42.75" hidden="1">
      <c r="A509" s="239" t="s">
        <v>62</v>
      </c>
      <c r="B509" s="217"/>
      <c r="C509" s="292" t="s">
        <v>123</v>
      </c>
      <c r="D509" s="288" t="s">
        <v>459</v>
      </c>
      <c r="E509" s="288" t="s">
        <v>377</v>
      </c>
      <c r="F509" s="286"/>
      <c r="G509" s="145">
        <f>SUM(G510)</f>
        <v>0</v>
      </c>
      <c r="H509" s="14">
        <f>SUM(H510)</f>
        <v>7333.8</v>
      </c>
      <c r="I509" s="14" t="e">
        <f t="shared" si="5"/>
        <v>#DIV/0!</v>
      </c>
      <c r="J509"/>
    </row>
    <row r="510" spans="1:10" ht="15" hidden="1">
      <c r="A510" s="239" t="s">
        <v>57</v>
      </c>
      <c r="B510" s="217"/>
      <c r="C510" s="292" t="s">
        <v>123</v>
      </c>
      <c r="D510" s="288" t="s">
        <v>459</v>
      </c>
      <c r="E510" s="288" t="s">
        <v>377</v>
      </c>
      <c r="F510" s="286" t="s">
        <v>246</v>
      </c>
      <c r="G510" s="145"/>
      <c r="H510" s="14">
        <f>SUM(H512:H516)</f>
        <v>7333.8</v>
      </c>
      <c r="I510" s="14" t="e">
        <f t="shared" si="5"/>
        <v>#DIV/0!</v>
      </c>
      <c r="J510"/>
    </row>
    <row r="511" spans="1:10" ht="28.5" hidden="1">
      <c r="A511" s="239" t="s">
        <v>378</v>
      </c>
      <c r="B511" s="217"/>
      <c r="C511" s="292" t="s">
        <v>123</v>
      </c>
      <c r="D511" s="288" t="s">
        <v>459</v>
      </c>
      <c r="E511" s="288" t="s">
        <v>379</v>
      </c>
      <c r="F511" s="286"/>
      <c r="G511" s="145">
        <f>SUM(G514+G512)</f>
        <v>0</v>
      </c>
      <c r="H511" s="14"/>
      <c r="I511" s="14"/>
      <c r="J511"/>
    </row>
    <row r="512" spans="1:10" ht="15" hidden="1">
      <c r="A512" s="239" t="s">
        <v>245</v>
      </c>
      <c r="B512" s="217"/>
      <c r="C512" s="292" t="s">
        <v>123</v>
      </c>
      <c r="D512" s="288" t="s">
        <v>459</v>
      </c>
      <c r="E512" s="288" t="s">
        <v>379</v>
      </c>
      <c r="F512" s="286" t="s">
        <v>246</v>
      </c>
      <c r="G512" s="145"/>
      <c r="H512" s="14"/>
      <c r="I512" s="14" t="e">
        <f aca="true" t="shared" si="7" ref="I512:I520">SUM(H512/G518*100)</f>
        <v>#DIV/0!</v>
      </c>
      <c r="J512"/>
    </row>
    <row r="513" spans="1:10" ht="42.75" hidden="1">
      <c r="A513" s="239" t="s">
        <v>380</v>
      </c>
      <c r="B513" s="217"/>
      <c r="C513" s="292" t="s">
        <v>123</v>
      </c>
      <c r="D513" s="288" t="s">
        <v>459</v>
      </c>
      <c r="E513" s="288" t="s">
        <v>381</v>
      </c>
      <c r="F513" s="286"/>
      <c r="G513" s="145">
        <f>SUM(G514)</f>
        <v>0</v>
      </c>
      <c r="H513" s="14">
        <f>SUM(H517+H522)+H514</f>
        <v>4633.8</v>
      </c>
      <c r="I513" s="14">
        <f t="shared" si="7"/>
        <v>56.83900643974241</v>
      </c>
      <c r="J513"/>
    </row>
    <row r="514" spans="1:10" ht="15" hidden="1">
      <c r="A514" s="239" t="s">
        <v>245</v>
      </c>
      <c r="B514" s="217"/>
      <c r="C514" s="292" t="s">
        <v>123</v>
      </c>
      <c r="D514" s="288" t="s">
        <v>459</v>
      </c>
      <c r="E514" s="288" t="s">
        <v>381</v>
      </c>
      <c r="F514" s="286" t="s">
        <v>246</v>
      </c>
      <c r="G514" s="145"/>
      <c r="H514" s="14">
        <f>SUM(H515)</f>
        <v>900</v>
      </c>
      <c r="I514" s="14" t="e">
        <f t="shared" si="7"/>
        <v>#DIV/0!</v>
      </c>
      <c r="J514"/>
    </row>
    <row r="515" spans="1:10" ht="15" hidden="1">
      <c r="A515" s="239" t="s">
        <v>127</v>
      </c>
      <c r="B515" s="202"/>
      <c r="C515" s="292" t="s">
        <v>123</v>
      </c>
      <c r="D515" s="288" t="s">
        <v>459</v>
      </c>
      <c r="E515" s="288" t="s">
        <v>128</v>
      </c>
      <c r="F515" s="285"/>
      <c r="G515" s="145">
        <f>SUM(G516)</f>
        <v>0</v>
      </c>
      <c r="H515" s="14">
        <f>SUM(H516)</f>
        <v>900</v>
      </c>
      <c r="I515" s="14" t="e">
        <f t="shared" si="7"/>
        <v>#DIV/0!</v>
      </c>
      <c r="J515"/>
    </row>
    <row r="516" spans="1:10" ht="42.75" hidden="1">
      <c r="A516" s="233" t="s">
        <v>207</v>
      </c>
      <c r="B516" s="202"/>
      <c r="C516" s="292" t="s">
        <v>123</v>
      </c>
      <c r="D516" s="288" t="s">
        <v>459</v>
      </c>
      <c r="E516" s="288" t="s">
        <v>297</v>
      </c>
      <c r="F516" s="285"/>
      <c r="G516" s="145">
        <f>SUM(G517:G518)</f>
        <v>0</v>
      </c>
      <c r="H516" s="14">
        <v>900</v>
      </c>
      <c r="I516" s="14" t="e">
        <f t="shared" si="7"/>
        <v>#DIV/0!</v>
      </c>
      <c r="J516"/>
    </row>
    <row r="517" spans="1:10" ht="15" hidden="1">
      <c r="A517" s="239" t="s">
        <v>57</v>
      </c>
      <c r="B517" s="202"/>
      <c r="C517" s="292" t="s">
        <v>123</v>
      </c>
      <c r="D517" s="288" t="s">
        <v>459</v>
      </c>
      <c r="E517" s="288" t="s">
        <v>297</v>
      </c>
      <c r="F517" s="285" t="s">
        <v>246</v>
      </c>
      <c r="G517" s="145"/>
      <c r="H517" s="14">
        <f>SUM(H518)</f>
        <v>3733.8</v>
      </c>
      <c r="I517" s="14">
        <f t="shared" si="7"/>
        <v>53.704422869471415</v>
      </c>
      <c r="J517"/>
    </row>
    <row r="518" spans="1:10" ht="28.5" hidden="1">
      <c r="A518" s="239" t="s">
        <v>142</v>
      </c>
      <c r="B518" s="202"/>
      <c r="C518" s="292" t="s">
        <v>123</v>
      </c>
      <c r="D518" s="288" t="s">
        <v>459</v>
      </c>
      <c r="E518" s="288" t="s">
        <v>297</v>
      </c>
      <c r="F518" s="285" t="s">
        <v>82</v>
      </c>
      <c r="G518" s="145"/>
      <c r="H518" s="14">
        <f>SUM(H519)</f>
        <v>3733.8</v>
      </c>
      <c r="I518" s="14">
        <f t="shared" si="7"/>
        <v>53.704422869471415</v>
      </c>
      <c r="J518"/>
    </row>
    <row r="519" spans="1:9" ht="15">
      <c r="A519" s="235" t="s">
        <v>234</v>
      </c>
      <c r="B519" s="202"/>
      <c r="C519" s="292" t="s">
        <v>123</v>
      </c>
      <c r="D519" s="288" t="s">
        <v>121</v>
      </c>
      <c r="E519" s="288"/>
      <c r="F519" s="285"/>
      <c r="G519" s="145">
        <f>SUM(G523+G528+G521)</f>
        <v>8152.5</v>
      </c>
      <c r="H519" s="14">
        <v>3733.8</v>
      </c>
      <c r="I519" s="14">
        <f t="shared" si="7"/>
        <v>58.91039901547782</v>
      </c>
    </row>
    <row r="520" spans="1:10" ht="15" hidden="1">
      <c r="A520" s="233" t="s">
        <v>406</v>
      </c>
      <c r="B520" s="202"/>
      <c r="C520" s="292" t="s">
        <v>123</v>
      </c>
      <c r="D520" s="288" t="s">
        <v>121</v>
      </c>
      <c r="E520" s="288" t="s">
        <v>408</v>
      </c>
      <c r="F520" s="285"/>
      <c r="G520" s="145">
        <f>SUM(G521)</f>
        <v>0</v>
      </c>
      <c r="H520" s="14">
        <f>SUM(H521)</f>
        <v>0</v>
      </c>
      <c r="I520" s="14">
        <f t="shared" si="7"/>
        <v>0</v>
      </c>
      <c r="J520"/>
    </row>
    <row r="521" spans="1:10" ht="15" hidden="1">
      <c r="A521" s="233" t="s">
        <v>386</v>
      </c>
      <c r="B521" s="202"/>
      <c r="C521" s="292" t="s">
        <v>123</v>
      </c>
      <c r="D521" s="288" t="s">
        <v>121</v>
      </c>
      <c r="E521" s="288" t="s">
        <v>387</v>
      </c>
      <c r="F521" s="285"/>
      <c r="G521" s="145">
        <f>SUM(G522)</f>
        <v>0</v>
      </c>
      <c r="H521" s="14"/>
      <c r="I521" s="14"/>
      <c r="J521"/>
    </row>
    <row r="522" spans="1:10" ht="42.75" hidden="1">
      <c r="A522" s="233" t="s">
        <v>307</v>
      </c>
      <c r="B522" s="202"/>
      <c r="C522" s="292" t="s">
        <v>123</v>
      </c>
      <c r="D522" s="288" t="s">
        <v>121</v>
      </c>
      <c r="E522" s="288" t="s">
        <v>387</v>
      </c>
      <c r="F522" s="285" t="s">
        <v>308</v>
      </c>
      <c r="G522" s="145"/>
      <c r="H522" s="14">
        <f>SUM(H525)</f>
        <v>0</v>
      </c>
      <c r="I522" s="14">
        <f>SUM(H522/G528*100)</f>
        <v>0</v>
      </c>
      <c r="J522"/>
    </row>
    <row r="523" spans="1:10" ht="57">
      <c r="A523" s="235" t="s">
        <v>290</v>
      </c>
      <c r="B523" s="202"/>
      <c r="C523" s="292" t="s">
        <v>123</v>
      </c>
      <c r="D523" s="288" t="s">
        <v>121</v>
      </c>
      <c r="E523" s="288" t="s">
        <v>291</v>
      </c>
      <c r="F523" s="285"/>
      <c r="G523" s="145">
        <f>SUM(G524)</f>
        <v>6952.5</v>
      </c>
      <c r="H523" s="14"/>
      <c r="I523" s="14"/>
      <c r="J523"/>
    </row>
    <row r="524" spans="1:10" ht="28.5">
      <c r="A524" s="233" t="s">
        <v>56</v>
      </c>
      <c r="B524" s="202"/>
      <c r="C524" s="292" t="s">
        <v>123</v>
      </c>
      <c r="D524" s="288" t="s">
        <v>121</v>
      </c>
      <c r="E524" s="288" t="s">
        <v>292</v>
      </c>
      <c r="F524" s="285"/>
      <c r="G524" s="145">
        <f>SUM(G525:G527)</f>
        <v>6952.5</v>
      </c>
      <c r="H524" s="14"/>
      <c r="I524" s="14"/>
      <c r="J524"/>
    </row>
    <row r="525" spans="1:10" ht="42.75">
      <c r="A525" s="233" t="s">
        <v>494</v>
      </c>
      <c r="B525" s="217"/>
      <c r="C525" s="292" t="s">
        <v>123</v>
      </c>
      <c r="D525" s="288" t="s">
        <v>121</v>
      </c>
      <c r="E525" s="288" t="s">
        <v>292</v>
      </c>
      <c r="F525" s="286" t="s">
        <v>495</v>
      </c>
      <c r="G525" s="145">
        <v>6338.1</v>
      </c>
      <c r="H525" s="14">
        <f>SUM(H526:H530)</f>
        <v>0</v>
      </c>
      <c r="I525" s="14" t="e">
        <f>SUM(H525/G531*100)</f>
        <v>#DIV/0!</v>
      </c>
      <c r="J525">
        <f>SUM('ведомствен.2014'!G874)</f>
        <v>6338.1</v>
      </c>
    </row>
    <row r="526" spans="1:10" ht="15">
      <c r="A526" s="233" t="s">
        <v>499</v>
      </c>
      <c r="B526" s="217"/>
      <c r="C526" s="292" t="s">
        <v>123</v>
      </c>
      <c r="D526" s="288" t="s">
        <v>121</v>
      </c>
      <c r="E526" s="288" t="s">
        <v>292</v>
      </c>
      <c r="F526" s="286" t="s">
        <v>119</v>
      </c>
      <c r="G526" s="145">
        <v>610</v>
      </c>
      <c r="H526" s="14"/>
      <c r="I526" s="14" t="e">
        <f>SUM(H526/G532*100)</f>
        <v>#DIV/0!</v>
      </c>
      <c r="J526">
        <f>SUM('ведомствен.2014'!G875)</f>
        <v>610</v>
      </c>
    </row>
    <row r="527" spans="1:10" ht="15">
      <c r="A527" s="233" t="s">
        <v>500</v>
      </c>
      <c r="B527" s="217"/>
      <c r="C527" s="292" t="s">
        <v>123</v>
      </c>
      <c r="D527" s="288" t="s">
        <v>121</v>
      </c>
      <c r="E527" s="288" t="s">
        <v>292</v>
      </c>
      <c r="F527" s="286" t="s">
        <v>175</v>
      </c>
      <c r="G527" s="145">
        <v>4.4</v>
      </c>
      <c r="H527" s="18"/>
      <c r="I527" s="14" t="e">
        <f>SUM(H527/G533*100)</f>
        <v>#DIV/0!</v>
      </c>
      <c r="J527">
        <f>SUM('ведомствен.2014'!G876)</f>
        <v>4.4</v>
      </c>
    </row>
    <row r="528" spans="1:10" ht="15">
      <c r="A528" s="122" t="s">
        <v>748</v>
      </c>
      <c r="B528" s="202"/>
      <c r="C528" s="292" t="s">
        <v>123</v>
      </c>
      <c r="D528" s="288" t="s">
        <v>121</v>
      </c>
      <c r="E528" s="288" t="s">
        <v>128</v>
      </c>
      <c r="F528" s="285"/>
      <c r="G528" s="145">
        <f>SUM(G531)+G534+G529</f>
        <v>1200</v>
      </c>
      <c r="H528" s="18"/>
      <c r="I528" s="14"/>
      <c r="J528"/>
    </row>
    <row r="529" spans="1:9" ht="42.75" hidden="1">
      <c r="A529" s="233" t="s">
        <v>207</v>
      </c>
      <c r="B529" s="202"/>
      <c r="C529" s="292" t="s">
        <v>123</v>
      </c>
      <c r="D529" s="288" t="s">
        <v>121</v>
      </c>
      <c r="E529" s="288" t="s">
        <v>297</v>
      </c>
      <c r="F529" s="285"/>
      <c r="G529" s="145">
        <f>SUM(G530)</f>
        <v>0</v>
      </c>
      <c r="H529" s="14"/>
      <c r="I529" s="14">
        <f aca="true" t="shared" si="8" ref="I529:I548">SUM(H529/G535*100)</f>
        <v>0</v>
      </c>
    </row>
    <row r="530" spans="1:9" ht="15" hidden="1">
      <c r="A530" s="239" t="s">
        <v>57</v>
      </c>
      <c r="B530" s="202"/>
      <c r="C530" s="292" t="s">
        <v>123</v>
      </c>
      <c r="D530" s="288" t="s">
        <v>121</v>
      </c>
      <c r="E530" s="288" t="s">
        <v>297</v>
      </c>
      <c r="F530" s="285" t="s">
        <v>246</v>
      </c>
      <c r="G530" s="145"/>
      <c r="H530" s="18"/>
      <c r="I530" s="14">
        <f t="shared" si="8"/>
        <v>0</v>
      </c>
    </row>
    <row r="531" spans="1:9" s="26" customFormat="1" ht="28.5" hidden="1">
      <c r="A531" s="233" t="s">
        <v>482</v>
      </c>
      <c r="B531" s="202"/>
      <c r="C531" s="292" t="s">
        <v>123</v>
      </c>
      <c r="D531" s="288" t="s">
        <v>121</v>
      </c>
      <c r="E531" s="288" t="s">
        <v>309</v>
      </c>
      <c r="F531" s="285"/>
      <c r="G531" s="145">
        <f>SUM(G532:G533)</f>
        <v>0</v>
      </c>
      <c r="H531" s="18">
        <v>2421.6</v>
      </c>
      <c r="I531" s="14" t="e">
        <f t="shared" si="8"/>
        <v>#DIV/0!</v>
      </c>
    </row>
    <row r="532" spans="1:10" ht="57" hidden="1">
      <c r="A532" s="239" t="s">
        <v>95</v>
      </c>
      <c r="B532" s="202"/>
      <c r="C532" s="292" t="s">
        <v>123</v>
      </c>
      <c r="D532" s="288" t="s">
        <v>121</v>
      </c>
      <c r="E532" s="288" t="s">
        <v>309</v>
      </c>
      <c r="F532" s="285" t="s">
        <v>308</v>
      </c>
      <c r="G532" s="145"/>
      <c r="H532" s="14" t="e">
        <f>SUM(H533)+#REF!</f>
        <v>#REF!</v>
      </c>
      <c r="I532" s="14" t="e">
        <f t="shared" si="8"/>
        <v>#REF!</v>
      </c>
      <c r="J532"/>
    </row>
    <row r="533" spans="1:10" ht="28.5" hidden="1">
      <c r="A533" s="233" t="s">
        <v>156</v>
      </c>
      <c r="B533" s="202"/>
      <c r="C533" s="292" t="s">
        <v>123</v>
      </c>
      <c r="D533" s="288" t="s">
        <v>121</v>
      </c>
      <c r="E533" s="288" t="s">
        <v>309</v>
      </c>
      <c r="F533" s="285" t="s">
        <v>82</v>
      </c>
      <c r="G533" s="145"/>
      <c r="H533" s="14" t="e">
        <f>SUM(H534)</f>
        <v>#REF!</v>
      </c>
      <c r="I533" s="14" t="e">
        <f t="shared" si="8"/>
        <v>#REF!</v>
      </c>
      <c r="J533"/>
    </row>
    <row r="534" spans="1:10" ht="15">
      <c r="A534" s="233" t="s">
        <v>515</v>
      </c>
      <c r="B534" s="202"/>
      <c r="C534" s="292" t="s">
        <v>123</v>
      </c>
      <c r="D534" s="288" t="s">
        <v>121</v>
      </c>
      <c r="E534" s="288" t="s">
        <v>310</v>
      </c>
      <c r="F534" s="285"/>
      <c r="G534" s="145">
        <f>SUM(G535:G537)</f>
        <v>1200</v>
      </c>
      <c r="H534" s="14" t="e">
        <f>SUM(#REF!)</f>
        <v>#REF!</v>
      </c>
      <c r="I534" s="14" t="e">
        <f t="shared" si="8"/>
        <v>#REF!</v>
      </c>
      <c r="J534"/>
    </row>
    <row r="535" spans="1:11" s="13" customFormat="1" ht="42.75">
      <c r="A535" s="233" t="s">
        <v>494</v>
      </c>
      <c r="B535" s="202"/>
      <c r="C535" s="292" t="s">
        <v>123</v>
      </c>
      <c r="D535" s="288" t="s">
        <v>121</v>
      </c>
      <c r="E535" s="288" t="s">
        <v>310</v>
      </c>
      <c r="F535" s="285" t="s">
        <v>495</v>
      </c>
      <c r="G535" s="145">
        <v>200</v>
      </c>
      <c r="H535" s="17" t="e">
        <f>SUM(H536+#REF!+H596+H601+#REF!+#REF!)</f>
        <v>#REF!</v>
      </c>
      <c r="I535" s="17" t="e">
        <f t="shared" si="8"/>
        <v>#REF!</v>
      </c>
      <c r="J535">
        <f>SUM('ведомствен.2014'!G884)</f>
        <v>200</v>
      </c>
      <c r="K535" s="13">
        <f>SUM(J536:J601)</f>
        <v>64033.50000000001</v>
      </c>
    </row>
    <row r="536" spans="1:10" ht="15">
      <c r="A536" s="233" t="s">
        <v>499</v>
      </c>
      <c r="B536" s="202"/>
      <c r="C536" s="292" t="s">
        <v>123</v>
      </c>
      <c r="D536" s="288" t="s">
        <v>121</v>
      </c>
      <c r="E536" s="288" t="s">
        <v>310</v>
      </c>
      <c r="F536" s="285" t="s">
        <v>119</v>
      </c>
      <c r="G536" s="145">
        <v>1000</v>
      </c>
      <c r="H536" s="14">
        <f>SUM(H541+H547)</f>
        <v>49456.8</v>
      </c>
      <c r="I536" s="14">
        <f t="shared" si="8"/>
        <v>538.4694110858275</v>
      </c>
      <c r="J536">
        <f>SUM('ведомствен.2014'!G885)</f>
        <v>1000</v>
      </c>
    </row>
    <row r="537" spans="1:10" ht="15" hidden="1">
      <c r="A537" s="233" t="s">
        <v>500</v>
      </c>
      <c r="B537" s="202"/>
      <c r="C537" s="292" t="s">
        <v>123</v>
      </c>
      <c r="D537" s="288" t="s">
        <v>121</v>
      </c>
      <c r="E537" s="288" t="s">
        <v>310</v>
      </c>
      <c r="F537" s="285" t="s">
        <v>175</v>
      </c>
      <c r="G537" s="145"/>
      <c r="H537" s="14">
        <f>SUM(H538)</f>
        <v>0</v>
      </c>
      <c r="I537" s="14">
        <f aca="true" t="shared" si="9" ref="I537:I542">SUM(H537/G547*100)</f>
        <v>0</v>
      </c>
      <c r="J537"/>
    </row>
    <row r="538" spans="1:10" ht="28.5" hidden="1">
      <c r="A538" s="233" t="s">
        <v>156</v>
      </c>
      <c r="B538" s="202"/>
      <c r="C538" s="292" t="s">
        <v>123</v>
      </c>
      <c r="D538" s="288" t="s">
        <v>121</v>
      </c>
      <c r="E538" s="288" t="s">
        <v>310</v>
      </c>
      <c r="F538" s="285" t="s">
        <v>82</v>
      </c>
      <c r="G538" s="145"/>
      <c r="H538" s="14">
        <f>SUM(H539)</f>
        <v>0</v>
      </c>
      <c r="I538" s="14">
        <f t="shared" si="9"/>
        <v>0</v>
      </c>
      <c r="J538"/>
    </row>
    <row r="539" spans="1:10" ht="42.75" hidden="1">
      <c r="A539" s="233" t="s">
        <v>494</v>
      </c>
      <c r="B539" s="202"/>
      <c r="C539" s="292" t="s">
        <v>123</v>
      </c>
      <c r="D539" s="288" t="s">
        <v>121</v>
      </c>
      <c r="E539" s="288" t="s">
        <v>310</v>
      </c>
      <c r="F539" s="285" t="s">
        <v>495</v>
      </c>
      <c r="G539" s="145"/>
      <c r="H539" s="14"/>
      <c r="I539" s="14" t="e">
        <f t="shared" si="9"/>
        <v>#DIV/0!</v>
      </c>
      <c r="J539"/>
    </row>
    <row r="540" spans="1:10" ht="15" hidden="1">
      <c r="A540" s="233" t="s">
        <v>499</v>
      </c>
      <c r="B540" s="202"/>
      <c r="C540" s="292" t="s">
        <v>123</v>
      </c>
      <c r="D540" s="288" t="s">
        <v>121</v>
      </c>
      <c r="E540" s="288" t="s">
        <v>310</v>
      </c>
      <c r="F540" s="285" t="s">
        <v>119</v>
      </c>
      <c r="G540" s="145"/>
      <c r="H540" s="14">
        <f>SUM(H541)</f>
        <v>146.8</v>
      </c>
      <c r="I540" s="14" t="e">
        <f t="shared" si="9"/>
        <v>#DIV/0!</v>
      </c>
      <c r="J540"/>
    </row>
    <row r="541" spans="1:12" ht="15">
      <c r="A541" s="237" t="s">
        <v>326</v>
      </c>
      <c r="B541" s="202"/>
      <c r="C541" s="287" t="s">
        <v>299</v>
      </c>
      <c r="D541" s="334"/>
      <c r="E541" s="334"/>
      <c r="F541" s="335"/>
      <c r="G541" s="147">
        <f>SUM(G542+G557+G583+G594)+G580</f>
        <v>71295.9</v>
      </c>
      <c r="H541" s="14">
        <f>SUM(H542)</f>
        <v>146.8</v>
      </c>
      <c r="I541" s="14" t="e">
        <f t="shared" si="9"/>
        <v>#DIV/0!</v>
      </c>
      <c r="J541"/>
      <c r="K541" s="36">
        <f>SUM(J542:J604)</f>
        <v>71295.9</v>
      </c>
      <c r="L541">
        <f>SUM('ведомствен.2014'!G894)</f>
        <v>71295.9</v>
      </c>
    </row>
    <row r="542" spans="1:12" ht="15">
      <c r="A542" s="233" t="s">
        <v>177</v>
      </c>
      <c r="B542" s="198"/>
      <c r="C542" s="292" t="s">
        <v>299</v>
      </c>
      <c r="D542" s="288" t="s">
        <v>459</v>
      </c>
      <c r="E542" s="288"/>
      <c r="F542" s="285"/>
      <c r="G542" s="145">
        <f>SUM(G547)+G543+G545</f>
        <v>9184.7</v>
      </c>
      <c r="H542" s="14">
        <v>146.8</v>
      </c>
      <c r="I542" s="14" t="e">
        <f t="shared" si="9"/>
        <v>#DIV/0!</v>
      </c>
      <c r="J542"/>
      <c r="K542" s="458">
        <f>SUM(G541-K541)</f>
        <v>0</v>
      </c>
      <c r="L542" s="36">
        <f>SUM(L541-K541)</f>
        <v>0</v>
      </c>
    </row>
    <row r="543" spans="1:12" ht="15">
      <c r="A543" s="117" t="s">
        <v>386</v>
      </c>
      <c r="B543" s="65"/>
      <c r="C543" s="288" t="s">
        <v>299</v>
      </c>
      <c r="D543" s="288" t="s">
        <v>459</v>
      </c>
      <c r="E543" s="283" t="s">
        <v>506</v>
      </c>
      <c r="F543" s="285"/>
      <c r="G543" s="266">
        <f>SUM(G544)</f>
        <v>930.2</v>
      </c>
      <c r="H543" s="14"/>
      <c r="I543" s="14"/>
      <c r="J543"/>
      <c r="L543" s="36"/>
    </row>
    <row r="544" spans="1:12" ht="28.5">
      <c r="A544" s="122" t="s">
        <v>516</v>
      </c>
      <c r="B544" s="65"/>
      <c r="C544" s="288" t="s">
        <v>299</v>
      </c>
      <c r="D544" s="288" t="s">
        <v>459</v>
      </c>
      <c r="E544" s="283" t="s">
        <v>506</v>
      </c>
      <c r="F544" s="285" t="s">
        <v>512</v>
      </c>
      <c r="G544" s="266">
        <v>930.2</v>
      </c>
      <c r="H544" s="14"/>
      <c r="I544" s="14"/>
      <c r="J544">
        <f>SUM('ведомствен.2014'!G897)</f>
        <v>930.2</v>
      </c>
      <c r="L544" s="36"/>
    </row>
    <row r="545" spans="1:12" ht="28.5">
      <c r="A545" s="121" t="s">
        <v>785</v>
      </c>
      <c r="B545" s="298"/>
      <c r="C545" s="288" t="s">
        <v>299</v>
      </c>
      <c r="D545" s="288" t="s">
        <v>459</v>
      </c>
      <c r="E545" s="299" t="s">
        <v>1050</v>
      </c>
      <c r="F545" s="300"/>
      <c r="G545" s="343">
        <f>SUM(G546)</f>
        <v>836.9</v>
      </c>
      <c r="H545" s="14"/>
      <c r="I545" s="14"/>
      <c r="J545"/>
      <c r="L545" s="36"/>
    </row>
    <row r="546" spans="1:12" ht="28.5">
      <c r="A546" s="122" t="s">
        <v>516</v>
      </c>
      <c r="B546" s="298"/>
      <c r="C546" s="288" t="s">
        <v>299</v>
      </c>
      <c r="D546" s="288" t="s">
        <v>459</v>
      </c>
      <c r="E546" s="299" t="s">
        <v>1050</v>
      </c>
      <c r="F546" s="300" t="s">
        <v>512</v>
      </c>
      <c r="G546" s="343">
        <v>836.9</v>
      </c>
      <c r="H546" s="14"/>
      <c r="I546" s="14"/>
      <c r="J546">
        <f>SUM('ведомствен.2014'!G899)</f>
        <v>836.9</v>
      </c>
      <c r="L546" s="36"/>
    </row>
    <row r="547" spans="1:10" ht="15">
      <c r="A547" s="233" t="s">
        <v>201</v>
      </c>
      <c r="B547" s="198"/>
      <c r="C547" s="292" t="s">
        <v>299</v>
      </c>
      <c r="D547" s="288" t="s">
        <v>459</v>
      </c>
      <c r="E547" s="288" t="s">
        <v>181</v>
      </c>
      <c r="F547" s="285"/>
      <c r="G547" s="146">
        <f>SUM(G548)</f>
        <v>7417.6</v>
      </c>
      <c r="H547" s="14">
        <f>SUM(H548)</f>
        <v>49310</v>
      </c>
      <c r="I547" s="14" t="e">
        <f t="shared" si="8"/>
        <v>#DIV/0!</v>
      </c>
      <c r="J547"/>
    </row>
    <row r="548" spans="1:10" ht="28.5">
      <c r="A548" s="233" t="s">
        <v>94</v>
      </c>
      <c r="B548" s="202"/>
      <c r="C548" s="292" t="s">
        <v>299</v>
      </c>
      <c r="D548" s="288" t="s">
        <v>459</v>
      </c>
      <c r="E548" s="288" t="s">
        <v>83</v>
      </c>
      <c r="F548" s="285"/>
      <c r="G548" s="145">
        <f>SUM(G556)+G549</f>
        <v>7417.6</v>
      </c>
      <c r="H548" s="14">
        <f>SUM(H555:H557)</f>
        <v>49310</v>
      </c>
      <c r="I548" s="14" t="e">
        <f t="shared" si="8"/>
        <v>#DIV/0!</v>
      </c>
      <c r="J548"/>
    </row>
    <row r="549" spans="1:9" ht="28.5" hidden="1">
      <c r="A549" s="239" t="s">
        <v>156</v>
      </c>
      <c r="B549" s="202"/>
      <c r="C549" s="292" t="s">
        <v>299</v>
      </c>
      <c r="D549" s="288" t="s">
        <v>459</v>
      </c>
      <c r="E549" s="288" t="s">
        <v>140</v>
      </c>
      <c r="F549" s="285"/>
      <c r="G549" s="145">
        <f>SUM(G551+G553)</f>
        <v>0</v>
      </c>
      <c r="H549" s="14"/>
      <c r="I549" s="14"/>
    </row>
    <row r="550" spans="1:9" ht="28.5" hidden="1">
      <c r="A550" s="239" t="s">
        <v>142</v>
      </c>
      <c r="B550" s="202"/>
      <c r="C550" s="292" t="s">
        <v>299</v>
      </c>
      <c r="D550" s="288" t="s">
        <v>459</v>
      </c>
      <c r="E550" s="288" t="s">
        <v>140</v>
      </c>
      <c r="F550" s="285" t="s">
        <v>82</v>
      </c>
      <c r="G550" s="145"/>
      <c r="H550" s="14"/>
      <c r="I550" s="14"/>
    </row>
    <row r="551" spans="1:9" ht="28.5" hidden="1">
      <c r="A551" s="239" t="s">
        <v>413</v>
      </c>
      <c r="B551" s="202"/>
      <c r="C551" s="292" t="s">
        <v>299</v>
      </c>
      <c r="D551" s="288" t="s">
        <v>459</v>
      </c>
      <c r="E551" s="288" t="s">
        <v>141</v>
      </c>
      <c r="F551" s="285"/>
      <c r="G551" s="145">
        <f>SUM(G552)</f>
        <v>0</v>
      </c>
      <c r="H551" s="14"/>
      <c r="I551" s="14"/>
    </row>
    <row r="552" spans="1:9" ht="28.5" hidden="1">
      <c r="A552" s="239" t="s">
        <v>142</v>
      </c>
      <c r="B552" s="202"/>
      <c r="C552" s="292" t="s">
        <v>299</v>
      </c>
      <c r="D552" s="288" t="s">
        <v>459</v>
      </c>
      <c r="E552" s="288" t="s">
        <v>141</v>
      </c>
      <c r="F552" s="285" t="s">
        <v>82</v>
      </c>
      <c r="G552" s="145"/>
      <c r="H552" s="14"/>
      <c r="I552" s="14"/>
    </row>
    <row r="553" spans="1:10" ht="28.5" hidden="1">
      <c r="A553" s="233" t="s">
        <v>214</v>
      </c>
      <c r="B553" s="202"/>
      <c r="C553" s="292" t="s">
        <v>299</v>
      </c>
      <c r="D553" s="288" t="s">
        <v>459</v>
      </c>
      <c r="E553" s="288" t="s">
        <v>217</v>
      </c>
      <c r="F553" s="285"/>
      <c r="G553" s="145">
        <f>SUM(G554)</f>
        <v>0</v>
      </c>
      <c r="H553" s="14"/>
      <c r="I553" s="14"/>
      <c r="J553"/>
    </row>
    <row r="554" spans="1:10" ht="28.5" hidden="1">
      <c r="A554" s="233" t="s">
        <v>156</v>
      </c>
      <c r="B554" s="202"/>
      <c r="C554" s="292" t="s">
        <v>299</v>
      </c>
      <c r="D554" s="288" t="s">
        <v>459</v>
      </c>
      <c r="E554" s="288" t="s">
        <v>217</v>
      </c>
      <c r="F554" s="285" t="s">
        <v>82</v>
      </c>
      <c r="G554" s="145"/>
      <c r="H554" s="14"/>
      <c r="I554" s="14"/>
      <c r="J554"/>
    </row>
    <row r="555" spans="1:9" ht="28.5">
      <c r="A555" s="233" t="s">
        <v>301</v>
      </c>
      <c r="B555" s="202"/>
      <c r="C555" s="292" t="s">
        <v>299</v>
      </c>
      <c r="D555" s="288" t="s">
        <v>459</v>
      </c>
      <c r="E555" s="288" t="s">
        <v>300</v>
      </c>
      <c r="F555" s="285"/>
      <c r="G555" s="145">
        <f>SUM(G556)</f>
        <v>7417.6</v>
      </c>
      <c r="H555" s="14">
        <v>49310</v>
      </c>
      <c r="I555" s="14" t="e">
        <f>SUM(H555/G563*100)</f>
        <v>#DIV/0!</v>
      </c>
    </row>
    <row r="556" spans="1:10" ht="28.5">
      <c r="A556" s="239" t="s">
        <v>516</v>
      </c>
      <c r="B556" s="217"/>
      <c r="C556" s="292" t="s">
        <v>299</v>
      </c>
      <c r="D556" s="288" t="s">
        <v>459</v>
      </c>
      <c r="E556" s="288" t="s">
        <v>300</v>
      </c>
      <c r="F556" s="286" t="s">
        <v>512</v>
      </c>
      <c r="G556" s="145">
        <v>7417.6</v>
      </c>
      <c r="H556" s="14"/>
      <c r="I556" s="14" t="e">
        <f>SUM(H556/G564*100)</f>
        <v>#DIV/0!</v>
      </c>
      <c r="J556" s="36">
        <f>SUM('ведомствен.2014'!G909)</f>
        <v>7417.6</v>
      </c>
    </row>
    <row r="557" spans="1:10" ht="15">
      <c r="A557" s="233" t="s">
        <v>240</v>
      </c>
      <c r="B557" s="198"/>
      <c r="C557" s="292" t="s">
        <v>299</v>
      </c>
      <c r="D557" s="288" t="s">
        <v>461</v>
      </c>
      <c r="E557" s="288"/>
      <c r="F557" s="285"/>
      <c r="G557" s="145">
        <f>SUM(G560+G569)+G558</f>
        <v>22951.699999999997</v>
      </c>
      <c r="H557" s="14"/>
      <c r="I557" s="14" t="e">
        <f>SUM(H557/G565*100)</f>
        <v>#DIV/0!</v>
      </c>
      <c r="J557"/>
    </row>
    <row r="558" spans="1:10" ht="28.5">
      <c r="A558" s="121" t="s">
        <v>785</v>
      </c>
      <c r="B558" s="298"/>
      <c r="C558" s="288" t="s">
        <v>299</v>
      </c>
      <c r="D558" s="288" t="s">
        <v>461</v>
      </c>
      <c r="E558" s="299" t="s">
        <v>1050</v>
      </c>
      <c r="F558" s="300"/>
      <c r="G558" s="343">
        <f>SUM(G559)</f>
        <v>247</v>
      </c>
      <c r="H558" s="14"/>
      <c r="I558" s="14"/>
      <c r="J558"/>
    </row>
    <row r="559" spans="1:10" ht="28.5">
      <c r="A559" s="122" t="s">
        <v>516</v>
      </c>
      <c r="B559" s="298"/>
      <c r="C559" s="288" t="s">
        <v>299</v>
      </c>
      <c r="D559" s="288" t="s">
        <v>461</v>
      </c>
      <c r="E559" s="299" t="s">
        <v>1050</v>
      </c>
      <c r="F559" s="300" t="s">
        <v>512</v>
      </c>
      <c r="G559" s="343">
        <v>247</v>
      </c>
      <c r="H559" s="14"/>
      <c r="I559" s="14"/>
      <c r="J559">
        <f>SUM('ведомствен.2014'!G912)</f>
        <v>247</v>
      </c>
    </row>
    <row r="560" spans="1:10" ht="15">
      <c r="A560" s="233" t="s">
        <v>201</v>
      </c>
      <c r="B560" s="198"/>
      <c r="C560" s="292" t="s">
        <v>299</v>
      </c>
      <c r="D560" s="288" t="s">
        <v>461</v>
      </c>
      <c r="E560" s="288" t="s">
        <v>181</v>
      </c>
      <c r="F560" s="285"/>
      <c r="G560" s="145">
        <f>SUM(G561)</f>
        <v>10009.3</v>
      </c>
      <c r="H560" s="14">
        <f>SUM(H561)</f>
        <v>21823.6</v>
      </c>
      <c r="I560" s="14" t="e">
        <f>SUM(H560/G566*100)</f>
        <v>#DIV/0!</v>
      </c>
      <c r="J560"/>
    </row>
    <row r="561" spans="1:10" ht="28.5">
      <c r="A561" s="233" t="s">
        <v>94</v>
      </c>
      <c r="B561" s="202"/>
      <c r="C561" s="292" t="s">
        <v>299</v>
      </c>
      <c r="D561" s="288" t="s">
        <v>461</v>
      </c>
      <c r="E561" s="288" t="s">
        <v>83</v>
      </c>
      <c r="F561" s="285"/>
      <c r="G561" s="145">
        <f>SUM(G562+G567)</f>
        <v>10009.3</v>
      </c>
      <c r="H561" s="14">
        <f>SUM(H567:H569)</f>
        <v>21823.6</v>
      </c>
      <c r="I561" s="14">
        <f>SUM(H561/G567*100)</f>
        <v>218.03322909693983</v>
      </c>
      <c r="J561"/>
    </row>
    <row r="562" spans="1:10" ht="28.5" hidden="1">
      <c r="A562" s="239" t="s">
        <v>156</v>
      </c>
      <c r="B562" s="202"/>
      <c r="C562" s="292" t="s">
        <v>299</v>
      </c>
      <c r="D562" s="288" t="s">
        <v>461</v>
      </c>
      <c r="E562" s="288" t="s">
        <v>140</v>
      </c>
      <c r="F562" s="285"/>
      <c r="G562" s="145">
        <f>SUM(G565)+G563</f>
        <v>0</v>
      </c>
      <c r="H562" s="14"/>
      <c r="I562" s="14"/>
      <c r="J562"/>
    </row>
    <row r="563" spans="1:9" ht="28.5" hidden="1">
      <c r="A563" s="239" t="s">
        <v>413</v>
      </c>
      <c r="B563" s="202"/>
      <c r="C563" s="292" t="s">
        <v>299</v>
      </c>
      <c r="D563" s="288" t="s">
        <v>461</v>
      </c>
      <c r="E563" s="288" t="s">
        <v>141</v>
      </c>
      <c r="F563" s="285"/>
      <c r="G563" s="145">
        <f>SUM(G564)</f>
        <v>0</v>
      </c>
      <c r="H563" s="14"/>
      <c r="I563" s="14"/>
    </row>
    <row r="564" spans="1:9" ht="28.5" hidden="1">
      <c r="A564" s="239" t="s">
        <v>142</v>
      </c>
      <c r="B564" s="202"/>
      <c r="C564" s="292" t="s">
        <v>299</v>
      </c>
      <c r="D564" s="288" t="s">
        <v>461</v>
      </c>
      <c r="E564" s="288" t="s">
        <v>141</v>
      </c>
      <c r="F564" s="285" t="s">
        <v>82</v>
      </c>
      <c r="G564" s="145"/>
      <c r="H564" s="14"/>
      <c r="I564" s="14"/>
    </row>
    <row r="565" spans="1:9" ht="28.5" hidden="1">
      <c r="A565" s="233" t="s">
        <v>214</v>
      </c>
      <c r="B565" s="202"/>
      <c r="C565" s="292" t="s">
        <v>299</v>
      </c>
      <c r="D565" s="288" t="s">
        <v>461</v>
      </c>
      <c r="E565" s="288" t="s">
        <v>217</v>
      </c>
      <c r="F565" s="285"/>
      <c r="G565" s="145">
        <f>SUM(G566)</f>
        <v>0</v>
      </c>
      <c r="H565" s="14"/>
      <c r="I565" s="14"/>
    </row>
    <row r="566" spans="1:9" ht="28.5" hidden="1">
      <c r="A566" s="239" t="s">
        <v>142</v>
      </c>
      <c r="B566" s="202"/>
      <c r="C566" s="292" t="s">
        <v>299</v>
      </c>
      <c r="D566" s="288" t="s">
        <v>461</v>
      </c>
      <c r="E566" s="288" t="s">
        <v>217</v>
      </c>
      <c r="F566" s="285" t="s">
        <v>82</v>
      </c>
      <c r="G566" s="145"/>
      <c r="H566" s="14"/>
      <c r="I566" s="14"/>
    </row>
    <row r="567" spans="1:9" ht="28.5">
      <c r="A567" s="233" t="s">
        <v>301</v>
      </c>
      <c r="B567" s="202"/>
      <c r="C567" s="292" t="s">
        <v>299</v>
      </c>
      <c r="D567" s="288" t="s">
        <v>461</v>
      </c>
      <c r="E567" s="288" t="s">
        <v>300</v>
      </c>
      <c r="F567" s="285"/>
      <c r="G567" s="145">
        <f>SUM(G568)</f>
        <v>10009.3</v>
      </c>
      <c r="H567" s="14">
        <v>21823.6</v>
      </c>
      <c r="I567" s="14">
        <f>SUM(H567/G573*100)</f>
        <v>57129.842931937164</v>
      </c>
    </row>
    <row r="568" spans="1:10" ht="28.5">
      <c r="A568" s="239" t="s">
        <v>516</v>
      </c>
      <c r="B568" s="217"/>
      <c r="C568" s="292" t="s">
        <v>299</v>
      </c>
      <c r="D568" s="288" t="s">
        <v>461</v>
      </c>
      <c r="E568" s="288" t="s">
        <v>300</v>
      </c>
      <c r="F568" s="286" t="s">
        <v>512</v>
      </c>
      <c r="G568" s="145">
        <v>10009.3</v>
      </c>
      <c r="H568" s="14"/>
      <c r="I568" s="14" t="e">
        <f>SUM(H568/G574*100)</f>
        <v>#DIV/0!</v>
      </c>
      <c r="J568" s="36">
        <f>SUM('ведомствен.2014'!G921)</f>
        <v>10009.3</v>
      </c>
    </row>
    <row r="569" spans="1:10" ht="15">
      <c r="A569" s="233" t="s">
        <v>241</v>
      </c>
      <c r="B569" s="198"/>
      <c r="C569" s="292" t="s">
        <v>299</v>
      </c>
      <c r="D569" s="288" t="s">
        <v>461</v>
      </c>
      <c r="E569" s="288" t="s">
        <v>242</v>
      </c>
      <c r="F569" s="285"/>
      <c r="G569" s="145">
        <f>SUM(G570)</f>
        <v>12695.4</v>
      </c>
      <c r="H569" s="14"/>
      <c r="I569" s="14" t="e">
        <f>SUM(H569/G575*100)</f>
        <v>#DIV/0!</v>
      </c>
      <c r="J569"/>
    </row>
    <row r="570" spans="1:10" ht="28.5">
      <c r="A570" s="233" t="s">
        <v>94</v>
      </c>
      <c r="B570" s="198"/>
      <c r="C570" s="292" t="s">
        <v>299</v>
      </c>
      <c r="D570" s="288" t="s">
        <v>461</v>
      </c>
      <c r="E570" s="288" t="s">
        <v>302</v>
      </c>
      <c r="F570" s="285"/>
      <c r="G570" s="145">
        <f>SUM(G578:G578)+G571</f>
        <v>12695.4</v>
      </c>
      <c r="H570" s="14"/>
      <c r="I570" s="14"/>
      <c r="J570"/>
    </row>
    <row r="571" spans="1:10" ht="28.5">
      <c r="A571" s="239" t="s">
        <v>156</v>
      </c>
      <c r="B571" s="198"/>
      <c r="C571" s="292" t="s">
        <v>299</v>
      </c>
      <c r="D571" s="288" t="s">
        <v>461</v>
      </c>
      <c r="E571" s="288" t="s">
        <v>218</v>
      </c>
      <c r="F571" s="285"/>
      <c r="G571" s="145">
        <f>SUM(G572)+G574+G576</f>
        <v>100</v>
      </c>
      <c r="H571" s="14"/>
      <c r="I571" s="14"/>
      <c r="J571"/>
    </row>
    <row r="572" spans="1:10" ht="28.5">
      <c r="A572" s="239" t="s">
        <v>143</v>
      </c>
      <c r="B572" s="202"/>
      <c r="C572" s="292" t="s">
        <v>299</v>
      </c>
      <c r="D572" s="288" t="s">
        <v>461</v>
      </c>
      <c r="E572" s="288" t="s">
        <v>144</v>
      </c>
      <c r="F572" s="285"/>
      <c r="G572" s="145">
        <f>SUM(G573)</f>
        <v>38.2</v>
      </c>
      <c r="H572" s="14"/>
      <c r="I572" s="14"/>
      <c r="J572"/>
    </row>
    <row r="573" spans="1:10" ht="27.75" customHeight="1">
      <c r="A573" s="239" t="s">
        <v>516</v>
      </c>
      <c r="B573" s="217"/>
      <c r="C573" s="292" t="s">
        <v>299</v>
      </c>
      <c r="D573" s="288" t="s">
        <v>461</v>
      </c>
      <c r="E573" s="288" t="s">
        <v>144</v>
      </c>
      <c r="F573" s="286" t="s">
        <v>512</v>
      </c>
      <c r="G573" s="145">
        <v>38.2</v>
      </c>
      <c r="H573" s="14"/>
      <c r="I573" s="14"/>
      <c r="J573" s="36">
        <f>SUM('ведомствен.2014'!G926)</f>
        <v>38.2</v>
      </c>
    </row>
    <row r="574" spans="1:10" ht="28.5" hidden="1">
      <c r="A574" s="239" t="s">
        <v>413</v>
      </c>
      <c r="B574" s="202"/>
      <c r="C574" s="292" t="s">
        <v>299</v>
      </c>
      <c r="D574" s="288" t="s">
        <v>461</v>
      </c>
      <c r="E574" s="288" t="s">
        <v>484</v>
      </c>
      <c r="F574" s="285"/>
      <c r="G574" s="145">
        <f>SUM(G575)</f>
        <v>0</v>
      </c>
      <c r="H574" s="14"/>
      <c r="I574" s="14"/>
      <c r="J574"/>
    </row>
    <row r="575" spans="1:10" ht="28.5" hidden="1">
      <c r="A575" s="239" t="s">
        <v>142</v>
      </c>
      <c r="B575" s="202"/>
      <c r="C575" s="292" t="s">
        <v>299</v>
      </c>
      <c r="D575" s="288" t="s">
        <v>461</v>
      </c>
      <c r="E575" s="288" t="s">
        <v>484</v>
      </c>
      <c r="F575" s="285" t="s">
        <v>82</v>
      </c>
      <c r="G575" s="145"/>
      <c r="H575" s="14"/>
      <c r="I575" s="14"/>
      <c r="J575"/>
    </row>
    <row r="576" spans="1:10" ht="28.5">
      <c r="A576" s="248" t="s">
        <v>153</v>
      </c>
      <c r="B576" s="223"/>
      <c r="C576" s="292" t="s">
        <v>299</v>
      </c>
      <c r="D576" s="288" t="s">
        <v>461</v>
      </c>
      <c r="E576" s="288" t="s">
        <v>642</v>
      </c>
      <c r="F576" s="286"/>
      <c r="G576" s="145">
        <f>SUM(G577)</f>
        <v>61.8</v>
      </c>
      <c r="H576" s="14"/>
      <c r="I576" s="14"/>
      <c r="J576"/>
    </row>
    <row r="577" spans="1:10" ht="28.5">
      <c r="A577" s="239" t="s">
        <v>516</v>
      </c>
      <c r="B577" s="223"/>
      <c r="C577" s="292" t="s">
        <v>299</v>
      </c>
      <c r="D577" s="288" t="s">
        <v>461</v>
      </c>
      <c r="E577" s="288" t="s">
        <v>642</v>
      </c>
      <c r="F577" s="286" t="s">
        <v>512</v>
      </c>
      <c r="G577" s="145">
        <v>61.8</v>
      </c>
      <c r="H577" s="14"/>
      <c r="I577" s="14"/>
      <c r="J577">
        <f>SUM('ведомствен.2014'!G930)</f>
        <v>61.8</v>
      </c>
    </row>
    <row r="578" spans="1:9" ht="28.5">
      <c r="A578" s="239" t="s">
        <v>301</v>
      </c>
      <c r="B578" s="198"/>
      <c r="C578" s="292" t="s">
        <v>299</v>
      </c>
      <c r="D578" s="288" t="s">
        <v>461</v>
      </c>
      <c r="E578" s="288" t="s">
        <v>303</v>
      </c>
      <c r="F578" s="285"/>
      <c r="G578" s="145">
        <f>SUM(G579)</f>
        <v>12595.4</v>
      </c>
      <c r="H578" s="14">
        <v>7467.6</v>
      </c>
      <c r="I578" s="14">
        <f>SUM(H578/G590*100)</f>
        <v>958.3675564681724</v>
      </c>
    </row>
    <row r="579" spans="1:10" ht="28.5">
      <c r="A579" s="239" t="s">
        <v>516</v>
      </c>
      <c r="B579" s="217"/>
      <c r="C579" s="292" t="s">
        <v>299</v>
      </c>
      <c r="D579" s="288" t="s">
        <v>461</v>
      </c>
      <c r="E579" s="288" t="s">
        <v>303</v>
      </c>
      <c r="F579" s="286" t="s">
        <v>512</v>
      </c>
      <c r="G579" s="145">
        <v>12595.4</v>
      </c>
      <c r="H579" s="14"/>
      <c r="I579" s="14">
        <f>SUM(H579/G591*100)</f>
        <v>0</v>
      </c>
      <c r="J579" s="36">
        <f>SUM('ведомствен.2014'!G932)</f>
        <v>12595.4</v>
      </c>
    </row>
    <row r="580" spans="1:9" s="93" customFormat="1" ht="15">
      <c r="A580" s="122" t="s">
        <v>1045</v>
      </c>
      <c r="B580" s="326"/>
      <c r="C580" s="288" t="s">
        <v>299</v>
      </c>
      <c r="D580" s="288" t="s">
        <v>105</v>
      </c>
      <c r="E580" s="288"/>
      <c r="F580" s="286"/>
      <c r="G580" s="266">
        <f>SUM(G581)</f>
        <v>1.8</v>
      </c>
      <c r="H580" s="22"/>
      <c r="I580" s="22"/>
    </row>
    <row r="581" spans="1:9" s="93" customFormat="1" ht="28.5">
      <c r="A581" s="121" t="s">
        <v>785</v>
      </c>
      <c r="B581" s="298"/>
      <c r="C581" s="288" t="s">
        <v>299</v>
      </c>
      <c r="D581" s="288" t="s">
        <v>105</v>
      </c>
      <c r="E581" s="299" t="s">
        <v>1050</v>
      </c>
      <c r="F581" s="300"/>
      <c r="G581" s="343">
        <f>SUM(G582)</f>
        <v>1.8</v>
      </c>
      <c r="H581" s="22"/>
      <c r="I581" s="22"/>
    </row>
    <row r="582" spans="1:10" s="93" customFormat="1" ht="28.5">
      <c r="A582" s="122" t="s">
        <v>516</v>
      </c>
      <c r="B582" s="298"/>
      <c r="C582" s="288" t="s">
        <v>299</v>
      </c>
      <c r="D582" s="288" t="s">
        <v>105</v>
      </c>
      <c r="E582" s="299" t="s">
        <v>1050</v>
      </c>
      <c r="F582" s="300" t="s">
        <v>512</v>
      </c>
      <c r="G582" s="343">
        <v>1.8</v>
      </c>
      <c r="H582" s="22"/>
      <c r="I582" s="22"/>
      <c r="J582" s="93">
        <f>SUM('ведомствен.2014'!G935)</f>
        <v>1.8</v>
      </c>
    </row>
    <row r="583" spans="1:9" ht="15">
      <c r="A583" s="239" t="s">
        <v>243</v>
      </c>
      <c r="B583" s="198"/>
      <c r="C583" s="292" t="s">
        <v>299</v>
      </c>
      <c r="D583" s="288" t="s">
        <v>121</v>
      </c>
      <c r="E583" s="288"/>
      <c r="F583" s="285"/>
      <c r="G583" s="145">
        <f>SUM(G586+G592)+G584</f>
        <v>17921.5</v>
      </c>
      <c r="H583" s="14" t="e">
        <f>SUM(#REF!)</f>
        <v>#REF!</v>
      </c>
      <c r="I583" s="14" t="e">
        <f>SUM(H583/G592*100)</f>
        <v>#REF!</v>
      </c>
    </row>
    <row r="584" spans="1:10" ht="28.5">
      <c r="A584" s="121" t="s">
        <v>785</v>
      </c>
      <c r="B584" s="298"/>
      <c r="C584" s="292" t="s">
        <v>299</v>
      </c>
      <c r="D584" s="288" t="s">
        <v>121</v>
      </c>
      <c r="E584" s="299" t="s">
        <v>1050</v>
      </c>
      <c r="F584" s="300"/>
      <c r="G584" s="266">
        <f>SUM(G585)</f>
        <v>142.3</v>
      </c>
      <c r="H584" s="14">
        <f>SUM(H585)</f>
        <v>1817.2</v>
      </c>
      <c r="I584" s="14" t="e">
        <f>SUM(H584/G593*100)</f>
        <v>#DIV/0!</v>
      </c>
      <c r="J584"/>
    </row>
    <row r="585" spans="1:10" ht="28.5">
      <c r="A585" s="122" t="s">
        <v>516</v>
      </c>
      <c r="B585" s="298"/>
      <c r="C585" s="292" t="s">
        <v>299</v>
      </c>
      <c r="D585" s="288" t="s">
        <v>121</v>
      </c>
      <c r="E585" s="299" t="s">
        <v>1050</v>
      </c>
      <c r="F585" s="300" t="s">
        <v>512</v>
      </c>
      <c r="G585" s="266">
        <v>142.3</v>
      </c>
      <c r="H585" s="14">
        <f>SUM(H586:H590)</f>
        <v>1817.2</v>
      </c>
      <c r="I585" s="14">
        <f>SUM(H585/G594*100)</f>
        <v>8.557086484399282</v>
      </c>
      <c r="J585">
        <f>SUM('ведомствен.2014'!G938)</f>
        <v>142.3</v>
      </c>
    </row>
    <row r="586" spans="1:9" ht="28.5">
      <c r="A586" s="233" t="s">
        <v>94</v>
      </c>
      <c r="B586" s="198"/>
      <c r="C586" s="292" t="s">
        <v>299</v>
      </c>
      <c r="D586" s="288" t="s">
        <v>121</v>
      </c>
      <c r="E586" s="288" t="s">
        <v>513</v>
      </c>
      <c r="F586" s="285"/>
      <c r="G586" s="145">
        <f>SUM(G590)+G587</f>
        <v>17779.2</v>
      </c>
      <c r="H586" s="14">
        <v>1817.2</v>
      </c>
      <c r="I586" s="14">
        <f>SUM(H586/G595*100)</f>
        <v>1817.2</v>
      </c>
    </row>
    <row r="587" spans="1:9" ht="28.5">
      <c r="A587" s="122" t="s">
        <v>156</v>
      </c>
      <c r="B587" s="282"/>
      <c r="C587" s="288" t="s">
        <v>299</v>
      </c>
      <c r="D587" s="288" t="s">
        <v>121</v>
      </c>
      <c r="E587" s="288" t="s">
        <v>218</v>
      </c>
      <c r="F587" s="285"/>
      <c r="G587" s="266">
        <f>SUM(G588)</f>
        <v>17000</v>
      </c>
      <c r="H587" s="14"/>
      <c r="I587" s="14"/>
    </row>
    <row r="588" spans="1:9" ht="28.5">
      <c r="A588" s="122" t="s">
        <v>413</v>
      </c>
      <c r="B588" s="289"/>
      <c r="C588" s="288" t="s">
        <v>299</v>
      </c>
      <c r="D588" s="288" t="s">
        <v>121</v>
      </c>
      <c r="E588" s="288" t="s">
        <v>484</v>
      </c>
      <c r="F588" s="285"/>
      <c r="G588" s="266">
        <f>SUM(G589)</f>
        <v>17000</v>
      </c>
      <c r="H588" s="14"/>
      <c r="I588" s="14"/>
    </row>
    <row r="589" spans="1:10" ht="28.5">
      <c r="A589" s="122" t="s">
        <v>516</v>
      </c>
      <c r="B589" s="298"/>
      <c r="C589" s="288" t="s">
        <v>299</v>
      </c>
      <c r="D589" s="288" t="s">
        <v>121</v>
      </c>
      <c r="E589" s="288" t="s">
        <v>484</v>
      </c>
      <c r="F589" s="300" t="s">
        <v>512</v>
      </c>
      <c r="G589" s="266">
        <v>17000</v>
      </c>
      <c r="H589" s="14"/>
      <c r="I589" s="14"/>
      <c r="J589" s="36">
        <f>SUM('ведомствен.2014'!G942)</f>
        <v>17000</v>
      </c>
    </row>
    <row r="590" spans="1:9" ht="28.5">
      <c r="A590" s="239" t="s">
        <v>301</v>
      </c>
      <c r="B590" s="198"/>
      <c r="C590" s="292" t="s">
        <v>299</v>
      </c>
      <c r="D590" s="288" t="s">
        <v>121</v>
      </c>
      <c r="E590" s="288" t="s">
        <v>514</v>
      </c>
      <c r="F590" s="285"/>
      <c r="G590" s="145">
        <f>SUM(G591)</f>
        <v>779.2</v>
      </c>
      <c r="H590" s="14"/>
      <c r="I590" s="14">
        <f aca="true" t="shared" si="10" ref="I590:I595">SUM(H590/G596*100)</f>
        <v>0</v>
      </c>
    </row>
    <row r="591" spans="1:10" ht="28.5">
      <c r="A591" s="239" t="s">
        <v>516</v>
      </c>
      <c r="B591" s="217"/>
      <c r="C591" s="292" t="s">
        <v>299</v>
      </c>
      <c r="D591" s="288" t="s">
        <v>121</v>
      </c>
      <c r="E591" s="288" t="s">
        <v>514</v>
      </c>
      <c r="F591" s="286" t="s">
        <v>512</v>
      </c>
      <c r="G591" s="145">
        <v>779.2</v>
      </c>
      <c r="H591" s="14"/>
      <c r="I591" s="14">
        <f t="shared" si="10"/>
        <v>0</v>
      </c>
      <c r="J591" s="36">
        <f>SUM('ведомствен.2014'!G944)</f>
        <v>779.2</v>
      </c>
    </row>
    <row r="592" spans="1:10" ht="15" hidden="1">
      <c r="A592" s="235" t="s">
        <v>3</v>
      </c>
      <c r="B592" s="198"/>
      <c r="C592" s="292" t="s">
        <v>299</v>
      </c>
      <c r="D592" s="288" t="s">
        <v>459</v>
      </c>
      <c r="E592" s="288" t="s">
        <v>266</v>
      </c>
      <c r="F592" s="284"/>
      <c r="G592" s="145">
        <f>SUM(G593)</f>
        <v>0</v>
      </c>
      <c r="H592" s="14" t="e">
        <f>SUM(#REF!)</f>
        <v>#REF!</v>
      </c>
      <c r="I592" s="14" t="e">
        <f t="shared" si="10"/>
        <v>#REF!</v>
      </c>
      <c r="J592"/>
    </row>
    <row r="593" spans="1:10" ht="28.5" hidden="1">
      <c r="A593" s="233" t="s">
        <v>346</v>
      </c>
      <c r="B593" s="198"/>
      <c r="C593" s="292" t="s">
        <v>299</v>
      </c>
      <c r="D593" s="288" t="s">
        <v>459</v>
      </c>
      <c r="E593" s="288" t="s">
        <v>266</v>
      </c>
      <c r="F593" s="284" t="s">
        <v>267</v>
      </c>
      <c r="G593" s="145"/>
      <c r="H593" s="14">
        <f>SUM(H594)</f>
        <v>340</v>
      </c>
      <c r="I593" s="14">
        <f t="shared" si="10"/>
        <v>2.9945657439293987</v>
      </c>
      <c r="J593"/>
    </row>
    <row r="594" spans="1:10" ht="15">
      <c r="A594" s="235" t="s">
        <v>239</v>
      </c>
      <c r="B594" s="199"/>
      <c r="C594" s="292" t="s">
        <v>299</v>
      </c>
      <c r="D594" s="288" t="s">
        <v>299</v>
      </c>
      <c r="E594" s="288"/>
      <c r="F594" s="285"/>
      <c r="G594" s="145">
        <f>SUM(G597)+G602+G595</f>
        <v>21236.199999999997</v>
      </c>
      <c r="H594" s="14">
        <f>SUM(H595)</f>
        <v>340</v>
      </c>
      <c r="I594" s="14">
        <f t="shared" si="10"/>
        <v>23.085279739272135</v>
      </c>
      <c r="J594"/>
    </row>
    <row r="595" spans="1:9" ht="15">
      <c r="A595" s="117" t="s">
        <v>386</v>
      </c>
      <c r="B595" s="65"/>
      <c r="C595" s="288" t="s">
        <v>299</v>
      </c>
      <c r="D595" s="288" t="s">
        <v>299</v>
      </c>
      <c r="E595" s="283" t="s">
        <v>506</v>
      </c>
      <c r="F595" s="285"/>
      <c r="G595" s="266">
        <f>SUM(G596)</f>
        <v>100</v>
      </c>
      <c r="H595" s="14">
        <v>340</v>
      </c>
      <c r="I595" s="14">
        <f t="shared" si="10"/>
        <v>721.8683651804671</v>
      </c>
    </row>
    <row r="596" spans="1:10" ht="28.5">
      <c r="A596" s="122" t="s">
        <v>516</v>
      </c>
      <c r="B596" s="65"/>
      <c r="C596" s="288" t="s">
        <v>299</v>
      </c>
      <c r="D596" s="288" t="s">
        <v>299</v>
      </c>
      <c r="E596" s="283" t="s">
        <v>506</v>
      </c>
      <c r="F596" s="285" t="s">
        <v>512</v>
      </c>
      <c r="G596" s="266">
        <v>100</v>
      </c>
      <c r="H596" s="14">
        <f>SUM(H597)</f>
        <v>9494.7</v>
      </c>
      <c r="I596" s="14" t="e">
        <f>SUM(H596/#REF!*100)</f>
        <v>#REF!</v>
      </c>
      <c r="J596">
        <f>SUM('ведомствен.2014'!G949)</f>
        <v>100</v>
      </c>
    </row>
    <row r="597" spans="1:10" ht="28.5">
      <c r="A597" s="235" t="s">
        <v>178</v>
      </c>
      <c r="B597" s="198"/>
      <c r="C597" s="292" t="s">
        <v>299</v>
      </c>
      <c r="D597" s="288" t="s">
        <v>299</v>
      </c>
      <c r="E597" s="288" t="s">
        <v>179</v>
      </c>
      <c r="F597" s="285"/>
      <c r="G597" s="145">
        <f>SUM(G598)</f>
        <v>12873.8</v>
      </c>
      <c r="H597" s="14">
        <f>SUM(H598)</f>
        <v>9494.7</v>
      </c>
      <c r="I597" s="14" t="e">
        <f>SUM(H597/#REF!*100)</f>
        <v>#REF!</v>
      </c>
      <c r="J597"/>
    </row>
    <row r="598" spans="1:10" ht="28.5">
      <c r="A598" s="233" t="s">
        <v>56</v>
      </c>
      <c r="B598" s="198"/>
      <c r="C598" s="292" t="s">
        <v>299</v>
      </c>
      <c r="D598" s="288" t="s">
        <v>299</v>
      </c>
      <c r="E598" s="288" t="s">
        <v>180</v>
      </c>
      <c r="F598" s="285"/>
      <c r="G598" s="145">
        <f>SUM(G599:G601)</f>
        <v>12873.8</v>
      </c>
      <c r="H598" s="14">
        <f>SUM(H599:H600)</f>
        <v>9494.7</v>
      </c>
      <c r="I598" s="14" t="e">
        <f>SUM(H598/#REF!*100)</f>
        <v>#REF!</v>
      </c>
      <c r="J598"/>
    </row>
    <row r="599" spans="1:10" ht="42.75">
      <c r="A599" s="233" t="s">
        <v>494</v>
      </c>
      <c r="B599" s="198"/>
      <c r="C599" s="292" t="s">
        <v>299</v>
      </c>
      <c r="D599" s="288" t="s">
        <v>299</v>
      </c>
      <c r="E599" s="288" t="s">
        <v>180</v>
      </c>
      <c r="F599" s="284" t="s">
        <v>495</v>
      </c>
      <c r="G599" s="145">
        <v>11353.9</v>
      </c>
      <c r="H599" s="14">
        <v>9494.7</v>
      </c>
      <c r="I599" s="14" t="e">
        <f>SUM(H599/#REF!*100)</f>
        <v>#REF!</v>
      </c>
      <c r="J599" s="36">
        <f>SUM('ведомствен.2014'!G952)</f>
        <v>11353.9</v>
      </c>
    </row>
    <row r="600" spans="1:10" ht="15">
      <c r="A600" s="233" t="s">
        <v>499</v>
      </c>
      <c r="B600" s="198"/>
      <c r="C600" s="292" t="s">
        <v>299</v>
      </c>
      <c r="D600" s="288" t="s">
        <v>299</v>
      </c>
      <c r="E600" s="288" t="s">
        <v>180</v>
      </c>
      <c r="F600" s="284" t="s">
        <v>119</v>
      </c>
      <c r="G600" s="146">
        <v>1472.8</v>
      </c>
      <c r="H600" s="14"/>
      <c r="I600" s="14" t="e">
        <f>SUM(H600/#REF!*100)</f>
        <v>#REF!</v>
      </c>
      <c r="J600" s="36">
        <f>SUM('ведомствен.2014'!G953)</f>
        <v>1472.8</v>
      </c>
    </row>
    <row r="601" spans="1:10" ht="15">
      <c r="A601" s="233" t="s">
        <v>500</v>
      </c>
      <c r="B601" s="198"/>
      <c r="C601" s="292" t="s">
        <v>299</v>
      </c>
      <c r="D601" s="288" t="s">
        <v>299</v>
      </c>
      <c r="E601" s="288" t="s">
        <v>180</v>
      </c>
      <c r="F601" s="285" t="s">
        <v>175</v>
      </c>
      <c r="G601" s="145">
        <v>47.1</v>
      </c>
      <c r="H601" s="14" t="e">
        <f>SUM(#REF!+#REF!+#REF!)</f>
        <v>#REF!</v>
      </c>
      <c r="I601" s="14" t="e">
        <f>SUM(H601/#REF!*100)</f>
        <v>#REF!</v>
      </c>
      <c r="J601" s="36">
        <f>SUM('ведомствен.2014'!G954)</f>
        <v>47.1</v>
      </c>
    </row>
    <row r="602" spans="1:9" ht="15">
      <c r="A602" s="122" t="s">
        <v>748</v>
      </c>
      <c r="B602" s="214"/>
      <c r="C602" s="292" t="s">
        <v>299</v>
      </c>
      <c r="D602" s="288" t="s">
        <v>299</v>
      </c>
      <c r="E602" s="288" t="s">
        <v>128</v>
      </c>
      <c r="F602" s="285"/>
      <c r="G602" s="145">
        <f>SUM(G603)</f>
        <v>8262.4</v>
      </c>
      <c r="H602" s="14"/>
      <c r="I602" s="14"/>
    </row>
    <row r="603" spans="1:9" ht="42.75">
      <c r="A603" s="233" t="s">
        <v>643</v>
      </c>
      <c r="B603" s="214"/>
      <c r="C603" s="292" t="s">
        <v>299</v>
      </c>
      <c r="D603" s="288" t="s">
        <v>299</v>
      </c>
      <c r="E603" s="288" t="s">
        <v>644</v>
      </c>
      <c r="F603" s="285"/>
      <c r="G603" s="145">
        <f>SUM(G604)</f>
        <v>8262.4</v>
      </c>
      <c r="H603" s="14"/>
      <c r="I603" s="14"/>
    </row>
    <row r="604" spans="1:10" ht="28.5">
      <c r="A604" s="253" t="s">
        <v>516</v>
      </c>
      <c r="B604" s="227"/>
      <c r="C604" s="354" t="s">
        <v>299</v>
      </c>
      <c r="D604" s="340" t="s">
        <v>299</v>
      </c>
      <c r="E604" s="341" t="s">
        <v>644</v>
      </c>
      <c r="F604" s="342" t="s">
        <v>512</v>
      </c>
      <c r="G604" s="172">
        <v>8262.4</v>
      </c>
      <c r="H604" s="14"/>
      <c r="I604" s="14"/>
      <c r="J604" s="36">
        <f>SUM('ведомствен.2014'!G957)</f>
        <v>8262.4</v>
      </c>
    </row>
    <row r="605" spans="1:12" s="16" customFormat="1" ht="15">
      <c r="A605" s="237" t="s">
        <v>187</v>
      </c>
      <c r="B605" s="202"/>
      <c r="C605" s="289" t="s">
        <v>5</v>
      </c>
      <c r="D605" s="350"/>
      <c r="E605" s="350"/>
      <c r="F605" s="351"/>
      <c r="G605" s="147">
        <f>SUM(G606+G610+G624+G705+G729)</f>
        <v>903159.2999999999</v>
      </c>
      <c r="H605" s="18">
        <f>SUM(H606)+H608</f>
        <v>0</v>
      </c>
      <c r="I605" s="14" t="e">
        <f aca="true" t="shared" si="11" ref="I605:I618">SUM(H605/G611*100)</f>
        <v>#DIV/0!</v>
      </c>
      <c r="K605" s="16">
        <f>SUM(J607:J757)</f>
        <v>903159.2999999999</v>
      </c>
      <c r="L605" s="16">
        <f>SUM('ведомствен.2014'!G311+'ведомствен.2014'!G437+'ведомствен.2014'!G774)+'ведомствен.2014'!G377</f>
        <v>903159.2999999998</v>
      </c>
    </row>
    <row r="606" spans="1:11" s="16" customFormat="1" ht="15">
      <c r="A606" s="233" t="s">
        <v>189</v>
      </c>
      <c r="B606" s="198"/>
      <c r="C606" s="282" t="s">
        <v>5</v>
      </c>
      <c r="D606" s="283" t="s">
        <v>459</v>
      </c>
      <c r="E606" s="283"/>
      <c r="F606" s="284"/>
      <c r="G606" s="145">
        <f>SUM(G607)</f>
        <v>4209.9</v>
      </c>
      <c r="H606" s="14">
        <f>SUM(H607)</f>
        <v>0</v>
      </c>
      <c r="I606" s="14" t="e">
        <f t="shared" si="11"/>
        <v>#DIV/0!</v>
      </c>
      <c r="K606" s="176">
        <f>SUM(K605-G605)</f>
        <v>0</v>
      </c>
    </row>
    <row r="607" spans="1:9" s="16" customFormat="1" ht="15">
      <c r="A607" s="233" t="s">
        <v>190</v>
      </c>
      <c r="B607" s="198"/>
      <c r="C607" s="282" t="s">
        <v>5</v>
      </c>
      <c r="D607" s="283" t="s">
        <v>459</v>
      </c>
      <c r="E607" s="283" t="s">
        <v>191</v>
      </c>
      <c r="F607" s="284"/>
      <c r="G607" s="145">
        <f>SUM(G608)</f>
        <v>4209.9</v>
      </c>
      <c r="H607" s="14"/>
      <c r="I607" s="14" t="e">
        <f t="shared" si="11"/>
        <v>#DIV/0!</v>
      </c>
    </row>
    <row r="608" spans="1:9" s="16" customFormat="1" ht="28.5">
      <c r="A608" s="233" t="s">
        <v>192</v>
      </c>
      <c r="B608" s="198"/>
      <c r="C608" s="282" t="s">
        <v>5</v>
      </c>
      <c r="D608" s="283" t="s">
        <v>459</v>
      </c>
      <c r="E608" s="283" t="s">
        <v>193</v>
      </c>
      <c r="F608" s="284"/>
      <c r="G608" s="145">
        <f>SUM(G609)</f>
        <v>4209.9</v>
      </c>
      <c r="H608" s="14">
        <f>SUM(H609)</f>
        <v>0</v>
      </c>
      <c r="I608" s="14" t="e">
        <f t="shared" si="11"/>
        <v>#DIV/0!</v>
      </c>
    </row>
    <row r="609" spans="1:11" s="16" customFormat="1" ht="15">
      <c r="A609" s="233" t="s">
        <v>504</v>
      </c>
      <c r="B609" s="198"/>
      <c r="C609" s="282" t="s">
        <v>5</v>
      </c>
      <c r="D609" s="283" t="s">
        <v>459</v>
      </c>
      <c r="E609" s="283" t="s">
        <v>193</v>
      </c>
      <c r="F609" s="284" t="s">
        <v>505</v>
      </c>
      <c r="G609" s="145">
        <v>4209.9</v>
      </c>
      <c r="H609" s="14"/>
      <c r="I609" s="14" t="e">
        <f t="shared" si="11"/>
        <v>#DIV/0!</v>
      </c>
      <c r="J609" s="16">
        <f>SUM('ведомствен.2014'!G441)</f>
        <v>4209.9</v>
      </c>
      <c r="K609" s="176"/>
    </row>
    <row r="610" spans="1:11" s="16" customFormat="1" ht="15">
      <c r="A610" s="233" t="s">
        <v>194</v>
      </c>
      <c r="B610" s="198"/>
      <c r="C610" s="292" t="s">
        <v>5</v>
      </c>
      <c r="D610" s="288" t="s">
        <v>461</v>
      </c>
      <c r="E610" s="283"/>
      <c r="F610" s="284"/>
      <c r="G610" s="145">
        <f>SUM(G611+G616)</f>
        <v>53323.6</v>
      </c>
      <c r="H610" s="14">
        <f>SUM(H611+H613)</f>
        <v>16618.3</v>
      </c>
      <c r="I610" s="14">
        <f t="shared" si="11"/>
        <v>31.165000112520534</v>
      </c>
      <c r="K610" s="176"/>
    </row>
    <row r="611" spans="1:11" s="16" customFormat="1" ht="15" hidden="1">
      <c r="A611" s="254" t="s">
        <v>74</v>
      </c>
      <c r="B611" s="198"/>
      <c r="C611" s="292" t="s">
        <v>5</v>
      </c>
      <c r="D611" s="288" t="s">
        <v>461</v>
      </c>
      <c r="E611" s="288" t="s">
        <v>75</v>
      </c>
      <c r="F611" s="285"/>
      <c r="G611" s="145"/>
      <c r="H611" s="14">
        <f>SUM(H612)</f>
        <v>0</v>
      </c>
      <c r="I611" s="14">
        <f t="shared" si="11"/>
        <v>0</v>
      </c>
      <c r="K611" s="176"/>
    </row>
    <row r="612" spans="1:11" s="16" customFormat="1" ht="28.5" hidden="1">
      <c r="A612" s="254" t="s">
        <v>17</v>
      </c>
      <c r="B612" s="198"/>
      <c r="C612" s="292" t="s">
        <v>5</v>
      </c>
      <c r="D612" s="288" t="s">
        <v>461</v>
      </c>
      <c r="E612" s="288" t="s">
        <v>18</v>
      </c>
      <c r="F612" s="285"/>
      <c r="G612" s="145">
        <f>SUM(G613+G614)</f>
        <v>0</v>
      </c>
      <c r="H612" s="14"/>
      <c r="I612" s="14">
        <f t="shared" si="11"/>
        <v>0</v>
      </c>
      <c r="K612" s="176"/>
    </row>
    <row r="613" spans="1:11" s="16" customFormat="1" ht="15" hidden="1">
      <c r="A613" s="234" t="s">
        <v>245</v>
      </c>
      <c r="B613" s="198"/>
      <c r="C613" s="292" t="s">
        <v>5</v>
      </c>
      <c r="D613" s="288" t="s">
        <v>461</v>
      </c>
      <c r="E613" s="288" t="s">
        <v>18</v>
      </c>
      <c r="F613" s="285" t="s">
        <v>246</v>
      </c>
      <c r="G613" s="145"/>
      <c r="H613" s="14">
        <f>SUM(H614)</f>
        <v>16618.3</v>
      </c>
      <c r="I613" s="14">
        <f t="shared" si="11"/>
        <v>1201.0045530100454</v>
      </c>
      <c r="K613" s="176"/>
    </row>
    <row r="614" spans="1:11" s="16" customFormat="1" ht="28.5" hidden="1">
      <c r="A614" s="254" t="s">
        <v>19</v>
      </c>
      <c r="B614" s="198"/>
      <c r="C614" s="292" t="s">
        <v>5</v>
      </c>
      <c r="D614" s="288" t="s">
        <v>461</v>
      </c>
      <c r="E614" s="288" t="s">
        <v>20</v>
      </c>
      <c r="F614" s="285"/>
      <c r="G614" s="145">
        <f>SUM(G615)</f>
        <v>0</v>
      </c>
      <c r="H614" s="14">
        <v>16618.3</v>
      </c>
      <c r="I614" s="14">
        <f t="shared" si="11"/>
        <v>32.56434172933951</v>
      </c>
      <c r="J614" s="38"/>
      <c r="K614" s="176"/>
    </row>
    <row r="615" spans="1:11" s="16" customFormat="1" ht="15" hidden="1">
      <c r="A615" s="234" t="s">
        <v>245</v>
      </c>
      <c r="B615" s="198"/>
      <c r="C615" s="292" t="s">
        <v>5</v>
      </c>
      <c r="D615" s="288" t="s">
        <v>461</v>
      </c>
      <c r="E615" s="288" t="s">
        <v>20</v>
      </c>
      <c r="F615" s="285" t="s">
        <v>246</v>
      </c>
      <c r="G615" s="145"/>
      <c r="H615" s="18" t="e">
        <f>SUM(H625+#REF!+#REF!+#REF!+H616)</f>
        <v>#REF!</v>
      </c>
      <c r="I615" s="14" t="e">
        <f t="shared" si="11"/>
        <v>#REF!</v>
      </c>
      <c r="K615" s="176"/>
    </row>
    <row r="616" spans="1:11" s="16" customFormat="1" ht="15">
      <c r="A616" s="254" t="s">
        <v>74</v>
      </c>
      <c r="B616" s="198"/>
      <c r="C616" s="292" t="s">
        <v>5</v>
      </c>
      <c r="D616" s="288" t="s">
        <v>461</v>
      </c>
      <c r="E616" s="288" t="s">
        <v>21</v>
      </c>
      <c r="F616" s="285"/>
      <c r="G616" s="145">
        <f>SUM(G617+G620)</f>
        <v>53323.6</v>
      </c>
      <c r="H616" s="14">
        <f>SUM(H618)</f>
        <v>200</v>
      </c>
      <c r="I616" s="14">
        <f t="shared" si="11"/>
        <v>2.346784318787182</v>
      </c>
      <c r="K616" s="176">
        <f>SUM(J616:J623)</f>
        <v>53323.59999999999</v>
      </c>
    </row>
    <row r="617" spans="1:11" s="16" customFormat="1" ht="28.5">
      <c r="A617" s="234" t="s">
        <v>56</v>
      </c>
      <c r="B617" s="198"/>
      <c r="C617" s="292" t="s">
        <v>5</v>
      </c>
      <c r="D617" s="288" t="s">
        <v>461</v>
      </c>
      <c r="E617" s="288" t="s">
        <v>22</v>
      </c>
      <c r="F617" s="285"/>
      <c r="G617" s="145">
        <f>SUM(G618:G619)</f>
        <v>2291.4</v>
      </c>
      <c r="H617" s="14">
        <f>SUM(H618)</f>
        <v>200</v>
      </c>
      <c r="I617" s="14">
        <f t="shared" si="11"/>
        <v>68.32934745473182</v>
      </c>
      <c r="K617" s="176"/>
    </row>
    <row r="618" spans="1:11" s="16" customFormat="1" ht="42.75">
      <c r="A618" s="233" t="s">
        <v>494</v>
      </c>
      <c r="B618" s="198"/>
      <c r="C618" s="292" t="s">
        <v>5</v>
      </c>
      <c r="D618" s="288" t="s">
        <v>461</v>
      </c>
      <c r="E618" s="288" t="s">
        <v>22</v>
      </c>
      <c r="F618" s="284" t="s">
        <v>495</v>
      </c>
      <c r="G618" s="145">
        <v>907.7</v>
      </c>
      <c r="H618" s="14">
        <v>200</v>
      </c>
      <c r="I618" s="14">
        <f t="shared" si="11"/>
        <v>0.027885598217887192</v>
      </c>
      <c r="J618" s="16">
        <f>SUM('ведомствен.2014'!G450)</f>
        <v>907.7</v>
      </c>
      <c r="K618" s="176"/>
    </row>
    <row r="619" spans="1:11" s="16" customFormat="1" ht="15">
      <c r="A619" s="233" t="s">
        <v>499</v>
      </c>
      <c r="B619" s="198"/>
      <c r="C619" s="292" t="s">
        <v>5</v>
      </c>
      <c r="D619" s="288" t="s">
        <v>461</v>
      </c>
      <c r="E619" s="288" t="s">
        <v>22</v>
      </c>
      <c r="F619" s="284" t="s">
        <v>119</v>
      </c>
      <c r="G619" s="145">
        <v>1383.7</v>
      </c>
      <c r="H619" s="14"/>
      <c r="I619" s="14"/>
      <c r="J619" s="16">
        <f>SUM('ведомствен.2014'!G451)</f>
        <v>1383.7</v>
      </c>
      <c r="K619" s="176"/>
    </row>
    <row r="620" spans="1:11" ht="28.5">
      <c r="A620" s="234" t="s">
        <v>23</v>
      </c>
      <c r="B620" s="198"/>
      <c r="C620" s="292" t="s">
        <v>5</v>
      </c>
      <c r="D620" s="288" t="s">
        <v>461</v>
      </c>
      <c r="E620" s="288" t="s">
        <v>24</v>
      </c>
      <c r="F620" s="285"/>
      <c r="G620" s="145">
        <f>SUM(G621:G623)</f>
        <v>51032.2</v>
      </c>
      <c r="H620" s="14">
        <f>SUM(H623)</f>
        <v>0</v>
      </c>
      <c r="I620" s="14">
        <f>SUM(H620/G626*100)</f>
        <v>0</v>
      </c>
      <c r="J620"/>
      <c r="K620" s="176"/>
    </row>
    <row r="621" spans="1:11" ht="42.75">
      <c r="A621" s="233" t="s">
        <v>494</v>
      </c>
      <c r="B621" s="198"/>
      <c r="C621" s="292" t="s">
        <v>5</v>
      </c>
      <c r="D621" s="288" t="s">
        <v>461</v>
      </c>
      <c r="E621" s="288" t="s">
        <v>24</v>
      </c>
      <c r="F621" s="284" t="s">
        <v>495</v>
      </c>
      <c r="G621" s="145">
        <v>42217.2</v>
      </c>
      <c r="H621" s="14"/>
      <c r="I621" s="14"/>
      <c r="J621" s="16">
        <f>SUM('ведомствен.2014'!G453)</f>
        <v>42217.2</v>
      </c>
      <c r="K621" s="176"/>
    </row>
    <row r="622" spans="1:11" ht="15">
      <c r="A622" s="233" t="s">
        <v>499</v>
      </c>
      <c r="B622" s="198"/>
      <c r="C622" s="292" t="s">
        <v>5</v>
      </c>
      <c r="D622" s="288" t="s">
        <v>461</v>
      </c>
      <c r="E622" s="288" t="s">
        <v>24</v>
      </c>
      <c r="F622" s="284" t="s">
        <v>119</v>
      </c>
      <c r="G622" s="145">
        <v>8522.3</v>
      </c>
      <c r="H622" s="14"/>
      <c r="I622" s="14"/>
      <c r="J622" s="16">
        <f>SUM('ведомствен.2014'!G454)</f>
        <v>8522.3</v>
      </c>
      <c r="K622" s="176"/>
    </row>
    <row r="623" spans="1:11" ht="15">
      <c r="A623" s="233" t="s">
        <v>500</v>
      </c>
      <c r="B623" s="198"/>
      <c r="C623" s="292" t="s">
        <v>5</v>
      </c>
      <c r="D623" s="288" t="s">
        <v>461</v>
      </c>
      <c r="E623" s="288" t="s">
        <v>24</v>
      </c>
      <c r="F623" s="284" t="s">
        <v>175</v>
      </c>
      <c r="G623" s="145">
        <v>292.7</v>
      </c>
      <c r="H623" s="14">
        <f>SUM(H624)</f>
        <v>0</v>
      </c>
      <c r="I623" s="14">
        <f>SUM(H623/G630*100)</f>
        <v>0</v>
      </c>
      <c r="J623" s="16">
        <f>SUM('ведомствен.2014'!G455)</f>
        <v>292.7</v>
      </c>
      <c r="K623" s="176"/>
    </row>
    <row r="624" spans="1:11" ht="15">
      <c r="A624" s="233" t="s">
        <v>25</v>
      </c>
      <c r="B624" s="198"/>
      <c r="C624" s="282" t="s">
        <v>5</v>
      </c>
      <c r="D624" s="283" t="s">
        <v>105</v>
      </c>
      <c r="E624" s="283"/>
      <c r="F624" s="284"/>
      <c r="G624" s="145">
        <f>SUM(G629+G691+G699+G695+G625)</f>
        <v>717216.0999999999</v>
      </c>
      <c r="H624" s="14"/>
      <c r="I624" s="14">
        <f>SUM(H624/G632*100)</f>
        <v>0</v>
      </c>
      <c r="J624"/>
      <c r="K624" s="176">
        <f>SUM(J627:J704)</f>
        <v>717216.1</v>
      </c>
    </row>
    <row r="625" spans="1:11" ht="15">
      <c r="A625" s="275" t="s">
        <v>703</v>
      </c>
      <c r="B625" s="65"/>
      <c r="C625" s="283" t="s">
        <v>5</v>
      </c>
      <c r="D625" s="283" t="s">
        <v>105</v>
      </c>
      <c r="E625" s="283" t="s">
        <v>704</v>
      </c>
      <c r="F625" s="284"/>
      <c r="G625" s="266">
        <f>SUM(G626)</f>
        <v>1798.2</v>
      </c>
      <c r="H625" s="14" t="e">
        <f>SUM(H626+H629+H632+H649+H652+H682+H692+H705+H720+H723+H752)+#REF!+H658+H661+H672+H676+H685+H700+H648+H669+H664+H679+H639+H643+H635</f>
        <v>#REF!</v>
      </c>
      <c r="I625" s="14" t="e">
        <f>SUM(H625/G633*100)</f>
        <v>#REF!</v>
      </c>
      <c r="J625"/>
      <c r="K625" s="176"/>
    </row>
    <row r="626" spans="1:11" ht="15">
      <c r="A626" s="117" t="s">
        <v>705</v>
      </c>
      <c r="B626" s="65"/>
      <c r="C626" s="283" t="s">
        <v>5</v>
      </c>
      <c r="D626" s="283" t="s">
        <v>105</v>
      </c>
      <c r="E626" s="283" t="s">
        <v>706</v>
      </c>
      <c r="F626" s="284"/>
      <c r="G626" s="266">
        <f>SUM(G627)</f>
        <v>1798.2</v>
      </c>
      <c r="H626" s="14">
        <f>SUM(H627:H627)</f>
        <v>0</v>
      </c>
      <c r="I626" s="14">
        <f>SUM(H626/G635*100)</f>
        <v>0</v>
      </c>
      <c r="J626"/>
      <c r="K626" s="176"/>
    </row>
    <row r="627" spans="1:11" ht="42.75">
      <c r="A627" s="117" t="s">
        <v>707</v>
      </c>
      <c r="B627" s="65"/>
      <c r="C627" s="283" t="s">
        <v>5</v>
      </c>
      <c r="D627" s="283" t="s">
        <v>105</v>
      </c>
      <c r="E627" s="283" t="s">
        <v>708</v>
      </c>
      <c r="F627" s="284"/>
      <c r="G627" s="266">
        <f>SUM(G628)</f>
        <v>1798.2</v>
      </c>
      <c r="H627" s="14"/>
      <c r="I627" s="14">
        <f>SUM(H627/G636*100)</f>
        <v>0</v>
      </c>
      <c r="J627"/>
      <c r="K627" s="176"/>
    </row>
    <row r="628" spans="1:11" ht="15">
      <c r="A628" s="183" t="s">
        <v>504</v>
      </c>
      <c r="B628" s="65"/>
      <c r="C628" s="283" t="s">
        <v>5</v>
      </c>
      <c r="D628" s="283" t="s">
        <v>105</v>
      </c>
      <c r="E628" s="283" t="s">
        <v>708</v>
      </c>
      <c r="F628" s="284" t="s">
        <v>505</v>
      </c>
      <c r="G628" s="266">
        <v>1798.2</v>
      </c>
      <c r="H628" s="14"/>
      <c r="I628" s="14"/>
      <c r="J628">
        <f>SUM('ведомствен.2014'!G316)</f>
        <v>1798.2</v>
      </c>
      <c r="K628" s="176"/>
    </row>
    <row r="629" spans="1:11" s="16" customFormat="1" ht="15">
      <c r="A629" s="233" t="s">
        <v>26</v>
      </c>
      <c r="B629" s="198"/>
      <c r="C629" s="282" t="s">
        <v>5</v>
      </c>
      <c r="D629" s="283" t="s">
        <v>105</v>
      </c>
      <c r="E629" s="283" t="s">
        <v>27</v>
      </c>
      <c r="F629" s="284"/>
      <c r="G629" s="145">
        <f>SUM(G630+G633+G636+G639+G642+G645+G689)+G686</f>
        <v>709087.4</v>
      </c>
      <c r="H629" s="14">
        <f>SUM(H630:H630)</f>
        <v>0</v>
      </c>
      <c r="I629" s="14">
        <f>SUM(H629/G638*100)</f>
        <v>0</v>
      </c>
      <c r="K629" s="176"/>
    </row>
    <row r="630" spans="1:11" s="16" customFormat="1" ht="42.75">
      <c r="A630" s="233" t="s">
        <v>285</v>
      </c>
      <c r="B630" s="214"/>
      <c r="C630" s="292" t="s">
        <v>5</v>
      </c>
      <c r="D630" s="288" t="s">
        <v>105</v>
      </c>
      <c r="E630" s="288" t="s">
        <v>286</v>
      </c>
      <c r="F630" s="285"/>
      <c r="G630" s="145">
        <f>SUM(G631:G632)</f>
        <v>124977.8</v>
      </c>
      <c r="H630" s="14"/>
      <c r="I630" s="14">
        <f>SUM(H630/G639*100)</f>
        <v>0</v>
      </c>
      <c r="K630" s="176"/>
    </row>
    <row r="631" spans="1:11" s="16" customFormat="1" ht="15">
      <c r="A631" s="233" t="s">
        <v>499</v>
      </c>
      <c r="B631" s="214"/>
      <c r="C631" s="292" t="s">
        <v>5</v>
      </c>
      <c r="D631" s="288" t="s">
        <v>105</v>
      </c>
      <c r="E631" s="288" t="s">
        <v>286</v>
      </c>
      <c r="F631" s="285" t="s">
        <v>119</v>
      </c>
      <c r="G631" s="145">
        <v>2460</v>
      </c>
      <c r="H631" s="14"/>
      <c r="I631" s="14"/>
      <c r="J631" s="16">
        <f>SUM('ведомствен.2014'!G462)</f>
        <v>2460</v>
      </c>
      <c r="K631" s="176"/>
    </row>
    <row r="632" spans="1:11" s="16" customFormat="1" ht="15">
      <c r="A632" s="233" t="s">
        <v>504</v>
      </c>
      <c r="B632" s="214"/>
      <c r="C632" s="292" t="s">
        <v>5</v>
      </c>
      <c r="D632" s="288" t="s">
        <v>105</v>
      </c>
      <c r="E632" s="288" t="s">
        <v>286</v>
      </c>
      <c r="F632" s="285" t="s">
        <v>505</v>
      </c>
      <c r="G632" s="145">
        <v>122517.8</v>
      </c>
      <c r="H632" s="14">
        <f>SUM(H633)</f>
        <v>0</v>
      </c>
      <c r="I632" s="14">
        <f>SUM(H632/G641*100)</f>
        <v>0</v>
      </c>
      <c r="J632" s="16">
        <f>SUM('ведомствен.2014'!G463)</f>
        <v>122517.8</v>
      </c>
      <c r="K632" s="176"/>
    </row>
    <row r="633" spans="1:11" s="16" customFormat="1" ht="28.5">
      <c r="A633" s="233" t="s">
        <v>284</v>
      </c>
      <c r="B633" s="214"/>
      <c r="C633" s="292" t="s">
        <v>5</v>
      </c>
      <c r="D633" s="288" t="s">
        <v>105</v>
      </c>
      <c r="E633" s="288" t="s">
        <v>570</v>
      </c>
      <c r="F633" s="285"/>
      <c r="G633" s="145">
        <f>SUM(G634:G635)</f>
        <v>95024.6</v>
      </c>
      <c r="H633" s="14"/>
      <c r="I633" s="14">
        <f>SUM(H633/G642*100)</f>
        <v>0</v>
      </c>
      <c r="K633" s="176"/>
    </row>
    <row r="634" spans="1:11" s="16" customFormat="1" ht="15">
      <c r="A634" s="233" t="s">
        <v>499</v>
      </c>
      <c r="B634" s="214"/>
      <c r="C634" s="292" t="s">
        <v>5</v>
      </c>
      <c r="D634" s="288" t="s">
        <v>105</v>
      </c>
      <c r="E634" s="288" t="s">
        <v>570</v>
      </c>
      <c r="F634" s="285" t="s">
        <v>119</v>
      </c>
      <c r="G634" s="145">
        <v>1443.5</v>
      </c>
      <c r="H634" s="14"/>
      <c r="I634" s="14"/>
      <c r="J634" s="16">
        <f>SUM('ведомствен.2014'!G465)</f>
        <v>1443.5</v>
      </c>
      <c r="K634" s="176"/>
    </row>
    <row r="635" spans="1:11" s="16" customFormat="1" ht="15">
      <c r="A635" s="233" t="s">
        <v>504</v>
      </c>
      <c r="B635" s="228"/>
      <c r="C635" s="292" t="s">
        <v>5</v>
      </c>
      <c r="D635" s="288" t="s">
        <v>105</v>
      </c>
      <c r="E635" s="288" t="s">
        <v>570</v>
      </c>
      <c r="F635" s="285" t="s">
        <v>505</v>
      </c>
      <c r="G635" s="145">
        <v>93581.1</v>
      </c>
      <c r="H635" s="14">
        <f>SUM(H636)</f>
        <v>361.8</v>
      </c>
      <c r="I635" s="14">
        <f>SUM(H635/G643*100)</f>
        <v>11.003649635036497</v>
      </c>
      <c r="J635" s="16">
        <f>SUM('ведомствен.2014'!G466)</f>
        <v>93581.1</v>
      </c>
      <c r="K635" s="176"/>
    </row>
    <row r="636" spans="1:11" s="16" customFormat="1" ht="42.75">
      <c r="A636" s="235" t="s">
        <v>283</v>
      </c>
      <c r="B636" s="214"/>
      <c r="C636" s="292" t="s">
        <v>5</v>
      </c>
      <c r="D636" s="288" t="s">
        <v>105</v>
      </c>
      <c r="E636" s="288" t="s">
        <v>571</v>
      </c>
      <c r="F636" s="285"/>
      <c r="G636" s="145">
        <f>SUM(G637:G638)</f>
        <v>77.10000000000001</v>
      </c>
      <c r="H636" s="14">
        <v>361.8</v>
      </c>
      <c r="I636" s="14">
        <f>SUM(H636/G644*100)</f>
        <v>9.276923076923078</v>
      </c>
      <c r="K636" s="176"/>
    </row>
    <row r="637" spans="1:11" s="16" customFormat="1" ht="15">
      <c r="A637" s="233" t="s">
        <v>499</v>
      </c>
      <c r="B637" s="214"/>
      <c r="C637" s="292" t="s">
        <v>5</v>
      </c>
      <c r="D637" s="288" t="s">
        <v>105</v>
      </c>
      <c r="E637" s="288" t="s">
        <v>571</v>
      </c>
      <c r="F637" s="285" t="s">
        <v>119</v>
      </c>
      <c r="G637" s="145">
        <v>1.2</v>
      </c>
      <c r="H637" s="14"/>
      <c r="I637" s="14"/>
      <c r="J637" s="16">
        <f>SUM('ведомствен.2014'!G468)</f>
        <v>1.2</v>
      </c>
      <c r="K637" s="176"/>
    </row>
    <row r="638" spans="1:11" s="16" customFormat="1" ht="15">
      <c r="A638" s="233" t="s">
        <v>504</v>
      </c>
      <c r="B638" s="214"/>
      <c r="C638" s="292" t="s">
        <v>5</v>
      </c>
      <c r="D638" s="288" t="s">
        <v>105</v>
      </c>
      <c r="E638" s="288" t="s">
        <v>571</v>
      </c>
      <c r="F638" s="285" t="s">
        <v>505</v>
      </c>
      <c r="G638" s="145">
        <v>75.9</v>
      </c>
      <c r="H638" s="14"/>
      <c r="I638" s="14">
        <f>SUM(H638/G645*100)</f>
        <v>0</v>
      </c>
      <c r="J638" s="16">
        <f>SUM('ведомствен.2014'!G469)</f>
        <v>75.9</v>
      </c>
      <c r="K638" s="176"/>
    </row>
    <row r="639" spans="1:11" s="16" customFormat="1" ht="84.75" customHeight="1">
      <c r="A639" s="255" t="s">
        <v>573</v>
      </c>
      <c r="B639" s="229"/>
      <c r="C639" s="301" t="s">
        <v>5</v>
      </c>
      <c r="D639" s="302" t="s">
        <v>105</v>
      </c>
      <c r="E639" s="302" t="s">
        <v>572</v>
      </c>
      <c r="F639" s="303"/>
      <c r="G639" s="149">
        <f>SUM(G640:G641)</f>
        <v>78774.5</v>
      </c>
      <c r="H639" s="14">
        <f>SUM(H641)</f>
        <v>634.3</v>
      </c>
      <c r="I639" s="14">
        <f>SUM(H639/G646*100)</f>
        <v>55.118178658324645</v>
      </c>
      <c r="K639" s="176"/>
    </row>
    <row r="640" spans="1:11" s="16" customFormat="1" ht="15" hidden="1">
      <c r="A640" s="233" t="s">
        <v>499</v>
      </c>
      <c r="B640" s="214"/>
      <c r="C640" s="292" t="s">
        <v>5</v>
      </c>
      <c r="D640" s="288" t="s">
        <v>105</v>
      </c>
      <c r="E640" s="302" t="s">
        <v>572</v>
      </c>
      <c r="F640" s="285" t="s">
        <v>119</v>
      </c>
      <c r="G640" s="149"/>
      <c r="H640" s="14"/>
      <c r="I640" s="14"/>
      <c r="J640" s="16">
        <f>SUM('ведомствен.2014'!G471)</f>
        <v>0</v>
      </c>
      <c r="K640" s="176"/>
    </row>
    <row r="641" spans="1:11" s="16" customFormat="1" ht="15">
      <c r="A641" s="239" t="s">
        <v>504</v>
      </c>
      <c r="B641" s="229"/>
      <c r="C641" s="301" t="s">
        <v>5</v>
      </c>
      <c r="D641" s="302" t="s">
        <v>105</v>
      </c>
      <c r="E641" s="302" t="s">
        <v>572</v>
      </c>
      <c r="F641" s="303" t="s">
        <v>505</v>
      </c>
      <c r="G641" s="149">
        <v>78774.5</v>
      </c>
      <c r="H641" s="14">
        <v>634.3</v>
      </c>
      <c r="I641" s="14">
        <f>SUM(H641/G648*100)</f>
        <v>55.9446110425119</v>
      </c>
      <c r="J641" s="16">
        <f>SUM('ведомствен.2014'!G472)</f>
        <v>78774.5</v>
      </c>
      <c r="K641" s="176"/>
    </row>
    <row r="642" spans="1:11" s="16" customFormat="1" ht="15">
      <c r="A642" s="256" t="s">
        <v>220</v>
      </c>
      <c r="B642" s="203"/>
      <c r="C642" s="301" t="s">
        <v>5</v>
      </c>
      <c r="D642" s="302" t="s">
        <v>105</v>
      </c>
      <c r="E642" s="302" t="s">
        <v>574</v>
      </c>
      <c r="F642" s="303"/>
      <c r="G642" s="149">
        <f>G643+G644</f>
        <v>7188</v>
      </c>
      <c r="H642" s="14"/>
      <c r="I642" s="14"/>
      <c r="J642" s="38"/>
      <c r="K642" s="176"/>
    </row>
    <row r="643" spans="1:11" s="16" customFormat="1" ht="15">
      <c r="A643" s="256" t="s">
        <v>504</v>
      </c>
      <c r="B643" s="203"/>
      <c r="C643" s="301" t="s">
        <v>5</v>
      </c>
      <c r="D643" s="302" t="s">
        <v>105</v>
      </c>
      <c r="E643" s="302" t="s">
        <v>574</v>
      </c>
      <c r="F643" s="303" t="s">
        <v>505</v>
      </c>
      <c r="G643" s="149">
        <v>3288</v>
      </c>
      <c r="H643" s="14">
        <f>SUM(H644)</f>
        <v>542.8</v>
      </c>
      <c r="I643" s="14">
        <f>SUM(H643/G651*100)</f>
        <v>1.4294291763664901</v>
      </c>
      <c r="J643" s="16">
        <f>SUM('ведомствен.2014'!G474)</f>
        <v>3288</v>
      </c>
      <c r="K643" s="176"/>
    </row>
    <row r="644" spans="1:11" s="16" customFormat="1" ht="57">
      <c r="A644" s="256" t="s">
        <v>575</v>
      </c>
      <c r="B644" s="203"/>
      <c r="C644" s="301" t="s">
        <v>5</v>
      </c>
      <c r="D644" s="302" t="s">
        <v>105</v>
      </c>
      <c r="E644" s="302" t="s">
        <v>574</v>
      </c>
      <c r="F644" s="303" t="s">
        <v>512</v>
      </c>
      <c r="G644" s="149">
        <v>3900</v>
      </c>
      <c r="H644" s="14">
        <v>542.8</v>
      </c>
      <c r="I644" s="14">
        <f>SUM(H644/G652*100)</f>
        <v>1.0632546404757612</v>
      </c>
      <c r="J644" s="16">
        <f>SUM('ведомствен.2014'!G475)</f>
        <v>3900</v>
      </c>
      <c r="K644" s="176"/>
    </row>
    <row r="645" spans="1:11" s="16" customFormat="1" ht="28.5">
      <c r="A645" s="239" t="s">
        <v>288</v>
      </c>
      <c r="B645" s="229"/>
      <c r="C645" s="301" t="s">
        <v>5</v>
      </c>
      <c r="D645" s="302" t="s">
        <v>105</v>
      </c>
      <c r="E645" s="302" t="s">
        <v>576</v>
      </c>
      <c r="F645" s="303"/>
      <c r="G645" s="149">
        <f>G646+G649+G652+G655+G658+G661+G664+G667+G670+G673+G676+G679+G683</f>
        <v>393132.6</v>
      </c>
      <c r="H645" s="18"/>
      <c r="I645" s="14"/>
      <c r="K645" s="176"/>
    </row>
    <row r="646" spans="1:11" s="16" customFormat="1" ht="57">
      <c r="A646" s="239" t="s">
        <v>467</v>
      </c>
      <c r="B646" s="229"/>
      <c r="C646" s="301" t="s">
        <v>5</v>
      </c>
      <c r="D646" s="302" t="s">
        <v>105</v>
      </c>
      <c r="E646" s="302" t="s">
        <v>577</v>
      </c>
      <c r="F646" s="303"/>
      <c r="G646" s="149">
        <f>SUM(G647:G648)</f>
        <v>1150.8</v>
      </c>
      <c r="H646" s="18"/>
      <c r="I646" s="14"/>
      <c r="K646" s="176"/>
    </row>
    <row r="647" spans="1:11" s="16" customFormat="1" ht="15">
      <c r="A647" s="233" t="s">
        <v>499</v>
      </c>
      <c r="B647" s="214"/>
      <c r="C647" s="292" t="s">
        <v>5</v>
      </c>
      <c r="D647" s="288" t="s">
        <v>105</v>
      </c>
      <c r="E647" s="302" t="s">
        <v>577</v>
      </c>
      <c r="F647" s="285" t="s">
        <v>119</v>
      </c>
      <c r="G647" s="149">
        <v>17</v>
      </c>
      <c r="H647" s="18"/>
      <c r="I647" s="14"/>
      <c r="J647" s="16">
        <f>SUM('ведомствен.2014'!G478)</f>
        <v>17</v>
      </c>
      <c r="K647" s="176"/>
    </row>
    <row r="648" spans="1:11" s="16" customFormat="1" ht="15">
      <c r="A648" s="239" t="s">
        <v>504</v>
      </c>
      <c r="B648" s="229"/>
      <c r="C648" s="301" t="s">
        <v>5</v>
      </c>
      <c r="D648" s="302" t="s">
        <v>105</v>
      </c>
      <c r="E648" s="302" t="s">
        <v>577</v>
      </c>
      <c r="F648" s="303" t="s">
        <v>505</v>
      </c>
      <c r="G648" s="149">
        <v>1133.8</v>
      </c>
      <c r="H648" s="18"/>
      <c r="I648" s="14"/>
      <c r="J648" s="16">
        <f>SUM('ведомствен.2014'!G479)</f>
        <v>1133.8</v>
      </c>
      <c r="K648" s="176"/>
    </row>
    <row r="649" spans="1:11" s="16" customFormat="1" ht="28.5">
      <c r="A649" s="251" t="s">
        <v>468</v>
      </c>
      <c r="B649" s="229"/>
      <c r="C649" s="301" t="s">
        <v>5</v>
      </c>
      <c r="D649" s="302" t="s">
        <v>105</v>
      </c>
      <c r="E649" s="302" t="s">
        <v>578</v>
      </c>
      <c r="F649" s="303"/>
      <c r="G649" s="149">
        <f>SUM(G650:G651)</f>
        <v>38518.899999999994</v>
      </c>
      <c r="H649" s="14">
        <f>SUM(H651)</f>
        <v>1313.1</v>
      </c>
      <c r="I649" s="14">
        <f>SUM(H649/G658*100)</f>
        <v>85.8067045677318</v>
      </c>
      <c r="K649" s="176"/>
    </row>
    <row r="650" spans="1:11" s="16" customFormat="1" ht="15">
      <c r="A650" s="233" t="s">
        <v>499</v>
      </c>
      <c r="B650" s="214"/>
      <c r="C650" s="292" t="s">
        <v>5</v>
      </c>
      <c r="D650" s="288" t="s">
        <v>105</v>
      </c>
      <c r="E650" s="302" t="s">
        <v>578</v>
      </c>
      <c r="F650" s="285" t="s">
        <v>119</v>
      </c>
      <c r="G650" s="149">
        <v>545.7</v>
      </c>
      <c r="H650" s="14"/>
      <c r="I650" s="14"/>
      <c r="J650" s="16">
        <f>SUM('ведомствен.2014'!G481)</f>
        <v>545.7</v>
      </c>
      <c r="K650" s="176"/>
    </row>
    <row r="651" spans="1:11" s="16" customFormat="1" ht="15">
      <c r="A651" s="239" t="s">
        <v>504</v>
      </c>
      <c r="B651" s="229"/>
      <c r="C651" s="301" t="s">
        <v>5</v>
      </c>
      <c r="D651" s="302" t="s">
        <v>105</v>
      </c>
      <c r="E651" s="302" t="s">
        <v>578</v>
      </c>
      <c r="F651" s="303" t="s">
        <v>505</v>
      </c>
      <c r="G651" s="149">
        <v>37973.2</v>
      </c>
      <c r="H651" s="14">
        <v>1313.1</v>
      </c>
      <c r="I651" s="14">
        <f>SUM(H651/G660*100)</f>
        <v>87.13915986462273</v>
      </c>
      <c r="J651" s="16">
        <f>SUM('ведомствен.2014'!G482)</f>
        <v>37973.2</v>
      </c>
      <c r="K651" s="176"/>
    </row>
    <row r="652" spans="1:11" s="16" customFormat="1" ht="71.25">
      <c r="A652" s="257" t="s">
        <v>469</v>
      </c>
      <c r="B652" s="229"/>
      <c r="C652" s="301" t="s">
        <v>5</v>
      </c>
      <c r="D652" s="302" t="s">
        <v>105</v>
      </c>
      <c r="E652" s="302" t="s">
        <v>579</v>
      </c>
      <c r="F652" s="303"/>
      <c r="G652" s="149">
        <f>SUM(G653:G654)</f>
        <v>51050.8</v>
      </c>
      <c r="H652" s="14">
        <f>SUM(H654)</f>
        <v>6301</v>
      </c>
      <c r="I652" s="14">
        <f>SUM(H652/G661*100)</f>
        <v>80.55175587742735</v>
      </c>
      <c r="K652" s="176"/>
    </row>
    <row r="653" spans="1:11" s="16" customFormat="1" ht="15">
      <c r="A653" s="233" t="s">
        <v>499</v>
      </c>
      <c r="B653" s="214"/>
      <c r="C653" s="292" t="s">
        <v>5</v>
      </c>
      <c r="D653" s="288" t="s">
        <v>105</v>
      </c>
      <c r="E653" s="302" t="s">
        <v>579</v>
      </c>
      <c r="F653" s="285" t="s">
        <v>119</v>
      </c>
      <c r="G653" s="149">
        <v>775.9</v>
      </c>
      <c r="H653" s="14"/>
      <c r="I653" s="14"/>
      <c r="J653" s="16">
        <f>SUM('ведомствен.2014'!G484)</f>
        <v>775.9</v>
      </c>
      <c r="K653" s="176"/>
    </row>
    <row r="654" spans="1:11" s="16" customFormat="1" ht="15">
      <c r="A654" s="239" t="s">
        <v>504</v>
      </c>
      <c r="B654" s="229"/>
      <c r="C654" s="301" t="s">
        <v>5</v>
      </c>
      <c r="D654" s="302" t="s">
        <v>105</v>
      </c>
      <c r="E654" s="302" t="s">
        <v>579</v>
      </c>
      <c r="F654" s="303" t="s">
        <v>505</v>
      </c>
      <c r="G654" s="149">
        <v>50274.9</v>
      </c>
      <c r="H654" s="14">
        <v>6301</v>
      </c>
      <c r="I654" s="14">
        <f>SUM(H654/G663*100)</f>
        <v>84.4004500642949</v>
      </c>
      <c r="J654" s="16">
        <f>SUM('ведомствен.2014'!G485)</f>
        <v>50274.9</v>
      </c>
      <c r="K654" s="176"/>
    </row>
    <row r="655" spans="1:11" s="16" customFormat="1" ht="85.5">
      <c r="A655" s="257" t="s">
        <v>580</v>
      </c>
      <c r="B655" s="229"/>
      <c r="C655" s="301" t="s">
        <v>5</v>
      </c>
      <c r="D655" s="302" t="s">
        <v>105</v>
      </c>
      <c r="E655" s="302" t="s">
        <v>581</v>
      </c>
      <c r="F655" s="303"/>
      <c r="G655" s="149">
        <f>SUM(G656:G657)</f>
        <v>150770.4</v>
      </c>
      <c r="H655" s="14"/>
      <c r="I655" s="14"/>
      <c r="J655" s="38"/>
      <c r="K655" s="176"/>
    </row>
    <row r="656" spans="1:11" s="16" customFormat="1" ht="15">
      <c r="A656" s="233" t="s">
        <v>499</v>
      </c>
      <c r="B656" s="229"/>
      <c r="C656" s="301" t="s">
        <v>5</v>
      </c>
      <c r="D656" s="302" t="s">
        <v>105</v>
      </c>
      <c r="E656" s="302" t="s">
        <v>581</v>
      </c>
      <c r="F656" s="303" t="s">
        <v>119</v>
      </c>
      <c r="G656" s="149">
        <v>6227.8</v>
      </c>
      <c r="H656" s="14"/>
      <c r="I656" s="14"/>
      <c r="J656" s="38">
        <f>SUM('ведомствен.2014'!G487)</f>
        <v>6227.8</v>
      </c>
      <c r="K656" s="176"/>
    </row>
    <row r="657" spans="1:11" s="16" customFormat="1" ht="15">
      <c r="A657" s="239" t="s">
        <v>504</v>
      </c>
      <c r="B657" s="229"/>
      <c r="C657" s="301" t="s">
        <v>5</v>
      </c>
      <c r="D657" s="302" t="s">
        <v>105</v>
      </c>
      <c r="E657" s="302" t="s">
        <v>581</v>
      </c>
      <c r="F657" s="303" t="s">
        <v>505</v>
      </c>
      <c r="G657" s="149">
        <v>144542.6</v>
      </c>
      <c r="H657" s="14"/>
      <c r="I657" s="14"/>
      <c r="J657" s="16">
        <f>SUM('ведомствен.2014'!G488)</f>
        <v>144542.6</v>
      </c>
      <c r="K657" s="176"/>
    </row>
    <row r="658" spans="1:11" s="16" customFormat="1" ht="85.5">
      <c r="A658" s="251" t="s">
        <v>470</v>
      </c>
      <c r="B658" s="229"/>
      <c r="C658" s="301" t="s">
        <v>5</v>
      </c>
      <c r="D658" s="302" t="s">
        <v>105</v>
      </c>
      <c r="E658" s="302" t="s">
        <v>582</v>
      </c>
      <c r="F658" s="303"/>
      <c r="G658" s="149">
        <f>SUM(G659:G660)</f>
        <v>1530.3000000000002</v>
      </c>
      <c r="H658" s="14">
        <f>SUM(H660)</f>
        <v>18786.9</v>
      </c>
      <c r="I658" s="14">
        <f>SUM(H658/G667*100)</f>
        <v>2124.493950016963</v>
      </c>
      <c r="K658" s="176"/>
    </row>
    <row r="659" spans="1:11" s="16" customFormat="1" ht="15">
      <c r="A659" s="233" t="s">
        <v>499</v>
      </c>
      <c r="B659" s="229"/>
      <c r="C659" s="301" t="s">
        <v>5</v>
      </c>
      <c r="D659" s="302" t="s">
        <v>105</v>
      </c>
      <c r="E659" s="302" t="s">
        <v>582</v>
      </c>
      <c r="F659" s="303" t="s">
        <v>119</v>
      </c>
      <c r="G659" s="149">
        <v>23.4</v>
      </c>
      <c r="H659" s="14"/>
      <c r="I659" s="14"/>
      <c r="J659" s="16">
        <f>SUM('ведомствен.2014'!G490)</f>
        <v>23.4</v>
      </c>
      <c r="K659" s="176"/>
    </row>
    <row r="660" spans="1:11" s="16" customFormat="1" ht="15">
      <c r="A660" s="239" t="s">
        <v>504</v>
      </c>
      <c r="B660" s="229"/>
      <c r="C660" s="301" t="s">
        <v>5</v>
      </c>
      <c r="D660" s="302" t="s">
        <v>105</v>
      </c>
      <c r="E660" s="302" t="s">
        <v>582</v>
      </c>
      <c r="F660" s="303" t="s">
        <v>505</v>
      </c>
      <c r="G660" s="149">
        <v>1506.9</v>
      </c>
      <c r="H660" s="14">
        <v>18786.9</v>
      </c>
      <c r="I660" s="14">
        <f>SUM(H660/G669*100)</f>
        <v>2258.5837941812943</v>
      </c>
      <c r="J660" s="16">
        <f>SUM('ведомствен.2014'!G491)</f>
        <v>1506.9</v>
      </c>
      <c r="K660" s="176"/>
    </row>
    <row r="661" spans="1:11" s="16" customFormat="1" ht="99.75">
      <c r="A661" s="251" t="s">
        <v>471</v>
      </c>
      <c r="B661" s="229"/>
      <c r="C661" s="301" t="s">
        <v>5</v>
      </c>
      <c r="D661" s="302" t="s">
        <v>105</v>
      </c>
      <c r="E661" s="302" t="s">
        <v>583</v>
      </c>
      <c r="F661" s="303"/>
      <c r="G661" s="149">
        <f>SUM(G662:G663)</f>
        <v>7822.3</v>
      </c>
      <c r="H661" s="14">
        <f>SUM(H663)</f>
        <v>15760.4</v>
      </c>
      <c r="I661" s="14">
        <f>SUM(H661/G670*100)</f>
        <v>8149.120992761116</v>
      </c>
      <c r="K661" s="176"/>
    </row>
    <row r="662" spans="1:11" s="16" customFormat="1" ht="15">
      <c r="A662" s="233" t="s">
        <v>499</v>
      </c>
      <c r="B662" s="229"/>
      <c r="C662" s="301" t="s">
        <v>5</v>
      </c>
      <c r="D662" s="302" t="s">
        <v>105</v>
      </c>
      <c r="E662" s="302" t="s">
        <v>583</v>
      </c>
      <c r="F662" s="303" t="s">
        <v>119</v>
      </c>
      <c r="G662" s="149">
        <v>356.7</v>
      </c>
      <c r="H662" s="14"/>
      <c r="I662" s="14"/>
      <c r="J662" s="16">
        <f>SUM('ведомствен.2014'!G493)</f>
        <v>356.7</v>
      </c>
      <c r="K662" s="176"/>
    </row>
    <row r="663" spans="1:11" s="16" customFormat="1" ht="15">
      <c r="A663" s="239" t="s">
        <v>504</v>
      </c>
      <c r="B663" s="229"/>
      <c r="C663" s="301" t="s">
        <v>5</v>
      </c>
      <c r="D663" s="302" t="s">
        <v>105</v>
      </c>
      <c r="E663" s="302" t="s">
        <v>583</v>
      </c>
      <c r="F663" s="303" t="s">
        <v>505</v>
      </c>
      <c r="G663" s="149">
        <v>7465.6</v>
      </c>
      <c r="H663" s="14">
        <v>15760.4</v>
      </c>
      <c r="I663" s="14">
        <f>SUM(H663/G672*100)</f>
        <v>8277.52100840336</v>
      </c>
      <c r="J663" s="16">
        <f>SUM('ведомствен.2014'!G494)</f>
        <v>7465.6</v>
      </c>
      <c r="K663" s="176"/>
    </row>
    <row r="664" spans="1:11" s="25" customFormat="1" ht="57">
      <c r="A664" s="239" t="s">
        <v>472</v>
      </c>
      <c r="B664" s="229"/>
      <c r="C664" s="301" t="s">
        <v>5</v>
      </c>
      <c r="D664" s="302" t="s">
        <v>105</v>
      </c>
      <c r="E664" s="302" t="s">
        <v>584</v>
      </c>
      <c r="F664" s="303"/>
      <c r="G664" s="149">
        <f>SUM(G665:G666)</f>
        <v>116761.59999999999</v>
      </c>
      <c r="H664" s="14">
        <f>SUM(H666)</f>
        <v>40636.1</v>
      </c>
      <c r="I664" s="14">
        <f>SUM(H664/G673*100)</f>
        <v>551.1025821850927</v>
      </c>
      <c r="K664" s="176"/>
    </row>
    <row r="665" spans="1:11" s="25" customFormat="1" ht="15">
      <c r="A665" s="233" t="s">
        <v>499</v>
      </c>
      <c r="B665" s="229"/>
      <c r="C665" s="301" t="s">
        <v>5</v>
      </c>
      <c r="D665" s="302" t="s">
        <v>105</v>
      </c>
      <c r="E665" s="302" t="s">
        <v>584</v>
      </c>
      <c r="F665" s="303" t="s">
        <v>119</v>
      </c>
      <c r="G665" s="149">
        <v>1766.2</v>
      </c>
      <c r="H665" s="14"/>
      <c r="I665" s="14"/>
      <c r="J665" s="25">
        <f>SUM('ведомствен.2014'!G496)</f>
        <v>1766.2</v>
      </c>
      <c r="K665" s="176"/>
    </row>
    <row r="666" spans="1:11" s="25" customFormat="1" ht="15">
      <c r="A666" s="239" t="s">
        <v>504</v>
      </c>
      <c r="B666" s="229"/>
      <c r="C666" s="301" t="s">
        <v>5</v>
      </c>
      <c r="D666" s="302" t="s">
        <v>105</v>
      </c>
      <c r="E666" s="302" t="s">
        <v>584</v>
      </c>
      <c r="F666" s="303" t="s">
        <v>505</v>
      </c>
      <c r="G666" s="149">
        <v>114995.4</v>
      </c>
      <c r="H666" s="14">
        <v>40636.1</v>
      </c>
      <c r="I666" s="14">
        <f>SUM(H666/G675*100)</f>
        <v>569.9792408898364</v>
      </c>
      <c r="J666" s="16">
        <f>SUM('ведомствен.2014'!G497)</f>
        <v>114995.4</v>
      </c>
      <c r="K666" s="176"/>
    </row>
    <row r="667" spans="1:11" s="25" customFormat="1" ht="85.5">
      <c r="A667" s="239" t="s">
        <v>473</v>
      </c>
      <c r="B667" s="229"/>
      <c r="C667" s="301" t="s">
        <v>5</v>
      </c>
      <c r="D667" s="302" t="s">
        <v>105</v>
      </c>
      <c r="E667" s="302" t="s">
        <v>585</v>
      </c>
      <c r="F667" s="303"/>
      <c r="G667" s="149">
        <f>SUM(G668:G669)</f>
        <v>884.3</v>
      </c>
      <c r="H667" s="14"/>
      <c r="I667" s="14"/>
      <c r="J667" s="38"/>
      <c r="K667" s="176"/>
    </row>
    <row r="668" spans="1:11" s="25" customFormat="1" ht="15">
      <c r="A668" s="233" t="s">
        <v>499</v>
      </c>
      <c r="B668" s="229"/>
      <c r="C668" s="301" t="s">
        <v>5</v>
      </c>
      <c r="D668" s="302" t="s">
        <v>105</v>
      </c>
      <c r="E668" s="302" t="s">
        <v>585</v>
      </c>
      <c r="F668" s="303" t="s">
        <v>119</v>
      </c>
      <c r="G668" s="149">
        <v>52.5</v>
      </c>
      <c r="H668" s="14"/>
      <c r="I668" s="14"/>
      <c r="J668" s="38">
        <f>SUM('ведомствен.2014'!G499)</f>
        <v>52.5</v>
      </c>
      <c r="K668" s="176"/>
    </row>
    <row r="669" spans="1:11" s="16" customFormat="1" ht="15">
      <c r="A669" s="239" t="s">
        <v>504</v>
      </c>
      <c r="B669" s="229"/>
      <c r="C669" s="301" t="s">
        <v>5</v>
      </c>
      <c r="D669" s="302" t="s">
        <v>105</v>
      </c>
      <c r="E669" s="302" t="s">
        <v>585</v>
      </c>
      <c r="F669" s="303" t="s">
        <v>505</v>
      </c>
      <c r="G669" s="149">
        <v>831.8</v>
      </c>
      <c r="H669" s="14">
        <f>SUM(H670)</f>
        <v>191.3</v>
      </c>
      <c r="I669" s="14">
        <f>SUM(H669/G678*100)</f>
        <v>3.1031518159845577</v>
      </c>
      <c r="J669" s="16">
        <f>SUM('ведомствен.2014'!G500)</f>
        <v>831.8</v>
      </c>
      <c r="K669" s="176"/>
    </row>
    <row r="670" spans="1:11" s="16" customFormat="1" ht="71.25">
      <c r="A670" s="239" t="s">
        <v>586</v>
      </c>
      <c r="B670" s="229"/>
      <c r="C670" s="301" t="s">
        <v>5</v>
      </c>
      <c r="D670" s="302" t="s">
        <v>105</v>
      </c>
      <c r="E670" s="302" t="s">
        <v>587</v>
      </c>
      <c r="F670" s="303"/>
      <c r="G670" s="149">
        <f>SUM(G671:G672)</f>
        <v>193.4</v>
      </c>
      <c r="H670" s="14">
        <v>191.3</v>
      </c>
      <c r="I670" s="14">
        <f>SUM(H670/G679*100)</f>
        <v>9.836992852367976</v>
      </c>
      <c r="J670" s="38"/>
      <c r="K670" s="176"/>
    </row>
    <row r="671" spans="1:11" s="16" customFormat="1" ht="15">
      <c r="A671" s="233" t="s">
        <v>499</v>
      </c>
      <c r="B671" s="229"/>
      <c r="C671" s="301" t="s">
        <v>5</v>
      </c>
      <c r="D671" s="302" t="s">
        <v>105</v>
      </c>
      <c r="E671" s="302" t="s">
        <v>587</v>
      </c>
      <c r="F671" s="303" t="s">
        <v>119</v>
      </c>
      <c r="G671" s="149">
        <v>3</v>
      </c>
      <c r="H671" s="14"/>
      <c r="I671" s="14"/>
      <c r="J671" s="38">
        <f>SUM('ведомствен.2014'!G502)</f>
        <v>3</v>
      </c>
      <c r="K671" s="176"/>
    </row>
    <row r="672" spans="1:11" s="16" customFormat="1" ht="15">
      <c r="A672" s="239" t="s">
        <v>504</v>
      </c>
      <c r="B672" s="229"/>
      <c r="C672" s="301" t="s">
        <v>5</v>
      </c>
      <c r="D672" s="302" t="s">
        <v>105</v>
      </c>
      <c r="E672" s="302" t="s">
        <v>587</v>
      </c>
      <c r="F672" s="303" t="s">
        <v>505</v>
      </c>
      <c r="G672" s="149">
        <v>190.4</v>
      </c>
      <c r="H672" s="14">
        <f>SUM(H675)</f>
        <v>4180.7</v>
      </c>
      <c r="I672" s="14">
        <f>SUM(H672/G681*100)</f>
        <v>261.1958015744096</v>
      </c>
      <c r="J672" s="16">
        <f>SUM('ведомствен.2014'!G503)</f>
        <v>190.4</v>
      </c>
      <c r="K672" s="176"/>
    </row>
    <row r="673" spans="1:11" s="16" customFormat="1" ht="57">
      <c r="A673" s="239" t="s">
        <v>474</v>
      </c>
      <c r="B673" s="229"/>
      <c r="C673" s="301" t="s">
        <v>5</v>
      </c>
      <c r="D673" s="302" t="s">
        <v>105</v>
      </c>
      <c r="E673" s="302" t="s">
        <v>588</v>
      </c>
      <c r="F673" s="303"/>
      <c r="G673" s="149">
        <f>SUM(G674:G675)</f>
        <v>7373.599999999999</v>
      </c>
      <c r="H673" s="14"/>
      <c r="I673" s="14"/>
      <c r="J673" s="38"/>
      <c r="K673" s="176"/>
    </row>
    <row r="674" spans="1:11" s="16" customFormat="1" ht="15">
      <c r="A674" s="233" t="s">
        <v>499</v>
      </c>
      <c r="B674" s="229"/>
      <c r="C674" s="301" t="s">
        <v>5</v>
      </c>
      <c r="D674" s="302" t="s">
        <v>105</v>
      </c>
      <c r="E674" s="302" t="s">
        <v>588</v>
      </c>
      <c r="F674" s="303" t="s">
        <v>119</v>
      </c>
      <c r="G674" s="149">
        <v>244.2</v>
      </c>
      <c r="H674" s="14"/>
      <c r="I674" s="14"/>
      <c r="J674" s="38">
        <f>SUM('ведомствен.2014'!G505)</f>
        <v>244.2</v>
      </c>
      <c r="K674" s="176"/>
    </row>
    <row r="675" spans="1:11" s="16" customFormat="1" ht="15">
      <c r="A675" s="239" t="s">
        <v>504</v>
      </c>
      <c r="B675" s="229"/>
      <c r="C675" s="301" t="s">
        <v>5</v>
      </c>
      <c r="D675" s="302" t="s">
        <v>105</v>
      </c>
      <c r="E675" s="302" t="s">
        <v>588</v>
      </c>
      <c r="F675" s="303" t="s">
        <v>505</v>
      </c>
      <c r="G675" s="149">
        <v>7129.4</v>
      </c>
      <c r="H675" s="14">
        <v>4180.7</v>
      </c>
      <c r="I675" s="14">
        <f>SUM(H675/G683*100)</f>
        <v>47.11019460689857</v>
      </c>
      <c r="J675" s="16">
        <f>SUM('ведомствен.2014'!G506)</f>
        <v>7129.4</v>
      </c>
      <c r="K675" s="176"/>
    </row>
    <row r="676" spans="1:11" s="16" customFormat="1" ht="42.75">
      <c r="A676" s="239" t="s">
        <v>475</v>
      </c>
      <c r="B676" s="229"/>
      <c r="C676" s="301" t="s">
        <v>5</v>
      </c>
      <c r="D676" s="302" t="s">
        <v>105</v>
      </c>
      <c r="E676" s="302" t="s">
        <v>589</v>
      </c>
      <c r="F676" s="303"/>
      <c r="G676" s="149">
        <f>SUM(G677:G678)</f>
        <v>6257.2</v>
      </c>
      <c r="H676" s="14">
        <f>SUM(H678)</f>
        <v>0</v>
      </c>
      <c r="I676" s="14">
        <f>SUM(H676/G685*100)</f>
        <v>0</v>
      </c>
      <c r="K676" s="176"/>
    </row>
    <row r="677" spans="1:11" s="16" customFormat="1" ht="15">
      <c r="A677" s="233" t="s">
        <v>499</v>
      </c>
      <c r="B677" s="229"/>
      <c r="C677" s="301" t="s">
        <v>5</v>
      </c>
      <c r="D677" s="302" t="s">
        <v>105</v>
      </c>
      <c r="E677" s="302" t="s">
        <v>589</v>
      </c>
      <c r="F677" s="303" t="s">
        <v>119</v>
      </c>
      <c r="G677" s="149">
        <v>92.5</v>
      </c>
      <c r="H677" s="14"/>
      <c r="I677" s="14"/>
      <c r="J677" s="16">
        <f>SUM('ведомствен.2014'!G508)</f>
        <v>92.5</v>
      </c>
      <c r="K677" s="176"/>
    </row>
    <row r="678" spans="1:11" s="16" customFormat="1" ht="15">
      <c r="A678" s="239" t="s">
        <v>504</v>
      </c>
      <c r="B678" s="229"/>
      <c r="C678" s="301" t="s">
        <v>5</v>
      </c>
      <c r="D678" s="302" t="s">
        <v>105</v>
      </c>
      <c r="E678" s="302" t="s">
        <v>589</v>
      </c>
      <c r="F678" s="303" t="s">
        <v>505</v>
      </c>
      <c r="G678" s="149">
        <v>6164.7</v>
      </c>
      <c r="H678" s="14"/>
      <c r="I678" s="14">
        <f>SUM(H678/G691*100)</f>
        <v>0</v>
      </c>
      <c r="J678" s="16">
        <f>SUM('ведомствен.2014'!G509)</f>
        <v>6164.7</v>
      </c>
      <c r="K678" s="176"/>
    </row>
    <row r="679" spans="1:11" s="25" customFormat="1" ht="42.75">
      <c r="A679" s="251" t="s">
        <v>476</v>
      </c>
      <c r="B679" s="229"/>
      <c r="C679" s="301" t="s">
        <v>5</v>
      </c>
      <c r="D679" s="302" t="s">
        <v>105</v>
      </c>
      <c r="E679" s="302" t="s">
        <v>590</v>
      </c>
      <c r="F679" s="303"/>
      <c r="G679" s="149">
        <f>SUM(G680:G682)</f>
        <v>1944.6999999999998</v>
      </c>
      <c r="H679" s="14">
        <f>SUM(H681)</f>
        <v>0</v>
      </c>
      <c r="I679" s="14">
        <f>SUM(H679/G692*100)</f>
        <v>0</v>
      </c>
      <c r="K679" s="176"/>
    </row>
    <row r="680" spans="1:11" s="25" customFormat="1" ht="15">
      <c r="A680" s="233" t="s">
        <v>499</v>
      </c>
      <c r="B680" s="229"/>
      <c r="C680" s="301" t="s">
        <v>5</v>
      </c>
      <c r="D680" s="302" t="s">
        <v>105</v>
      </c>
      <c r="E680" s="302" t="s">
        <v>590</v>
      </c>
      <c r="F680" s="303" t="s">
        <v>119</v>
      </c>
      <c r="G680" s="149">
        <v>28.8</v>
      </c>
      <c r="H680" s="14"/>
      <c r="I680" s="14"/>
      <c r="J680" s="25">
        <f>SUM('ведомствен.2014'!G511)</f>
        <v>28.8</v>
      </c>
      <c r="K680" s="176"/>
    </row>
    <row r="681" spans="1:11" s="25" customFormat="1" ht="15">
      <c r="A681" s="239" t="s">
        <v>504</v>
      </c>
      <c r="B681" s="229"/>
      <c r="C681" s="301" t="s">
        <v>5</v>
      </c>
      <c r="D681" s="302" t="s">
        <v>105</v>
      </c>
      <c r="E681" s="302" t="s">
        <v>590</v>
      </c>
      <c r="F681" s="303" t="s">
        <v>505</v>
      </c>
      <c r="G681" s="149">
        <v>1600.6</v>
      </c>
      <c r="H681" s="14"/>
      <c r="I681" s="14">
        <f>SUM(H681/G694*100)</f>
        <v>0</v>
      </c>
      <c r="J681" s="16">
        <f>SUM('ведомствен.2014'!G512)</f>
        <v>1600.6</v>
      </c>
      <c r="K681" s="176"/>
    </row>
    <row r="682" spans="1:11" s="16" customFormat="1" ht="42.75">
      <c r="A682" s="239" t="s">
        <v>591</v>
      </c>
      <c r="B682" s="229"/>
      <c r="C682" s="301" t="s">
        <v>5</v>
      </c>
      <c r="D682" s="302" t="s">
        <v>105</v>
      </c>
      <c r="E682" s="302" t="s">
        <v>590</v>
      </c>
      <c r="F682" s="303" t="s">
        <v>512</v>
      </c>
      <c r="G682" s="149">
        <v>315.3</v>
      </c>
      <c r="H682" s="14">
        <f>SUM(H683)</f>
        <v>16724.6</v>
      </c>
      <c r="I682" s="14">
        <f>SUM(H682/G699*100)</f>
        <v>802.6780572086773</v>
      </c>
      <c r="J682" s="16">
        <f>SUM('ведомствен.2014'!G513)</f>
        <v>315.3</v>
      </c>
      <c r="K682" s="176"/>
    </row>
    <row r="683" spans="1:11" s="16" customFormat="1" ht="42.75">
      <c r="A683" s="239" t="s">
        <v>477</v>
      </c>
      <c r="B683" s="229"/>
      <c r="C683" s="301" t="s">
        <v>5</v>
      </c>
      <c r="D683" s="302" t="s">
        <v>105</v>
      </c>
      <c r="E683" s="302" t="s">
        <v>592</v>
      </c>
      <c r="F683" s="303"/>
      <c r="G683" s="149">
        <f>SUM(G684:G685)</f>
        <v>8874.300000000001</v>
      </c>
      <c r="H683" s="14">
        <v>16724.6</v>
      </c>
      <c r="I683" s="14">
        <f>SUM(H683/G700*100)</f>
        <v>20005.502392344497</v>
      </c>
      <c r="J683" s="38"/>
      <c r="K683" s="176"/>
    </row>
    <row r="684" spans="1:11" s="16" customFormat="1" ht="15">
      <c r="A684" s="233" t="s">
        <v>499</v>
      </c>
      <c r="B684" s="229"/>
      <c r="C684" s="301" t="s">
        <v>5</v>
      </c>
      <c r="D684" s="302" t="s">
        <v>105</v>
      </c>
      <c r="E684" s="302" t="s">
        <v>592</v>
      </c>
      <c r="F684" s="303" t="s">
        <v>119</v>
      </c>
      <c r="G684" s="149">
        <v>131.2</v>
      </c>
      <c r="H684" s="14"/>
      <c r="I684" s="14"/>
      <c r="J684" s="38">
        <f>SUM('ведомствен.2014'!G515)</f>
        <v>131.2</v>
      </c>
      <c r="K684" s="176"/>
    </row>
    <row r="685" spans="1:11" s="16" customFormat="1" ht="15">
      <c r="A685" s="239" t="s">
        <v>504</v>
      </c>
      <c r="B685" s="229"/>
      <c r="C685" s="301" t="s">
        <v>5</v>
      </c>
      <c r="D685" s="302" t="s">
        <v>105</v>
      </c>
      <c r="E685" s="302" t="s">
        <v>592</v>
      </c>
      <c r="F685" s="303" t="s">
        <v>505</v>
      </c>
      <c r="G685" s="149">
        <v>8743.1</v>
      </c>
      <c r="H685" s="14">
        <f>SUM(H691)</f>
        <v>4118.3</v>
      </c>
      <c r="I685" s="14">
        <f>SUM(H685/G701*100)</f>
        <v>4926.196172248805</v>
      </c>
      <c r="J685" s="16">
        <f>SUM('ведомствен.2014'!G516)</f>
        <v>8743.1</v>
      </c>
      <c r="K685" s="176"/>
    </row>
    <row r="686" spans="1:11" s="16" customFormat="1" ht="28.5">
      <c r="A686" s="122" t="s">
        <v>738</v>
      </c>
      <c r="B686" s="141"/>
      <c r="C686" s="302" t="s">
        <v>5</v>
      </c>
      <c r="D686" s="302" t="s">
        <v>105</v>
      </c>
      <c r="E686" s="302" t="s">
        <v>739</v>
      </c>
      <c r="F686" s="303"/>
      <c r="G686" s="271">
        <f>SUM(G687:G688)</f>
        <v>0</v>
      </c>
      <c r="H686" s="14"/>
      <c r="I686" s="14"/>
      <c r="K686" s="176"/>
    </row>
    <row r="687" spans="1:11" s="16" customFormat="1" ht="15">
      <c r="A687" s="117" t="s">
        <v>499</v>
      </c>
      <c r="B687" s="141"/>
      <c r="C687" s="302" t="s">
        <v>5</v>
      </c>
      <c r="D687" s="302" t="s">
        <v>105</v>
      </c>
      <c r="E687" s="302" t="s">
        <v>739</v>
      </c>
      <c r="F687" s="303" t="s">
        <v>119</v>
      </c>
      <c r="G687" s="271"/>
      <c r="H687" s="14"/>
      <c r="I687" s="14"/>
      <c r="J687" s="16">
        <f>SUM('ведомствен.2014'!G518)</f>
        <v>0</v>
      </c>
      <c r="K687" s="176"/>
    </row>
    <row r="688" spans="1:11" s="16" customFormat="1" ht="15">
      <c r="A688" s="122" t="s">
        <v>504</v>
      </c>
      <c r="B688" s="141"/>
      <c r="C688" s="302" t="s">
        <v>5</v>
      </c>
      <c r="D688" s="302" t="s">
        <v>105</v>
      </c>
      <c r="E688" s="302" t="s">
        <v>739</v>
      </c>
      <c r="F688" s="303" t="s">
        <v>505</v>
      </c>
      <c r="G688" s="271"/>
      <c r="H688" s="14"/>
      <c r="I688" s="14"/>
      <c r="J688" s="16">
        <f>SUM('ведомствен.2014'!G519)</f>
        <v>0</v>
      </c>
      <c r="K688" s="176"/>
    </row>
    <row r="689" spans="1:11" s="16" customFormat="1" ht="42.75">
      <c r="A689" s="241" t="s">
        <v>614</v>
      </c>
      <c r="B689" s="218"/>
      <c r="C689" s="332" t="s">
        <v>5</v>
      </c>
      <c r="D689" s="308" t="s">
        <v>105</v>
      </c>
      <c r="E689" s="308" t="s">
        <v>182</v>
      </c>
      <c r="F689" s="333"/>
      <c r="G689" s="148">
        <f>SUM(G690)</f>
        <v>9912.8</v>
      </c>
      <c r="H689" s="14"/>
      <c r="I689" s="14"/>
      <c r="K689" s="176"/>
    </row>
    <row r="690" spans="1:11" s="16" customFormat="1" ht="15">
      <c r="A690" s="241" t="s">
        <v>504</v>
      </c>
      <c r="B690" s="218"/>
      <c r="C690" s="332" t="s">
        <v>5</v>
      </c>
      <c r="D690" s="308" t="s">
        <v>105</v>
      </c>
      <c r="E690" s="308" t="s">
        <v>182</v>
      </c>
      <c r="F690" s="333" t="s">
        <v>505</v>
      </c>
      <c r="G690" s="148">
        <v>9912.8</v>
      </c>
      <c r="H690" s="14"/>
      <c r="I690" s="14"/>
      <c r="J690" s="16">
        <f>SUM('ведомствен.2014'!G778)</f>
        <v>9912.8</v>
      </c>
      <c r="K690" s="176"/>
    </row>
    <row r="691" spans="1:11" s="16" customFormat="1" ht="28.5">
      <c r="A691" s="256" t="s">
        <v>183</v>
      </c>
      <c r="B691" s="203"/>
      <c r="C691" s="301" t="s">
        <v>5</v>
      </c>
      <c r="D691" s="302" t="s">
        <v>105</v>
      </c>
      <c r="E691" s="302" t="s">
        <v>184</v>
      </c>
      <c r="F691" s="303"/>
      <c r="G691" s="149">
        <f>SUM(G692)</f>
        <v>1164.7</v>
      </c>
      <c r="H691" s="14">
        <v>4118.3</v>
      </c>
      <c r="I691" s="14">
        <f>SUM(H691/G705*100)</f>
        <v>4.237902072284</v>
      </c>
      <c r="J691" s="38"/>
      <c r="K691" s="176"/>
    </row>
    <row r="692" spans="1:11" s="16" customFormat="1" ht="15">
      <c r="A692" s="256" t="s">
        <v>185</v>
      </c>
      <c r="B692" s="203"/>
      <c r="C692" s="301" t="s">
        <v>5</v>
      </c>
      <c r="D692" s="302" t="s">
        <v>105</v>
      </c>
      <c r="E692" s="302" t="s">
        <v>186</v>
      </c>
      <c r="F692" s="303"/>
      <c r="G692" s="149">
        <f>SUM(G693:G694)</f>
        <v>1164.7</v>
      </c>
      <c r="H692" s="14">
        <f>SUM(H694)</f>
        <v>5628.5</v>
      </c>
      <c r="I692" s="14">
        <f>SUM(H692/G716*100)</f>
        <v>9.195062422196882</v>
      </c>
      <c r="K692" s="176"/>
    </row>
    <row r="693" spans="1:11" s="16" customFormat="1" ht="15">
      <c r="A693" s="233" t="s">
        <v>499</v>
      </c>
      <c r="B693" s="229"/>
      <c r="C693" s="301" t="s">
        <v>5</v>
      </c>
      <c r="D693" s="302" t="s">
        <v>105</v>
      </c>
      <c r="E693" s="302" t="s">
        <v>186</v>
      </c>
      <c r="F693" s="303" t="s">
        <v>119</v>
      </c>
      <c r="G693" s="149">
        <v>674.2</v>
      </c>
      <c r="H693" s="14"/>
      <c r="I693" s="14"/>
      <c r="J693" s="16">
        <f>SUM('ведомствен.2014'!G522)</f>
        <v>674.2</v>
      </c>
      <c r="K693" s="176"/>
    </row>
    <row r="694" spans="1:11" s="16" customFormat="1" ht="15">
      <c r="A694" s="256" t="s">
        <v>504</v>
      </c>
      <c r="B694" s="203"/>
      <c r="C694" s="301" t="s">
        <v>5</v>
      </c>
      <c r="D694" s="302" t="s">
        <v>105</v>
      </c>
      <c r="E694" s="302" t="s">
        <v>186</v>
      </c>
      <c r="F694" s="303" t="s">
        <v>505</v>
      </c>
      <c r="G694" s="149">
        <v>490.5</v>
      </c>
      <c r="H694" s="14">
        <f>SUM(H699)</f>
        <v>5628.5</v>
      </c>
      <c r="I694" s="14">
        <f>SUM(H694/G719*100)</f>
        <v>16.482325827923173</v>
      </c>
      <c r="J694" s="16">
        <f>SUM('ведомствен.2014'!G523)</f>
        <v>490.5</v>
      </c>
      <c r="K694" s="176"/>
    </row>
    <row r="695" spans="1:11" s="16" customFormat="1" ht="15">
      <c r="A695" s="180" t="s">
        <v>3</v>
      </c>
      <c r="B695" s="188"/>
      <c r="C695" s="311" t="s">
        <v>5</v>
      </c>
      <c r="D695" s="311" t="s">
        <v>105</v>
      </c>
      <c r="E695" s="311" t="s">
        <v>682</v>
      </c>
      <c r="F695" s="323"/>
      <c r="G695" s="277">
        <f>SUM(G696)</f>
        <v>3082.2</v>
      </c>
      <c r="H695" s="14"/>
      <c r="I695" s="14"/>
      <c r="K695" s="176"/>
    </row>
    <row r="696" spans="1:11" s="16" customFormat="1" ht="57">
      <c r="A696" s="182" t="s">
        <v>709</v>
      </c>
      <c r="B696" s="189"/>
      <c r="C696" s="311" t="s">
        <v>5</v>
      </c>
      <c r="D696" s="311" t="s">
        <v>105</v>
      </c>
      <c r="E696" s="311" t="s">
        <v>710</v>
      </c>
      <c r="F696" s="323"/>
      <c r="G696" s="277">
        <f>SUM(G697)</f>
        <v>3082.2</v>
      </c>
      <c r="H696" s="14"/>
      <c r="I696" s="14"/>
      <c r="K696" s="176"/>
    </row>
    <row r="697" spans="1:11" s="16" customFormat="1" ht="28.5">
      <c r="A697" s="180" t="s">
        <v>650</v>
      </c>
      <c r="B697" s="189"/>
      <c r="C697" s="311" t="s">
        <v>5</v>
      </c>
      <c r="D697" s="311" t="s">
        <v>105</v>
      </c>
      <c r="E697" s="311" t="s">
        <v>711</v>
      </c>
      <c r="F697" s="323"/>
      <c r="G697" s="277">
        <f>SUM(G698)</f>
        <v>3082.2</v>
      </c>
      <c r="H697" s="14"/>
      <c r="I697" s="14"/>
      <c r="K697" s="176"/>
    </row>
    <row r="698" spans="1:11" s="16" customFormat="1" ht="15">
      <c r="A698" s="183" t="s">
        <v>504</v>
      </c>
      <c r="B698" s="189"/>
      <c r="C698" s="311" t="s">
        <v>5</v>
      </c>
      <c r="D698" s="311" t="s">
        <v>105</v>
      </c>
      <c r="E698" s="311" t="s">
        <v>711</v>
      </c>
      <c r="F698" s="323" t="s">
        <v>505</v>
      </c>
      <c r="G698" s="277">
        <v>3082.2</v>
      </c>
      <c r="H698" s="14"/>
      <c r="I698" s="14"/>
      <c r="J698" s="16">
        <f>SUM('ведомствен.2014'!G320)</f>
        <v>3082.2</v>
      </c>
      <c r="K698" s="176"/>
    </row>
    <row r="699" spans="1:11" s="16" customFormat="1" ht="15">
      <c r="A699" s="239" t="s">
        <v>593</v>
      </c>
      <c r="B699" s="203"/>
      <c r="C699" s="301" t="s">
        <v>5</v>
      </c>
      <c r="D699" s="302" t="s">
        <v>105</v>
      </c>
      <c r="E699" s="302" t="s">
        <v>128</v>
      </c>
      <c r="F699" s="303"/>
      <c r="G699" s="149">
        <f>G700+G702</f>
        <v>2083.6</v>
      </c>
      <c r="H699" s="18">
        <v>5628.5</v>
      </c>
      <c r="I699" s="14">
        <f>SUM(H699/G720*100)</f>
        <v>100.91619751138523</v>
      </c>
      <c r="K699" s="176"/>
    </row>
    <row r="700" spans="1:11" s="16" customFormat="1" ht="28.5">
      <c r="A700" s="239" t="s">
        <v>684</v>
      </c>
      <c r="B700" s="203"/>
      <c r="C700" s="301" t="s">
        <v>5</v>
      </c>
      <c r="D700" s="302" t="s">
        <v>105</v>
      </c>
      <c r="E700" s="302" t="s">
        <v>594</v>
      </c>
      <c r="F700" s="303"/>
      <c r="G700" s="149">
        <f>G701</f>
        <v>83.6</v>
      </c>
      <c r="H700" s="14">
        <f>SUM(H701)</f>
        <v>12.8</v>
      </c>
      <c r="I700" s="14">
        <f>SUM(H700/G722*100)</f>
        <v>0.23293903548680622</v>
      </c>
      <c r="K700" s="176"/>
    </row>
    <row r="701" spans="1:11" s="16" customFormat="1" ht="15">
      <c r="A701" s="256" t="s">
        <v>504</v>
      </c>
      <c r="B701" s="203"/>
      <c r="C701" s="301" t="s">
        <v>5</v>
      </c>
      <c r="D701" s="302" t="s">
        <v>105</v>
      </c>
      <c r="E701" s="302" t="s">
        <v>594</v>
      </c>
      <c r="F701" s="303" t="s">
        <v>505</v>
      </c>
      <c r="G701" s="149">
        <v>83.6</v>
      </c>
      <c r="H701" s="14">
        <v>12.8</v>
      </c>
      <c r="I701" s="14">
        <f>SUM(H701/G723*100)</f>
        <v>0.25040593149050216</v>
      </c>
      <c r="J701" s="16">
        <f>SUM('ведомствен.2014'!G526)</f>
        <v>83.6</v>
      </c>
      <c r="K701" s="176"/>
    </row>
    <row r="702" spans="1:11" s="16" customFormat="1" ht="28.5">
      <c r="A702" s="258" t="s">
        <v>651</v>
      </c>
      <c r="B702" s="216"/>
      <c r="C702" s="310" t="s">
        <v>5</v>
      </c>
      <c r="D702" s="311" t="s">
        <v>105</v>
      </c>
      <c r="E702" s="317" t="s">
        <v>647</v>
      </c>
      <c r="F702" s="325"/>
      <c r="G702" s="177">
        <f>SUM(G703)</f>
        <v>2000</v>
      </c>
      <c r="H702" s="14"/>
      <c r="I702" s="14"/>
      <c r="K702" s="176"/>
    </row>
    <row r="703" spans="1:11" s="16" customFormat="1" ht="28.5">
      <c r="A703" s="244" t="s">
        <v>650</v>
      </c>
      <c r="B703" s="208"/>
      <c r="C703" s="310" t="s">
        <v>5</v>
      </c>
      <c r="D703" s="311" t="s">
        <v>105</v>
      </c>
      <c r="E703" s="317" t="s">
        <v>652</v>
      </c>
      <c r="F703" s="325"/>
      <c r="G703" s="278">
        <f>SUM(G704:G704)</f>
        <v>2000</v>
      </c>
      <c r="H703" s="14"/>
      <c r="I703" s="14"/>
      <c r="K703" s="176"/>
    </row>
    <row r="704" spans="1:11" s="16" customFormat="1" ht="15">
      <c r="A704" s="183" t="s">
        <v>504</v>
      </c>
      <c r="B704" s="230"/>
      <c r="C704" s="310" t="s">
        <v>5</v>
      </c>
      <c r="D704" s="311" t="s">
        <v>105</v>
      </c>
      <c r="E704" s="317" t="s">
        <v>652</v>
      </c>
      <c r="F704" s="323" t="s">
        <v>505</v>
      </c>
      <c r="G704" s="277">
        <v>2000</v>
      </c>
      <c r="H704" s="14"/>
      <c r="I704" s="14"/>
      <c r="J704" s="16">
        <f>SUM('ведомствен.2014'!G324)</f>
        <v>2000</v>
      </c>
      <c r="K704" s="176"/>
    </row>
    <row r="705" spans="1:11" s="16" customFormat="1" ht="15">
      <c r="A705" s="259" t="s">
        <v>157</v>
      </c>
      <c r="B705" s="203"/>
      <c r="C705" s="301" t="s">
        <v>5</v>
      </c>
      <c r="D705" s="302" t="s">
        <v>121</v>
      </c>
      <c r="E705" s="302"/>
      <c r="F705" s="303"/>
      <c r="G705" s="149">
        <f>SUM(G716)+G706</f>
        <v>97177.79999999999</v>
      </c>
      <c r="H705" s="14">
        <f>SUM(H716)</f>
        <v>90050.4</v>
      </c>
      <c r="I705" s="14">
        <f>SUM(H705/G725*100)</f>
        <v>1778.9138894925027</v>
      </c>
      <c r="K705" s="176">
        <f>SUM(J707:J728)</f>
        <v>97177.80000000002</v>
      </c>
    </row>
    <row r="706" spans="1:11" s="16" customFormat="1" ht="15">
      <c r="A706" s="233" t="s">
        <v>26</v>
      </c>
      <c r="B706" s="198"/>
      <c r="C706" s="298" t="s">
        <v>5</v>
      </c>
      <c r="D706" s="299" t="s">
        <v>121</v>
      </c>
      <c r="E706" s="283" t="s">
        <v>27</v>
      </c>
      <c r="F706" s="284"/>
      <c r="G706" s="347">
        <f>SUM(G707)+G714</f>
        <v>35965.6</v>
      </c>
      <c r="H706" s="14"/>
      <c r="I706" s="14"/>
      <c r="K706" s="176"/>
    </row>
    <row r="707" spans="1:11" s="16" customFormat="1" ht="42.75">
      <c r="A707" s="234" t="s">
        <v>563</v>
      </c>
      <c r="B707" s="201"/>
      <c r="C707" s="298" t="s">
        <v>5</v>
      </c>
      <c r="D707" s="299" t="s">
        <v>121</v>
      </c>
      <c r="E707" s="299" t="s">
        <v>206</v>
      </c>
      <c r="F707" s="300"/>
      <c r="G707" s="347">
        <f>G712+G708</f>
        <v>35965.6</v>
      </c>
      <c r="H707" s="14"/>
      <c r="I707" s="14"/>
      <c r="K707" s="176"/>
    </row>
    <row r="708" spans="1:11" s="16" customFormat="1" ht="71.25">
      <c r="A708" s="234" t="s">
        <v>637</v>
      </c>
      <c r="B708" s="201"/>
      <c r="C708" s="298" t="s">
        <v>5</v>
      </c>
      <c r="D708" s="299" t="s">
        <v>121</v>
      </c>
      <c r="E708" s="299" t="s">
        <v>564</v>
      </c>
      <c r="F708" s="300"/>
      <c r="G708" s="347">
        <f>SUM(G709)</f>
        <v>24576.3</v>
      </c>
      <c r="H708" s="14"/>
      <c r="I708" s="14"/>
      <c r="K708" s="176"/>
    </row>
    <row r="709" spans="1:11" s="16" customFormat="1" ht="28.5">
      <c r="A709" s="234" t="s">
        <v>565</v>
      </c>
      <c r="B709" s="201"/>
      <c r="C709" s="298" t="s">
        <v>5</v>
      </c>
      <c r="D709" s="299" t="s">
        <v>121</v>
      </c>
      <c r="E709" s="299" t="s">
        <v>564</v>
      </c>
      <c r="F709" s="300" t="s">
        <v>559</v>
      </c>
      <c r="G709" s="347">
        <v>24576.3</v>
      </c>
      <c r="H709" s="14"/>
      <c r="I709" s="14"/>
      <c r="J709" s="16">
        <f>SUM('ведомствен.2014'!G329)</f>
        <v>24576.3</v>
      </c>
      <c r="K709" s="176"/>
    </row>
    <row r="710" spans="1:11" s="16" customFormat="1" ht="15" hidden="1">
      <c r="A710" s="234" t="s">
        <v>65</v>
      </c>
      <c r="B710" s="201"/>
      <c r="C710" s="298" t="s">
        <v>5</v>
      </c>
      <c r="D710" s="299" t="s">
        <v>121</v>
      </c>
      <c r="E710" s="299" t="s">
        <v>564</v>
      </c>
      <c r="F710" s="300" t="s">
        <v>566</v>
      </c>
      <c r="G710" s="347"/>
      <c r="H710" s="14"/>
      <c r="I710" s="14"/>
      <c r="K710" s="176"/>
    </row>
    <row r="711" spans="1:11" s="16" customFormat="1" ht="28.5" hidden="1">
      <c r="A711" s="234" t="s">
        <v>567</v>
      </c>
      <c r="B711" s="201"/>
      <c r="C711" s="298" t="s">
        <v>5</v>
      </c>
      <c r="D711" s="299" t="s">
        <v>121</v>
      </c>
      <c r="E711" s="299" t="s">
        <v>564</v>
      </c>
      <c r="F711" s="300" t="s">
        <v>568</v>
      </c>
      <c r="G711" s="347"/>
      <c r="H711" s="14"/>
      <c r="I711" s="14"/>
      <c r="K711" s="176"/>
    </row>
    <row r="712" spans="1:11" s="16" customFormat="1" ht="57">
      <c r="A712" s="234" t="s">
        <v>638</v>
      </c>
      <c r="B712" s="201"/>
      <c r="C712" s="298" t="s">
        <v>5</v>
      </c>
      <c r="D712" s="299" t="s">
        <v>121</v>
      </c>
      <c r="E712" s="299" t="s">
        <v>465</v>
      </c>
      <c r="F712" s="300"/>
      <c r="G712" s="347">
        <f>SUM(G713)</f>
        <v>11389.3</v>
      </c>
      <c r="H712" s="14"/>
      <c r="I712" s="14"/>
      <c r="K712" s="176"/>
    </row>
    <row r="713" spans="1:11" s="16" customFormat="1" ht="28.5">
      <c r="A713" s="234" t="s">
        <v>565</v>
      </c>
      <c r="B713" s="201"/>
      <c r="C713" s="298" t="s">
        <v>5</v>
      </c>
      <c r="D713" s="299" t="s">
        <v>121</v>
      </c>
      <c r="E713" s="299" t="s">
        <v>465</v>
      </c>
      <c r="F713" s="300" t="s">
        <v>559</v>
      </c>
      <c r="G713" s="347">
        <v>11389.3</v>
      </c>
      <c r="H713" s="14"/>
      <c r="I713" s="14"/>
      <c r="J713" s="16">
        <f>SUM('ведомствен.2014'!G333)</f>
        <v>11389.3</v>
      </c>
      <c r="K713" s="176"/>
    </row>
    <row r="714" spans="1:11" s="16" customFormat="1" ht="57">
      <c r="A714" s="121" t="s">
        <v>752</v>
      </c>
      <c r="B714" s="298"/>
      <c r="C714" s="299" t="s">
        <v>5</v>
      </c>
      <c r="D714" s="299" t="s">
        <v>121</v>
      </c>
      <c r="E714" s="299" t="s">
        <v>753</v>
      </c>
      <c r="F714" s="300"/>
      <c r="G714" s="343">
        <f>SUM(G715)</f>
        <v>0</v>
      </c>
      <c r="H714" s="14"/>
      <c r="I714" s="14"/>
      <c r="K714" s="176"/>
    </row>
    <row r="715" spans="1:11" s="16" customFormat="1" ht="28.5">
      <c r="A715" s="121" t="s">
        <v>565</v>
      </c>
      <c r="B715" s="298"/>
      <c r="C715" s="299" t="s">
        <v>5</v>
      </c>
      <c r="D715" s="299" t="s">
        <v>121</v>
      </c>
      <c r="E715" s="299" t="s">
        <v>753</v>
      </c>
      <c r="F715" s="300" t="s">
        <v>559</v>
      </c>
      <c r="G715" s="343"/>
      <c r="H715" s="14"/>
      <c r="I715" s="14"/>
      <c r="J715" s="16">
        <f>SUM('ведомствен.2014'!G335)</f>
        <v>0</v>
      </c>
      <c r="K715" s="176"/>
    </row>
    <row r="716" spans="1:11" s="16" customFormat="1" ht="15">
      <c r="A716" s="256" t="s">
        <v>158</v>
      </c>
      <c r="B716" s="203"/>
      <c r="C716" s="301" t="s">
        <v>5</v>
      </c>
      <c r="D716" s="302" t="s">
        <v>121</v>
      </c>
      <c r="E716" s="302" t="s">
        <v>221</v>
      </c>
      <c r="F716" s="303"/>
      <c r="G716" s="149">
        <f>SUM(G719)+G717</f>
        <v>61212.2</v>
      </c>
      <c r="H716" s="14">
        <v>90050.4</v>
      </c>
      <c r="I716" s="14">
        <f>SUM(H716/G726*100)</f>
        <v>383.8530921243329</v>
      </c>
      <c r="J716" s="38"/>
      <c r="K716" s="176"/>
    </row>
    <row r="717" spans="1:11" s="16" customFormat="1" ht="57">
      <c r="A717" s="241" t="s">
        <v>159</v>
      </c>
      <c r="B717" s="218"/>
      <c r="C717" s="332" t="s">
        <v>5</v>
      </c>
      <c r="D717" s="308" t="s">
        <v>121</v>
      </c>
      <c r="E717" s="308" t="s">
        <v>160</v>
      </c>
      <c r="F717" s="333"/>
      <c r="G717" s="148">
        <f>SUM(G718)</f>
        <v>27063.5</v>
      </c>
      <c r="H717" s="14"/>
      <c r="I717" s="14"/>
      <c r="J717" s="38"/>
      <c r="K717" s="176"/>
    </row>
    <row r="718" spans="1:11" s="16" customFormat="1" ht="15">
      <c r="A718" s="241" t="s">
        <v>504</v>
      </c>
      <c r="B718" s="218"/>
      <c r="C718" s="332" t="s">
        <v>5</v>
      </c>
      <c r="D718" s="308" t="s">
        <v>121</v>
      </c>
      <c r="E718" s="308" t="s">
        <v>160</v>
      </c>
      <c r="F718" s="333" t="s">
        <v>505</v>
      </c>
      <c r="G718" s="148">
        <v>27063.5</v>
      </c>
      <c r="H718" s="14"/>
      <c r="I718" s="14"/>
      <c r="J718" s="38">
        <f>SUM('ведомствен.2014'!G782)</f>
        <v>27063.5</v>
      </c>
      <c r="K718" s="176"/>
    </row>
    <row r="719" spans="1:11" s="16" customFormat="1" ht="28.5">
      <c r="A719" s="256" t="s">
        <v>478</v>
      </c>
      <c r="B719" s="203"/>
      <c r="C719" s="301" t="s">
        <v>5</v>
      </c>
      <c r="D719" s="302" t="s">
        <v>121</v>
      </c>
      <c r="E719" s="302" t="s">
        <v>161</v>
      </c>
      <c r="F719" s="303"/>
      <c r="G719" s="149">
        <f>SUM(G726+G720+G723)</f>
        <v>34148.7</v>
      </c>
      <c r="H719" s="14"/>
      <c r="I719" s="14"/>
      <c r="J719" s="38"/>
      <c r="K719" s="176"/>
    </row>
    <row r="720" spans="1:11" s="16" customFormat="1" ht="15">
      <c r="A720" s="239" t="s">
        <v>162</v>
      </c>
      <c r="B720" s="229"/>
      <c r="C720" s="301" t="s">
        <v>5</v>
      </c>
      <c r="D720" s="302" t="s">
        <v>121</v>
      </c>
      <c r="E720" s="302" t="s">
        <v>163</v>
      </c>
      <c r="F720" s="303"/>
      <c r="G720" s="149">
        <f>SUM(G721:G722)</f>
        <v>5577.4</v>
      </c>
      <c r="H720" s="14">
        <f>SUM(H722)</f>
        <v>56493.7</v>
      </c>
      <c r="I720" s="14">
        <f>SUM(H720/G729*100)</f>
        <v>180.88460836516512</v>
      </c>
      <c r="K720" s="176"/>
    </row>
    <row r="721" spans="1:11" s="16" customFormat="1" ht="15">
      <c r="A721" s="233" t="s">
        <v>499</v>
      </c>
      <c r="B721" s="229"/>
      <c r="C721" s="301" t="s">
        <v>5</v>
      </c>
      <c r="D721" s="302" t="s">
        <v>121</v>
      </c>
      <c r="E721" s="302" t="s">
        <v>163</v>
      </c>
      <c r="F721" s="303" t="s">
        <v>119</v>
      </c>
      <c r="G721" s="149">
        <v>82.4</v>
      </c>
      <c r="H721" s="14"/>
      <c r="I721" s="14"/>
      <c r="J721" s="16">
        <f>SUM('ведомствен.2014'!G531)</f>
        <v>82.4</v>
      </c>
      <c r="K721" s="176"/>
    </row>
    <row r="722" spans="1:11" s="16" customFormat="1" ht="15">
      <c r="A722" s="239" t="s">
        <v>504</v>
      </c>
      <c r="B722" s="229"/>
      <c r="C722" s="301" t="s">
        <v>5</v>
      </c>
      <c r="D722" s="302" t="s">
        <v>121</v>
      </c>
      <c r="E722" s="302" t="s">
        <v>163</v>
      </c>
      <c r="F722" s="303" t="s">
        <v>505</v>
      </c>
      <c r="G722" s="149">
        <v>5495</v>
      </c>
      <c r="H722" s="14">
        <v>56493.7</v>
      </c>
      <c r="I722" s="14">
        <f>SUM(H722/G730*100)</f>
        <v>202.4950893945259</v>
      </c>
      <c r="J722" s="16">
        <f>SUM('ведомствен.2014'!G532)</f>
        <v>5495</v>
      </c>
      <c r="K722" s="176"/>
    </row>
    <row r="723" spans="1:11" s="16" customFormat="1" ht="15">
      <c r="A723" s="256" t="s">
        <v>479</v>
      </c>
      <c r="B723" s="203"/>
      <c r="C723" s="301" t="s">
        <v>5</v>
      </c>
      <c r="D723" s="302" t="s">
        <v>121</v>
      </c>
      <c r="E723" s="302" t="s">
        <v>164</v>
      </c>
      <c r="F723" s="303"/>
      <c r="G723" s="149">
        <f>SUM(G724:G725)</f>
        <v>5111.700000000001</v>
      </c>
      <c r="H723" s="14">
        <f>SUM(H725+H730+H732+H747+H750+H741+H756)</f>
        <v>182903.19999999998</v>
      </c>
      <c r="I723" s="14">
        <f>SUM(H723/G731*100)</f>
        <v>5121.90422850742</v>
      </c>
      <c r="K723" s="176"/>
    </row>
    <row r="724" spans="1:11" s="16" customFormat="1" ht="15">
      <c r="A724" s="233" t="s">
        <v>499</v>
      </c>
      <c r="B724" s="229"/>
      <c r="C724" s="301" t="s">
        <v>5</v>
      </c>
      <c r="D724" s="302" t="s">
        <v>121</v>
      </c>
      <c r="E724" s="302" t="s">
        <v>164</v>
      </c>
      <c r="F724" s="303" t="s">
        <v>119</v>
      </c>
      <c r="G724" s="149">
        <v>49.6</v>
      </c>
      <c r="H724" s="14"/>
      <c r="I724" s="14"/>
      <c r="J724" s="16">
        <f>SUM('ведомствен.2014'!G534)</f>
        <v>49.6</v>
      </c>
      <c r="K724" s="176"/>
    </row>
    <row r="725" spans="1:11" s="16" customFormat="1" ht="15">
      <c r="A725" s="256" t="s">
        <v>504</v>
      </c>
      <c r="B725" s="203"/>
      <c r="C725" s="301" t="s">
        <v>5</v>
      </c>
      <c r="D725" s="302" t="s">
        <v>121</v>
      </c>
      <c r="E725" s="302" t="s">
        <v>164</v>
      </c>
      <c r="F725" s="303" t="s">
        <v>505</v>
      </c>
      <c r="G725" s="149">
        <v>5062.1</v>
      </c>
      <c r="H725" s="14">
        <f>SUM(H726)</f>
        <v>37224.7</v>
      </c>
      <c r="I725" s="14">
        <f>SUM(H725/G732*100)</f>
        <v>1043.9954004936055</v>
      </c>
      <c r="J725" s="16">
        <f>SUM('ведомствен.2014'!G535)</f>
        <v>5062.1</v>
      </c>
      <c r="K725" s="176"/>
    </row>
    <row r="726" spans="1:11" s="16" customFormat="1" ht="15">
      <c r="A726" s="239" t="s">
        <v>480</v>
      </c>
      <c r="B726" s="229"/>
      <c r="C726" s="301" t="s">
        <v>5</v>
      </c>
      <c r="D726" s="302" t="s">
        <v>121</v>
      </c>
      <c r="E726" s="302" t="s">
        <v>481</v>
      </c>
      <c r="F726" s="303"/>
      <c r="G726" s="149">
        <f>SUM(G727:G728)</f>
        <v>23459.6</v>
      </c>
      <c r="H726" s="14">
        <v>37224.7</v>
      </c>
      <c r="I726" s="14">
        <f>SUM(H726/G733*100)</f>
        <v>689346.2962962962</v>
      </c>
      <c r="J726" s="38"/>
      <c r="K726" s="176"/>
    </row>
    <row r="727" spans="1:11" s="16" customFormat="1" ht="15">
      <c r="A727" s="233" t="s">
        <v>499</v>
      </c>
      <c r="B727" s="229"/>
      <c r="C727" s="301" t="s">
        <v>5</v>
      </c>
      <c r="D727" s="302" t="s">
        <v>121</v>
      </c>
      <c r="E727" s="302" t="s">
        <v>481</v>
      </c>
      <c r="F727" s="303" t="s">
        <v>119</v>
      </c>
      <c r="G727" s="149">
        <v>330.8</v>
      </c>
      <c r="H727" s="14"/>
      <c r="I727" s="14"/>
      <c r="J727" s="38">
        <f>SUM('ведомствен.2014'!G537)</f>
        <v>330.8</v>
      </c>
      <c r="K727" s="176"/>
    </row>
    <row r="728" spans="1:11" s="16" customFormat="1" ht="15">
      <c r="A728" s="239" t="s">
        <v>504</v>
      </c>
      <c r="B728" s="229"/>
      <c r="C728" s="301" t="s">
        <v>5</v>
      </c>
      <c r="D728" s="302" t="s">
        <v>121</v>
      </c>
      <c r="E728" s="302" t="s">
        <v>481</v>
      </c>
      <c r="F728" s="303" t="s">
        <v>505</v>
      </c>
      <c r="G728" s="149">
        <v>23128.8</v>
      </c>
      <c r="H728" s="14">
        <f>SUM(H729)</f>
        <v>0</v>
      </c>
      <c r="I728" s="14">
        <f>SUM(H728/G734*100)</f>
        <v>0</v>
      </c>
      <c r="J728" s="16">
        <f>SUM('ведомствен.2014'!G538)</f>
        <v>23128.8</v>
      </c>
      <c r="K728" s="176"/>
    </row>
    <row r="729" spans="1:11" s="16" customFormat="1" ht="15">
      <c r="A729" s="256" t="s">
        <v>165</v>
      </c>
      <c r="B729" s="203"/>
      <c r="C729" s="301" t="s">
        <v>5</v>
      </c>
      <c r="D729" s="302" t="s">
        <v>390</v>
      </c>
      <c r="E729" s="302"/>
      <c r="F729" s="303"/>
      <c r="G729" s="149">
        <f>G730+G743+G755+G753</f>
        <v>31231.899999999998</v>
      </c>
      <c r="H729" s="14"/>
      <c r="I729" s="14">
        <f>SUM(H729/G735*100)</f>
        <v>0</v>
      </c>
      <c r="K729" s="176">
        <f>SUM(J731:J757)</f>
        <v>31231.899999999994</v>
      </c>
    </row>
    <row r="730" spans="1:11" s="16" customFormat="1" ht="42.75">
      <c r="A730" s="239" t="s">
        <v>98</v>
      </c>
      <c r="B730" s="203"/>
      <c r="C730" s="301" t="s">
        <v>5</v>
      </c>
      <c r="D730" s="302" t="s">
        <v>390</v>
      </c>
      <c r="E730" s="302" t="s">
        <v>99</v>
      </c>
      <c r="F730" s="303"/>
      <c r="G730" s="149">
        <f>G731+G734+G738+G740</f>
        <v>27898.8</v>
      </c>
      <c r="H730" s="14">
        <f>SUM(H731)</f>
        <v>29554</v>
      </c>
      <c r="I730" s="14">
        <f>SUM(H730/G736*100)</f>
        <v>5477.020014825796</v>
      </c>
      <c r="K730" s="176"/>
    </row>
    <row r="731" spans="1:11" s="16" customFormat="1" ht="15">
      <c r="A731" s="239" t="s">
        <v>106</v>
      </c>
      <c r="B731" s="203"/>
      <c r="C731" s="301" t="s">
        <v>5</v>
      </c>
      <c r="D731" s="302" t="s">
        <v>390</v>
      </c>
      <c r="E731" s="302" t="s">
        <v>108</v>
      </c>
      <c r="F731" s="303"/>
      <c r="G731" s="149">
        <f>G732+G733</f>
        <v>3571</v>
      </c>
      <c r="H731" s="14">
        <v>29554</v>
      </c>
      <c r="I731" s="14">
        <f aca="true" t="shared" si="12" ref="I731:I736">SUM(H731/G738*100)</f>
        <v>202.80108969388385</v>
      </c>
      <c r="K731" s="176"/>
    </row>
    <row r="732" spans="1:11" s="16" customFormat="1" ht="42.75">
      <c r="A732" s="239" t="s">
        <v>595</v>
      </c>
      <c r="B732" s="203"/>
      <c r="C732" s="301" t="s">
        <v>5</v>
      </c>
      <c r="D732" s="302" t="s">
        <v>390</v>
      </c>
      <c r="E732" s="302" t="s">
        <v>108</v>
      </c>
      <c r="F732" s="303" t="s">
        <v>495</v>
      </c>
      <c r="G732" s="149">
        <v>3565.6</v>
      </c>
      <c r="H732" s="14">
        <f>SUM(H733)</f>
        <v>37911</v>
      </c>
      <c r="I732" s="14">
        <f t="shared" si="12"/>
        <v>260.1472596394678</v>
      </c>
      <c r="J732" s="16">
        <f>SUM('ведомствен.2014'!G542)</f>
        <v>3565.6</v>
      </c>
      <c r="K732" s="176"/>
    </row>
    <row r="733" spans="1:11" s="16" customFormat="1" ht="15">
      <c r="A733" s="239" t="s">
        <v>499</v>
      </c>
      <c r="B733" s="203"/>
      <c r="C733" s="301" t="s">
        <v>5</v>
      </c>
      <c r="D733" s="302" t="s">
        <v>390</v>
      </c>
      <c r="E733" s="302" t="s">
        <v>108</v>
      </c>
      <c r="F733" s="303" t="s">
        <v>119</v>
      </c>
      <c r="G733" s="149">
        <v>5.4</v>
      </c>
      <c r="H733" s="14">
        <v>37911</v>
      </c>
      <c r="I733" s="14">
        <f t="shared" si="12"/>
        <v>686.5820308962818</v>
      </c>
      <c r="J733" s="16">
        <f>SUM('ведомствен.2014'!G543)</f>
        <v>5.4</v>
      </c>
      <c r="K733" s="176"/>
    </row>
    <row r="734" spans="1:11" s="16" customFormat="1" ht="42.75">
      <c r="A734" s="256" t="s">
        <v>596</v>
      </c>
      <c r="B734" s="203"/>
      <c r="C734" s="301" t="s">
        <v>5</v>
      </c>
      <c r="D734" s="302" t="s">
        <v>390</v>
      </c>
      <c r="E734" s="302" t="s">
        <v>168</v>
      </c>
      <c r="F734" s="303"/>
      <c r="G734" s="149">
        <f>SUM(G735:G737)</f>
        <v>4233.2</v>
      </c>
      <c r="H734" s="14">
        <f>SUM(H735)</f>
        <v>0</v>
      </c>
      <c r="I734" s="14">
        <f t="shared" si="12"/>
        <v>0</v>
      </c>
      <c r="K734" s="176"/>
    </row>
    <row r="735" spans="1:11" s="16" customFormat="1" ht="42.75">
      <c r="A735" s="239" t="s">
        <v>595</v>
      </c>
      <c r="B735" s="203"/>
      <c r="C735" s="301" t="s">
        <v>5</v>
      </c>
      <c r="D735" s="302" t="s">
        <v>390</v>
      </c>
      <c r="E735" s="302" t="s">
        <v>168</v>
      </c>
      <c r="F735" s="303" t="s">
        <v>495</v>
      </c>
      <c r="G735" s="149">
        <v>3602.4</v>
      </c>
      <c r="H735" s="14"/>
      <c r="I735" s="14">
        <f t="shared" si="12"/>
        <v>0</v>
      </c>
      <c r="J735" s="16">
        <f>SUM('ведомствен.2014'!G545)</f>
        <v>3602.4</v>
      </c>
      <c r="K735" s="176"/>
    </row>
    <row r="736" spans="1:11" s="16" customFormat="1" ht="15">
      <c r="A736" s="239" t="s">
        <v>499</v>
      </c>
      <c r="B736" s="231"/>
      <c r="C736" s="301" t="s">
        <v>5</v>
      </c>
      <c r="D736" s="302" t="s">
        <v>390</v>
      </c>
      <c r="E736" s="302" t="s">
        <v>168</v>
      </c>
      <c r="F736" s="303" t="s">
        <v>119</v>
      </c>
      <c r="G736" s="149">
        <v>539.6</v>
      </c>
      <c r="H736" s="14">
        <f>SUM(H738)</f>
        <v>0</v>
      </c>
      <c r="I736" s="14">
        <f t="shared" si="12"/>
        <v>0</v>
      </c>
      <c r="J736" s="16">
        <f>SUM('ведомствен.2014'!G546)</f>
        <v>539.6</v>
      </c>
      <c r="K736" s="176"/>
    </row>
    <row r="737" spans="1:11" s="16" customFormat="1" ht="15">
      <c r="A737" s="233" t="s">
        <v>500</v>
      </c>
      <c r="B737" s="232"/>
      <c r="C737" s="301" t="s">
        <v>5</v>
      </c>
      <c r="D737" s="302" t="s">
        <v>390</v>
      </c>
      <c r="E737" s="302" t="s">
        <v>168</v>
      </c>
      <c r="F737" s="303" t="s">
        <v>175</v>
      </c>
      <c r="G737" s="149">
        <v>91.2</v>
      </c>
      <c r="H737" s="14"/>
      <c r="I737" s="14"/>
      <c r="J737" s="16">
        <f>SUM('ведомствен.2014'!G547)</f>
        <v>91.2</v>
      </c>
      <c r="K737" s="176"/>
    </row>
    <row r="738" spans="1:11" s="16" customFormat="1" ht="28.5">
      <c r="A738" s="256" t="s">
        <v>166</v>
      </c>
      <c r="B738" s="203"/>
      <c r="C738" s="301" t="s">
        <v>5</v>
      </c>
      <c r="D738" s="302" t="s">
        <v>390</v>
      </c>
      <c r="E738" s="302" t="s">
        <v>167</v>
      </c>
      <c r="F738" s="303"/>
      <c r="G738" s="149">
        <f>SUM(G739)</f>
        <v>14572.9</v>
      </c>
      <c r="H738" s="14"/>
      <c r="I738" s="14">
        <f>SUM(H738/G744*100)</f>
        <v>0</v>
      </c>
      <c r="K738" s="176"/>
    </row>
    <row r="739" spans="1:11" s="16" customFormat="1" ht="42.75">
      <c r="A739" s="239" t="s">
        <v>595</v>
      </c>
      <c r="B739" s="203"/>
      <c r="C739" s="301" t="s">
        <v>5</v>
      </c>
      <c r="D739" s="302" t="s">
        <v>390</v>
      </c>
      <c r="E739" s="302" t="s">
        <v>167</v>
      </c>
      <c r="F739" s="303" t="s">
        <v>495</v>
      </c>
      <c r="G739" s="149">
        <v>14572.9</v>
      </c>
      <c r="H739" s="14">
        <f>SUM(H740)</f>
        <v>0</v>
      </c>
      <c r="I739" s="14">
        <f>SUM(H739/G745*100)</f>
        <v>0</v>
      </c>
      <c r="J739" s="16">
        <f>SUM('ведомствен.2014'!G549)</f>
        <v>14572.9</v>
      </c>
      <c r="K739" s="176"/>
    </row>
    <row r="740" spans="1:11" s="16" customFormat="1" ht="42.75">
      <c r="A740" s="256" t="s">
        <v>169</v>
      </c>
      <c r="B740" s="231"/>
      <c r="C740" s="301" t="s">
        <v>5</v>
      </c>
      <c r="D740" s="302" t="s">
        <v>390</v>
      </c>
      <c r="E740" s="302" t="s">
        <v>170</v>
      </c>
      <c r="F740" s="303"/>
      <c r="G740" s="149">
        <f>G741+G742</f>
        <v>5521.700000000001</v>
      </c>
      <c r="H740" s="14"/>
      <c r="I740" s="14">
        <f>SUM(H740/G747*100)</f>
        <v>0</v>
      </c>
      <c r="K740" s="176"/>
    </row>
    <row r="741" spans="1:11" ht="42.75">
      <c r="A741" s="239" t="s">
        <v>595</v>
      </c>
      <c r="B741" s="203"/>
      <c r="C741" s="301" t="s">
        <v>5</v>
      </c>
      <c r="D741" s="302" t="s">
        <v>390</v>
      </c>
      <c r="E741" s="302" t="s">
        <v>170</v>
      </c>
      <c r="F741" s="303" t="s">
        <v>495</v>
      </c>
      <c r="G741" s="149">
        <v>4948.6</v>
      </c>
      <c r="H741" s="14">
        <f>SUM(H742)</f>
        <v>70381.4</v>
      </c>
      <c r="I741" s="14">
        <f>SUM(H741/G748*100)</f>
        <v>6030.968294772922</v>
      </c>
      <c r="J741" s="16">
        <f>SUM('ведомствен.2014'!G551)</f>
        <v>4948.6</v>
      </c>
      <c r="K741" s="176"/>
    </row>
    <row r="742" spans="1:11" ht="15">
      <c r="A742" s="239" t="s">
        <v>499</v>
      </c>
      <c r="B742" s="203"/>
      <c r="C742" s="301" t="s">
        <v>5</v>
      </c>
      <c r="D742" s="302" t="s">
        <v>390</v>
      </c>
      <c r="E742" s="302" t="s">
        <v>170</v>
      </c>
      <c r="F742" s="303" t="s">
        <v>119</v>
      </c>
      <c r="G742" s="149">
        <v>573.1</v>
      </c>
      <c r="H742" s="14">
        <v>70381.4</v>
      </c>
      <c r="I742" s="14">
        <f>SUM(H742/G750*100)</f>
        <v>5834.969325153374</v>
      </c>
      <c r="J742" s="16">
        <f>SUM('ведомствен.2014'!G552)</f>
        <v>573.1</v>
      </c>
      <c r="K742" s="176"/>
    </row>
    <row r="743" spans="1:11" ht="28.5">
      <c r="A743" s="239" t="s">
        <v>496</v>
      </c>
      <c r="B743" s="203"/>
      <c r="C743" s="301" t="s">
        <v>5</v>
      </c>
      <c r="D743" s="302" t="s">
        <v>390</v>
      </c>
      <c r="E743" s="302" t="s">
        <v>497</v>
      </c>
      <c r="F743" s="303"/>
      <c r="G743" s="149">
        <f>G744+G747+G750</f>
        <v>2624.8999999999996</v>
      </c>
      <c r="H743" s="14"/>
      <c r="I743" s="14"/>
      <c r="J743" s="38"/>
      <c r="K743" s="176"/>
    </row>
    <row r="744" spans="1:11" ht="15">
      <c r="A744" s="256" t="s">
        <v>485</v>
      </c>
      <c r="B744" s="231"/>
      <c r="C744" s="301" t="s">
        <v>5</v>
      </c>
      <c r="D744" s="302" t="s">
        <v>390</v>
      </c>
      <c r="E744" s="302" t="s">
        <v>498</v>
      </c>
      <c r="F744" s="303"/>
      <c r="G744" s="149">
        <f>SUM(G745:G746)</f>
        <v>230.6</v>
      </c>
      <c r="H744" s="14"/>
      <c r="I744" s="14"/>
      <c r="J744" s="38"/>
      <c r="K744" s="176"/>
    </row>
    <row r="745" spans="1:11" ht="15">
      <c r="A745" s="239" t="s">
        <v>499</v>
      </c>
      <c r="B745" s="203"/>
      <c r="C745" s="301" t="s">
        <v>5</v>
      </c>
      <c r="D745" s="302" t="s">
        <v>390</v>
      </c>
      <c r="E745" s="302" t="s">
        <v>498</v>
      </c>
      <c r="F745" s="303" t="s">
        <v>119</v>
      </c>
      <c r="G745" s="149">
        <v>230</v>
      </c>
      <c r="H745" s="14"/>
      <c r="I745" s="14"/>
      <c r="J745" s="16">
        <f>SUM('ведомствен.2014'!G555)</f>
        <v>230</v>
      </c>
      <c r="K745" s="176"/>
    </row>
    <row r="746" spans="1:11" ht="15">
      <c r="A746" s="117" t="s">
        <v>500</v>
      </c>
      <c r="B746" s="141"/>
      <c r="C746" s="302" t="s">
        <v>5</v>
      </c>
      <c r="D746" s="302" t="s">
        <v>390</v>
      </c>
      <c r="E746" s="302" t="s">
        <v>498</v>
      </c>
      <c r="F746" s="303" t="s">
        <v>175</v>
      </c>
      <c r="G746" s="271">
        <v>0.6</v>
      </c>
      <c r="H746" s="14"/>
      <c r="I746" s="14"/>
      <c r="J746" s="16">
        <f>SUM('ведомствен.2014'!G556)</f>
        <v>0.6</v>
      </c>
      <c r="K746" s="176"/>
    </row>
    <row r="747" spans="1:11" s="16" customFormat="1" ht="28.5">
      <c r="A747" s="256" t="s">
        <v>486</v>
      </c>
      <c r="B747" s="231"/>
      <c r="C747" s="301" t="s">
        <v>5</v>
      </c>
      <c r="D747" s="302" t="s">
        <v>390</v>
      </c>
      <c r="E747" s="302" t="s">
        <v>501</v>
      </c>
      <c r="F747" s="303"/>
      <c r="G747" s="149">
        <f>SUM(G748:G749)</f>
        <v>1188.1</v>
      </c>
      <c r="H747" s="14">
        <f>SUM(H748)</f>
        <v>1365.8</v>
      </c>
      <c r="I747" s="14">
        <f>SUM(H747/G756*100)</f>
        <v>910.5333333333332</v>
      </c>
      <c r="K747" s="176"/>
    </row>
    <row r="748" spans="1:11" s="16" customFormat="1" ht="15">
      <c r="A748" s="239" t="s">
        <v>499</v>
      </c>
      <c r="B748" s="203"/>
      <c r="C748" s="301" t="s">
        <v>5</v>
      </c>
      <c r="D748" s="302" t="s">
        <v>390</v>
      </c>
      <c r="E748" s="302" t="s">
        <v>501</v>
      </c>
      <c r="F748" s="303" t="s">
        <v>119</v>
      </c>
      <c r="G748" s="149">
        <v>1167</v>
      </c>
      <c r="H748" s="14">
        <v>1365.8</v>
      </c>
      <c r="I748" s="14">
        <f>SUM(H748/G757*100)</f>
        <v>910.5333333333332</v>
      </c>
      <c r="J748" s="16">
        <f>SUM('ведомствен.2014'!G558)</f>
        <v>1167</v>
      </c>
      <c r="K748" s="176"/>
    </row>
    <row r="749" spans="1:11" s="16" customFormat="1" ht="15">
      <c r="A749" s="117" t="s">
        <v>500</v>
      </c>
      <c r="B749" s="203"/>
      <c r="C749" s="301" t="s">
        <v>5</v>
      </c>
      <c r="D749" s="302" t="s">
        <v>390</v>
      </c>
      <c r="E749" s="302" t="s">
        <v>501</v>
      </c>
      <c r="F749" s="303" t="s">
        <v>175</v>
      </c>
      <c r="G749" s="149">
        <v>21.1</v>
      </c>
      <c r="H749" s="14"/>
      <c r="I749" s="14"/>
      <c r="J749" s="16">
        <f>SUM('ведомствен.2014'!G559)</f>
        <v>21.1</v>
      </c>
      <c r="K749" s="176"/>
    </row>
    <row r="750" spans="1:11" s="16" customFormat="1" ht="28.5">
      <c r="A750" s="256" t="s">
        <v>502</v>
      </c>
      <c r="B750" s="231"/>
      <c r="C750" s="301" t="s">
        <v>5</v>
      </c>
      <c r="D750" s="302" t="s">
        <v>390</v>
      </c>
      <c r="E750" s="302" t="s">
        <v>503</v>
      </c>
      <c r="F750" s="303"/>
      <c r="G750" s="149">
        <f>G751+G752</f>
        <v>1206.2</v>
      </c>
      <c r="H750" s="14">
        <f>SUM(H751)</f>
        <v>1324.9</v>
      </c>
      <c r="I750" s="14" t="e">
        <f>SUM(H750/#REF!*100)</f>
        <v>#REF!</v>
      </c>
      <c r="K750" s="176"/>
    </row>
    <row r="751" spans="1:11" s="16" customFormat="1" ht="18" customHeight="1">
      <c r="A751" s="239" t="s">
        <v>595</v>
      </c>
      <c r="B751" s="203"/>
      <c r="C751" s="301" t="s">
        <v>5</v>
      </c>
      <c r="D751" s="302" t="s">
        <v>390</v>
      </c>
      <c r="E751" s="302" t="s">
        <v>503</v>
      </c>
      <c r="F751" s="303" t="s">
        <v>495</v>
      </c>
      <c r="G751" s="149">
        <v>0.2</v>
      </c>
      <c r="H751" s="14">
        <v>1324.9</v>
      </c>
      <c r="I751" s="14" t="e">
        <f>SUM(H751/#REF!*100)</f>
        <v>#REF!</v>
      </c>
      <c r="J751" s="16">
        <f>SUM('ведомствен.2014'!G561)</f>
        <v>0.2</v>
      </c>
      <c r="K751" s="176"/>
    </row>
    <row r="752" spans="1:11" s="16" customFormat="1" ht="18.75" customHeight="1">
      <c r="A752" s="239" t="s">
        <v>499</v>
      </c>
      <c r="B752" s="203"/>
      <c r="C752" s="301" t="s">
        <v>5</v>
      </c>
      <c r="D752" s="302" t="s">
        <v>390</v>
      </c>
      <c r="E752" s="302" t="s">
        <v>503</v>
      </c>
      <c r="F752" s="303" t="s">
        <v>119</v>
      </c>
      <c r="G752" s="149">
        <v>1206</v>
      </c>
      <c r="H752" s="14">
        <f>SUM(H755)</f>
        <v>0</v>
      </c>
      <c r="I752" s="14" t="e">
        <f>SUM(H752/#REF!*100)</f>
        <v>#REF!</v>
      </c>
      <c r="J752" s="16">
        <f>SUM('ведомствен.2014'!G562)</f>
        <v>1206</v>
      </c>
      <c r="K752" s="176"/>
    </row>
    <row r="753" spans="1:11" s="16" customFormat="1" ht="28.5">
      <c r="A753" s="235" t="s">
        <v>619</v>
      </c>
      <c r="B753" s="198"/>
      <c r="C753" s="282" t="s">
        <v>5</v>
      </c>
      <c r="D753" s="283" t="s">
        <v>390</v>
      </c>
      <c r="E753" s="283" t="s">
        <v>618</v>
      </c>
      <c r="F753" s="284"/>
      <c r="G753" s="145">
        <f>SUM(G754)</f>
        <v>558.2</v>
      </c>
      <c r="H753" s="14"/>
      <c r="I753" s="14"/>
      <c r="K753" s="176"/>
    </row>
    <row r="754" spans="1:11" s="16" customFormat="1" ht="15">
      <c r="A754" s="233" t="s">
        <v>500</v>
      </c>
      <c r="B754" s="198"/>
      <c r="C754" s="282" t="s">
        <v>5</v>
      </c>
      <c r="D754" s="283" t="s">
        <v>390</v>
      </c>
      <c r="E754" s="283" t="s">
        <v>618</v>
      </c>
      <c r="F754" s="284" t="s">
        <v>175</v>
      </c>
      <c r="G754" s="145">
        <v>558.2</v>
      </c>
      <c r="H754" s="14"/>
      <c r="I754" s="14"/>
      <c r="J754" s="16">
        <f>SUM('ведомствен.2014'!G380)</f>
        <v>558.2</v>
      </c>
      <c r="K754" s="176"/>
    </row>
    <row r="755" spans="1:11" s="16" customFormat="1" ht="15">
      <c r="A755" s="239" t="s">
        <v>593</v>
      </c>
      <c r="B755" s="203"/>
      <c r="C755" s="301" t="s">
        <v>5</v>
      </c>
      <c r="D755" s="302" t="s">
        <v>390</v>
      </c>
      <c r="E755" s="302" t="s">
        <v>128</v>
      </c>
      <c r="F755" s="303"/>
      <c r="G755" s="149">
        <f>G756</f>
        <v>150</v>
      </c>
      <c r="H755" s="14"/>
      <c r="I755" s="14" t="e">
        <f>SUM(H755/#REF!*100)</f>
        <v>#REF!</v>
      </c>
      <c r="K755" s="176"/>
    </row>
    <row r="756" spans="1:11" ht="57">
      <c r="A756" s="256" t="s">
        <v>597</v>
      </c>
      <c r="B756" s="203"/>
      <c r="C756" s="301" t="s">
        <v>5</v>
      </c>
      <c r="D756" s="302" t="s">
        <v>390</v>
      </c>
      <c r="E756" s="302" t="s">
        <v>364</v>
      </c>
      <c r="F756" s="303"/>
      <c r="G756" s="149">
        <f>G757</f>
        <v>150</v>
      </c>
      <c r="H756" s="14">
        <f>SUM(H757)</f>
        <v>5141.4</v>
      </c>
      <c r="I756" s="14" t="e">
        <f>SUM(H756/#REF!*100)</f>
        <v>#REF!</v>
      </c>
      <c r="J756"/>
      <c r="K756" s="176"/>
    </row>
    <row r="757" spans="1:11" ht="42.75">
      <c r="A757" s="256" t="s">
        <v>591</v>
      </c>
      <c r="B757" s="203"/>
      <c r="C757" s="301" t="s">
        <v>5</v>
      </c>
      <c r="D757" s="302" t="s">
        <v>390</v>
      </c>
      <c r="E757" s="302" t="s">
        <v>364</v>
      </c>
      <c r="F757" s="303" t="s">
        <v>512</v>
      </c>
      <c r="G757" s="149">
        <v>150</v>
      </c>
      <c r="H757" s="14">
        <v>5141.4</v>
      </c>
      <c r="I757" s="14" t="e">
        <f>SUM(H757/#REF!*100)</f>
        <v>#REF!</v>
      </c>
      <c r="J757" s="16">
        <f>SUM('ведомствен.2014'!G565)</f>
        <v>150</v>
      </c>
      <c r="K757" s="176"/>
    </row>
    <row r="758" spans="1:12" s="28" customFormat="1" ht="15">
      <c r="A758" s="237" t="s">
        <v>244</v>
      </c>
      <c r="B758" s="202"/>
      <c r="C758" s="287" t="s">
        <v>418</v>
      </c>
      <c r="D758" s="334"/>
      <c r="E758" s="334"/>
      <c r="F758" s="335"/>
      <c r="G758" s="147">
        <f>SUM(G759)+G773+G785+G793</f>
        <v>10873.7</v>
      </c>
      <c r="H758" s="27"/>
      <c r="I758" s="14"/>
      <c r="J758" s="36"/>
      <c r="K758" s="40">
        <f>SUM(J759:J804)</f>
        <v>10873.7</v>
      </c>
      <c r="L758" s="28">
        <f>SUM('ведомствен.2014'!G581)+'ведомствен.2014'!G336</f>
        <v>10873.7</v>
      </c>
    </row>
    <row r="759" spans="1:10" s="28" customFormat="1" ht="15">
      <c r="A759" s="233" t="s">
        <v>237</v>
      </c>
      <c r="B759" s="198"/>
      <c r="C759" s="282" t="s">
        <v>418</v>
      </c>
      <c r="D759" s="283" t="s">
        <v>459</v>
      </c>
      <c r="E759" s="283"/>
      <c r="F759" s="284"/>
      <c r="G759" s="145">
        <f>SUM(G760+G766)</f>
        <v>7135.1</v>
      </c>
      <c r="H759" s="27"/>
      <c r="I759" s="14"/>
      <c r="J759" s="36"/>
    </row>
    <row r="760" spans="1:10" s="28" customFormat="1" ht="28.5">
      <c r="A760" s="233" t="s">
        <v>488</v>
      </c>
      <c r="B760" s="198"/>
      <c r="C760" s="282" t="s">
        <v>418</v>
      </c>
      <c r="D760" s="283" t="s">
        <v>459</v>
      </c>
      <c r="E760" s="283" t="s">
        <v>489</v>
      </c>
      <c r="F760" s="285"/>
      <c r="G760" s="145">
        <f>SUM(G761)</f>
        <v>3854.3</v>
      </c>
      <c r="H760" s="27"/>
      <c r="I760" s="14"/>
      <c r="J760" s="36"/>
    </row>
    <row r="761" spans="1:10" s="28" customFormat="1" ht="28.5">
      <c r="A761" s="233" t="s">
        <v>56</v>
      </c>
      <c r="B761" s="198"/>
      <c r="C761" s="282" t="s">
        <v>418</v>
      </c>
      <c r="D761" s="283" t="s">
        <v>459</v>
      </c>
      <c r="E761" s="283" t="s">
        <v>490</v>
      </c>
      <c r="F761" s="285"/>
      <c r="G761" s="145">
        <f>SUM(G762)</f>
        <v>3854.3</v>
      </c>
      <c r="H761" s="27"/>
      <c r="I761" s="14"/>
      <c r="J761" s="36"/>
    </row>
    <row r="762" spans="1:10" ht="42.75">
      <c r="A762" s="233" t="s">
        <v>635</v>
      </c>
      <c r="B762" s="198"/>
      <c r="C762" s="282" t="s">
        <v>418</v>
      </c>
      <c r="D762" s="283" t="s">
        <v>459</v>
      </c>
      <c r="E762" s="283" t="s">
        <v>569</v>
      </c>
      <c r="F762" s="285"/>
      <c r="G762" s="145">
        <f>SUM(G763:G765)</f>
        <v>3854.3</v>
      </c>
      <c r="H762" s="14"/>
      <c r="I762" s="14"/>
      <c r="J762"/>
    </row>
    <row r="763" spans="1:10" ht="42.75">
      <c r="A763" s="233" t="s">
        <v>494</v>
      </c>
      <c r="B763" s="198"/>
      <c r="C763" s="282" t="s">
        <v>418</v>
      </c>
      <c r="D763" s="283" t="s">
        <v>459</v>
      </c>
      <c r="E763" s="283" t="s">
        <v>569</v>
      </c>
      <c r="F763" s="284" t="s">
        <v>495</v>
      </c>
      <c r="G763" s="145">
        <v>3228.9</v>
      </c>
      <c r="H763" s="27"/>
      <c r="I763" s="14"/>
      <c r="J763">
        <f>SUM('ведомствен.2014'!G588)</f>
        <v>3228.9</v>
      </c>
    </row>
    <row r="764" spans="1:10" ht="15">
      <c r="A764" s="233" t="s">
        <v>499</v>
      </c>
      <c r="B764" s="198"/>
      <c r="C764" s="282" t="s">
        <v>418</v>
      </c>
      <c r="D764" s="283" t="s">
        <v>459</v>
      </c>
      <c r="E764" s="283" t="s">
        <v>569</v>
      </c>
      <c r="F764" s="284" t="s">
        <v>119</v>
      </c>
      <c r="G764" s="146">
        <v>619.4</v>
      </c>
      <c r="H764" s="27"/>
      <c r="I764" s="14"/>
      <c r="J764">
        <f>SUM('ведомствен.2014'!G589)</f>
        <v>619.4</v>
      </c>
    </row>
    <row r="765" spans="1:10" ht="15">
      <c r="A765" s="233" t="s">
        <v>500</v>
      </c>
      <c r="B765" s="198"/>
      <c r="C765" s="282" t="s">
        <v>418</v>
      </c>
      <c r="D765" s="283" t="s">
        <v>459</v>
      </c>
      <c r="E765" s="283" t="s">
        <v>569</v>
      </c>
      <c r="F765" s="285" t="s">
        <v>175</v>
      </c>
      <c r="G765" s="145">
        <v>6</v>
      </c>
      <c r="H765" s="27"/>
      <c r="I765" s="14"/>
      <c r="J765">
        <f>SUM('ведомствен.2014'!G590)</f>
        <v>6</v>
      </c>
    </row>
    <row r="766" spans="1:10" ht="15">
      <c r="A766" s="239" t="s">
        <v>593</v>
      </c>
      <c r="B766" s="198"/>
      <c r="C766" s="282" t="s">
        <v>418</v>
      </c>
      <c r="D766" s="283" t="s">
        <v>459</v>
      </c>
      <c r="E766" s="290" t="s">
        <v>128</v>
      </c>
      <c r="F766" s="284"/>
      <c r="G766" s="145">
        <f>SUM(G767)</f>
        <v>3280.8</v>
      </c>
      <c r="H766" s="14"/>
      <c r="I766" s="14"/>
      <c r="J766"/>
    </row>
    <row r="767" spans="1:10" ht="28.5">
      <c r="A767" s="233" t="s">
        <v>631</v>
      </c>
      <c r="B767" s="198"/>
      <c r="C767" s="282" t="s">
        <v>418</v>
      </c>
      <c r="D767" s="283" t="s">
        <v>459</v>
      </c>
      <c r="E767" s="290" t="s">
        <v>97</v>
      </c>
      <c r="F767" s="284"/>
      <c r="G767" s="145">
        <f>SUM(G768:G770)</f>
        <v>3280.8</v>
      </c>
      <c r="H767" s="34"/>
      <c r="I767" s="14"/>
      <c r="J767"/>
    </row>
    <row r="768" spans="1:10" ht="42.75">
      <c r="A768" s="233" t="s">
        <v>494</v>
      </c>
      <c r="B768" s="214"/>
      <c r="C768" s="282" t="s">
        <v>418</v>
      </c>
      <c r="D768" s="283" t="s">
        <v>459</v>
      </c>
      <c r="E768" s="290" t="s">
        <v>97</v>
      </c>
      <c r="F768" s="284" t="s">
        <v>495</v>
      </c>
      <c r="G768" s="145">
        <v>700</v>
      </c>
      <c r="H768" s="34"/>
      <c r="I768" s="14"/>
      <c r="J768">
        <f>SUM('ведомствен.2014'!G593)</f>
        <v>700</v>
      </c>
    </row>
    <row r="769" spans="1:10" ht="15.75">
      <c r="A769" s="233" t="s">
        <v>499</v>
      </c>
      <c r="B769" s="198"/>
      <c r="C769" s="282" t="s">
        <v>418</v>
      </c>
      <c r="D769" s="283" t="s">
        <v>459</v>
      </c>
      <c r="E769" s="290" t="s">
        <v>97</v>
      </c>
      <c r="F769" s="284" t="s">
        <v>119</v>
      </c>
      <c r="G769" s="145">
        <v>1608.8</v>
      </c>
      <c r="H769" s="34"/>
      <c r="I769" s="14"/>
      <c r="J769">
        <f>SUM('ведомствен.2014'!G594)</f>
        <v>1608.8</v>
      </c>
    </row>
    <row r="770" spans="1:10" ht="30.75" customHeight="1">
      <c r="A770" s="239" t="s">
        <v>516</v>
      </c>
      <c r="B770" s="198"/>
      <c r="C770" s="282" t="s">
        <v>418</v>
      </c>
      <c r="D770" s="283" t="s">
        <v>459</v>
      </c>
      <c r="E770" s="290" t="s">
        <v>97</v>
      </c>
      <c r="F770" s="284" t="s">
        <v>512</v>
      </c>
      <c r="G770" s="145">
        <v>972</v>
      </c>
      <c r="H770" s="34"/>
      <c r="I770" s="14"/>
      <c r="J770">
        <f>SUM('ведомствен.2014'!G595)</f>
        <v>972</v>
      </c>
    </row>
    <row r="771" spans="1:9" s="28" customFormat="1" ht="42.75" hidden="1">
      <c r="A771" s="233" t="s">
        <v>151</v>
      </c>
      <c r="B771" s="198"/>
      <c r="C771" s="282" t="s">
        <v>418</v>
      </c>
      <c r="D771" s="283" t="s">
        <v>459</v>
      </c>
      <c r="E771" s="290" t="s">
        <v>411</v>
      </c>
      <c r="F771" s="284"/>
      <c r="G771" s="145">
        <f>SUM(G772)</f>
        <v>0</v>
      </c>
      <c r="H771" s="27"/>
      <c r="I771" s="14"/>
    </row>
    <row r="772" spans="1:9" s="28" customFormat="1" ht="28.5" hidden="1">
      <c r="A772" s="239" t="s">
        <v>142</v>
      </c>
      <c r="B772" s="198"/>
      <c r="C772" s="282" t="s">
        <v>418</v>
      </c>
      <c r="D772" s="283" t="s">
        <v>459</v>
      </c>
      <c r="E772" s="290" t="s">
        <v>411</v>
      </c>
      <c r="F772" s="284" t="s">
        <v>82</v>
      </c>
      <c r="G772" s="145"/>
      <c r="H772" s="27"/>
      <c r="I772" s="14"/>
    </row>
    <row r="773" spans="1:9" s="28" customFormat="1" ht="15">
      <c r="A773" s="233" t="s">
        <v>154</v>
      </c>
      <c r="B773" s="198"/>
      <c r="C773" s="282" t="s">
        <v>418</v>
      </c>
      <c r="D773" s="283" t="s">
        <v>461</v>
      </c>
      <c r="E773" s="288"/>
      <c r="F773" s="285"/>
      <c r="G773" s="266">
        <f>SUM(G777)+G774</f>
        <v>2626.6</v>
      </c>
      <c r="H773" s="27"/>
      <c r="I773" s="14"/>
    </row>
    <row r="774" spans="1:9" s="93" customFormat="1" ht="18" customHeight="1">
      <c r="A774" s="117" t="s">
        <v>183</v>
      </c>
      <c r="B774" s="282"/>
      <c r="C774" s="283" t="s">
        <v>418</v>
      </c>
      <c r="D774" s="283" t="s">
        <v>461</v>
      </c>
      <c r="E774" s="288" t="s">
        <v>184</v>
      </c>
      <c r="F774" s="285"/>
      <c r="G774" s="266">
        <f>SUM(G775)</f>
        <v>1000</v>
      </c>
      <c r="H774" s="22"/>
      <c r="I774" s="22"/>
    </row>
    <row r="775" spans="1:9" s="93" customFormat="1" ht="39" customHeight="1">
      <c r="A775" s="117" t="s">
        <v>754</v>
      </c>
      <c r="B775" s="282"/>
      <c r="C775" s="283" t="s">
        <v>418</v>
      </c>
      <c r="D775" s="283" t="s">
        <v>461</v>
      </c>
      <c r="E775" s="288" t="s">
        <v>755</v>
      </c>
      <c r="F775" s="285"/>
      <c r="G775" s="266">
        <f>SUM(G776)</f>
        <v>1000</v>
      </c>
      <c r="H775" s="22"/>
      <c r="I775" s="22"/>
    </row>
    <row r="776" spans="1:10" s="93" customFormat="1" ht="31.5" customHeight="1">
      <c r="A776" s="122" t="s">
        <v>516</v>
      </c>
      <c r="B776" s="282"/>
      <c r="C776" s="283" t="s">
        <v>418</v>
      </c>
      <c r="D776" s="283" t="s">
        <v>461</v>
      </c>
      <c r="E776" s="288" t="s">
        <v>755</v>
      </c>
      <c r="F776" s="285" t="s">
        <v>512</v>
      </c>
      <c r="G776" s="266">
        <v>1000</v>
      </c>
      <c r="H776" s="22"/>
      <c r="I776" s="22"/>
      <c r="J776" s="93">
        <f>SUM('ведомствен.2014'!G601)</f>
        <v>1000</v>
      </c>
    </row>
    <row r="777" spans="1:10" s="28" customFormat="1" ht="15">
      <c r="A777" s="239" t="s">
        <v>680</v>
      </c>
      <c r="B777" s="196"/>
      <c r="C777" s="283" t="s">
        <v>418</v>
      </c>
      <c r="D777" s="283" t="s">
        <v>461</v>
      </c>
      <c r="E777" s="283" t="s">
        <v>682</v>
      </c>
      <c r="F777" s="285"/>
      <c r="G777" s="266">
        <f>SUM(G778+G783)</f>
        <v>1626.6</v>
      </c>
      <c r="H777" s="27"/>
      <c r="I777" s="14"/>
      <c r="J777"/>
    </row>
    <row r="778" spans="1:9" s="28" customFormat="1" ht="42.75">
      <c r="A778" s="233" t="s">
        <v>685</v>
      </c>
      <c r="B778" s="196"/>
      <c r="C778" s="283" t="s">
        <v>418</v>
      </c>
      <c r="D778" s="283" t="s">
        <v>461</v>
      </c>
      <c r="E778" s="283" t="s">
        <v>686</v>
      </c>
      <c r="F778" s="285"/>
      <c r="G778" s="145">
        <f>SUM(G781)+G779</f>
        <v>626.6</v>
      </c>
      <c r="H778" s="27"/>
      <c r="I778" s="14"/>
    </row>
    <row r="779" spans="1:9" s="28" customFormat="1" ht="28.5">
      <c r="A779" s="117" t="s">
        <v>712</v>
      </c>
      <c r="B779" s="65"/>
      <c r="C779" s="283" t="s">
        <v>418</v>
      </c>
      <c r="D779" s="283" t="s">
        <v>461</v>
      </c>
      <c r="E779" s="283" t="s">
        <v>713</v>
      </c>
      <c r="F779" s="285"/>
      <c r="G779" s="266">
        <f>SUM(G780)</f>
        <v>468.6</v>
      </c>
      <c r="H779" s="27"/>
      <c r="I779" s="14"/>
    </row>
    <row r="780" spans="1:10" s="28" customFormat="1" ht="28.5">
      <c r="A780" s="122" t="s">
        <v>516</v>
      </c>
      <c r="B780" s="65"/>
      <c r="C780" s="283" t="s">
        <v>418</v>
      </c>
      <c r="D780" s="283" t="s">
        <v>461</v>
      </c>
      <c r="E780" s="283" t="s">
        <v>713</v>
      </c>
      <c r="F780" s="285" t="s">
        <v>512</v>
      </c>
      <c r="G780" s="266">
        <v>468.6</v>
      </c>
      <c r="H780" s="27"/>
      <c r="I780" s="14"/>
      <c r="J780" s="28">
        <f>SUM('ведомствен.2014'!G605)</f>
        <v>468.6</v>
      </c>
    </row>
    <row r="781" spans="1:9" s="28" customFormat="1" ht="31.5" customHeight="1">
      <c r="A781" s="117" t="s">
        <v>694</v>
      </c>
      <c r="B781" s="65"/>
      <c r="C781" s="283" t="s">
        <v>418</v>
      </c>
      <c r="D781" s="283" t="s">
        <v>461</v>
      </c>
      <c r="E781" s="283" t="s">
        <v>695</v>
      </c>
      <c r="F781" s="285"/>
      <c r="G781" s="266">
        <f>SUM(G782)</f>
        <v>158</v>
      </c>
      <c r="H781" s="27"/>
      <c r="I781" s="14"/>
    </row>
    <row r="782" spans="1:10" s="28" customFormat="1" ht="35.25" customHeight="1">
      <c r="A782" s="122" t="s">
        <v>516</v>
      </c>
      <c r="B782" s="65"/>
      <c r="C782" s="283" t="s">
        <v>418</v>
      </c>
      <c r="D782" s="283" t="s">
        <v>461</v>
      </c>
      <c r="E782" s="283" t="s">
        <v>695</v>
      </c>
      <c r="F782" s="284" t="s">
        <v>512</v>
      </c>
      <c r="G782" s="266">
        <v>158</v>
      </c>
      <c r="H782" s="27"/>
      <c r="I782" s="14"/>
      <c r="J782" s="28">
        <f>SUM('ведомствен.2014'!G607)</f>
        <v>158</v>
      </c>
    </row>
    <row r="783" spans="1:9" s="28" customFormat="1" ht="35.25" customHeight="1">
      <c r="A783" s="122" t="s">
        <v>714</v>
      </c>
      <c r="B783" s="65"/>
      <c r="C783" s="283" t="s">
        <v>418</v>
      </c>
      <c r="D783" s="283" t="s">
        <v>461</v>
      </c>
      <c r="E783" s="283" t="s">
        <v>715</v>
      </c>
      <c r="F783" s="284"/>
      <c r="G783" s="266">
        <f>SUM(G784)</f>
        <v>1000</v>
      </c>
      <c r="H783" s="27"/>
      <c r="I783" s="14"/>
    </row>
    <row r="784" spans="1:10" s="28" customFormat="1" ht="35.25" customHeight="1">
      <c r="A784" s="122" t="s">
        <v>516</v>
      </c>
      <c r="B784" s="65"/>
      <c r="C784" s="283" t="s">
        <v>418</v>
      </c>
      <c r="D784" s="283" t="s">
        <v>461</v>
      </c>
      <c r="E784" s="283" t="s">
        <v>715</v>
      </c>
      <c r="F784" s="284" t="s">
        <v>512</v>
      </c>
      <c r="G784" s="266">
        <v>1000</v>
      </c>
      <c r="H784" s="27"/>
      <c r="I784" s="14"/>
      <c r="J784" s="28">
        <f>SUM('ведомствен.2014'!G609)</f>
        <v>1000</v>
      </c>
    </row>
    <row r="785" spans="1:9" s="28" customFormat="1" ht="21.75" customHeight="1">
      <c r="A785" s="122" t="s">
        <v>716</v>
      </c>
      <c r="B785" s="65"/>
      <c r="C785" s="283" t="s">
        <v>418</v>
      </c>
      <c r="D785" s="283" t="s">
        <v>105</v>
      </c>
      <c r="E785" s="283"/>
      <c r="F785" s="284"/>
      <c r="G785" s="266">
        <f>SUM(G789)+G786</f>
        <v>692.4</v>
      </c>
      <c r="H785" s="27"/>
      <c r="I785" s="14"/>
    </row>
    <row r="786" spans="1:9" s="28" customFormat="1" ht="35.25" customHeight="1">
      <c r="A786" s="122" t="s">
        <v>717</v>
      </c>
      <c r="B786" s="65"/>
      <c r="C786" s="283" t="s">
        <v>418</v>
      </c>
      <c r="D786" s="283" t="s">
        <v>105</v>
      </c>
      <c r="E786" s="283" t="s">
        <v>718</v>
      </c>
      <c r="F786" s="284"/>
      <c r="G786" s="266">
        <f>SUM(G787)</f>
        <v>306.5</v>
      </c>
      <c r="H786" s="27"/>
      <c r="I786" s="14"/>
    </row>
    <row r="787" spans="1:9" s="28" customFormat="1" ht="50.25" customHeight="1">
      <c r="A787" s="122" t="s">
        <v>719</v>
      </c>
      <c r="B787" s="65"/>
      <c r="C787" s="283" t="s">
        <v>418</v>
      </c>
      <c r="D787" s="283" t="s">
        <v>105</v>
      </c>
      <c r="E787" s="283" t="s">
        <v>720</v>
      </c>
      <c r="F787" s="284"/>
      <c r="G787" s="266">
        <f>SUM(G788)</f>
        <v>306.5</v>
      </c>
      <c r="H787" s="27"/>
      <c r="I787" s="14"/>
    </row>
    <row r="788" spans="1:10" s="28" customFormat="1" ht="35.25" customHeight="1">
      <c r="A788" s="122" t="s">
        <v>516</v>
      </c>
      <c r="B788" s="65"/>
      <c r="C788" s="283" t="s">
        <v>418</v>
      </c>
      <c r="D788" s="283" t="s">
        <v>105</v>
      </c>
      <c r="E788" s="283" t="s">
        <v>720</v>
      </c>
      <c r="F788" s="284" t="s">
        <v>512</v>
      </c>
      <c r="G788" s="266">
        <v>306.5</v>
      </c>
      <c r="H788" s="27"/>
      <c r="I788" s="14"/>
      <c r="J788" s="28">
        <f>SUM('ведомствен.2014'!G613)</f>
        <v>306.5</v>
      </c>
    </row>
    <row r="789" spans="1:9" s="28" customFormat="1" ht="24" customHeight="1">
      <c r="A789" s="122" t="s">
        <v>680</v>
      </c>
      <c r="B789" s="65"/>
      <c r="C789" s="283" t="s">
        <v>418</v>
      </c>
      <c r="D789" s="283" t="s">
        <v>105</v>
      </c>
      <c r="E789" s="283" t="s">
        <v>682</v>
      </c>
      <c r="F789" s="285"/>
      <c r="G789" s="266">
        <f>SUM(G790)</f>
        <v>385.9</v>
      </c>
      <c r="H789" s="27"/>
      <c r="I789" s="14"/>
    </row>
    <row r="790" spans="1:9" s="28" customFormat="1" ht="47.25" customHeight="1">
      <c r="A790" s="117" t="s">
        <v>685</v>
      </c>
      <c r="B790" s="65"/>
      <c r="C790" s="283" t="s">
        <v>418</v>
      </c>
      <c r="D790" s="283" t="s">
        <v>105</v>
      </c>
      <c r="E790" s="283" t="s">
        <v>686</v>
      </c>
      <c r="F790" s="285"/>
      <c r="G790" s="266">
        <f>SUM(G791)</f>
        <v>385.9</v>
      </c>
      <c r="H790" s="27"/>
      <c r="I790" s="14"/>
    </row>
    <row r="791" spans="1:9" s="28" customFormat="1" ht="35.25" customHeight="1">
      <c r="A791" s="117" t="s">
        <v>712</v>
      </c>
      <c r="B791" s="65"/>
      <c r="C791" s="283" t="s">
        <v>418</v>
      </c>
      <c r="D791" s="283" t="s">
        <v>105</v>
      </c>
      <c r="E791" s="283" t="s">
        <v>713</v>
      </c>
      <c r="F791" s="285"/>
      <c r="G791" s="266">
        <f>SUM(G792)</f>
        <v>385.9</v>
      </c>
      <c r="H791" s="27"/>
      <c r="I791" s="14"/>
    </row>
    <row r="792" spans="1:10" s="28" customFormat="1" ht="35.25" customHeight="1">
      <c r="A792" s="122" t="s">
        <v>516</v>
      </c>
      <c r="B792" s="65"/>
      <c r="C792" s="283" t="s">
        <v>418</v>
      </c>
      <c r="D792" s="283" t="s">
        <v>105</v>
      </c>
      <c r="E792" s="283" t="s">
        <v>713</v>
      </c>
      <c r="F792" s="285" t="s">
        <v>512</v>
      </c>
      <c r="G792" s="266">
        <v>385.9</v>
      </c>
      <c r="H792" s="27"/>
      <c r="I792" s="14"/>
      <c r="J792" s="28">
        <f>SUM('ведомствен.2014'!G617)</f>
        <v>385.9</v>
      </c>
    </row>
    <row r="793" spans="1:10" ht="14.25" customHeight="1">
      <c r="A793" s="233" t="s">
        <v>238</v>
      </c>
      <c r="B793" s="198"/>
      <c r="C793" s="282" t="s">
        <v>418</v>
      </c>
      <c r="D793" s="283" t="s">
        <v>130</v>
      </c>
      <c r="E793" s="288"/>
      <c r="F793" s="285"/>
      <c r="G793" s="145">
        <f>SUM(G794+G800+G802)+G797</f>
        <v>419.6</v>
      </c>
      <c r="H793" s="14" t="e">
        <f>SUM(H798)+H802+H804</f>
        <v>#REF!</v>
      </c>
      <c r="I793" s="14" t="e">
        <f>SUM(H793/G799*100)</f>
        <v>#REF!</v>
      </c>
      <c r="J793"/>
    </row>
    <row r="794" spans="1:10" ht="42.75" hidden="1">
      <c r="A794" s="233" t="s">
        <v>98</v>
      </c>
      <c r="B794" s="198"/>
      <c r="C794" s="282" t="s">
        <v>418</v>
      </c>
      <c r="D794" s="283" t="s">
        <v>130</v>
      </c>
      <c r="E794" s="283" t="s">
        <v>99</v>
      </c>
      <c r="F794" s="285"/>
      <c r="G794" s="145">
        <f>SUM(G795)</f>
        <v>0</v>
      </c>
      <c r="H794" s="14"/>
      <c r="I794" s="14"/>
      <c r="J794"/>
    </row>
    <row r="795" spans="1:10" ht="15" hidden="1">
      <c r="A795" s="233" t="s">
        <v>106</v>
      </c>
      <c r="B795" s="198"/>
      <c r="C795" s="282" t="s">
        <v>418</v>
      </c>
      <c r="D795" s="283" t="s">
        <v>130</v>
      </c>
      <c r="E795" s="283" t="s">
        <v>108</v>
      </c>
      <c r="F795" s="285"/>
      <c r="G795" s="145">
        <f>SUM(G796)</f>
        <v>0</v>
      </c>
      <c r="H795" s="14"/>
      <c r="I795" s="14"/>
      <c r="J795"/>
    </row>
    <row r="796" spans="1:10" ht="15" hidden="1">
      <c r="A796" s="233" t="s">
        <v>102</v>
      </c>
      <c r="B796" s="198"/>
      <c r="C796" s="282" t="s">
        <v>418</v>
      </c>
      <c r="D796" s="283" t="s">
        <v>130</v>
      </c>
      <c r="E796" s="283" t="s">
        <v>108</v>
      </c>
      <c r="F796" s="284" t="s">
        <v>103</v>
      </c>
      <c r="G796" s="145"/>
      <c r="H796" s="18">
        <f>SUM(H797)</f>
        <v>1042.3</v>
      </c>
      <c r="I796" s="14" t="e">
        <f>SUM(H796/G802*100)</f>
        <v>#DIV/0!</v>
      </c>
      <c r="J796"/>
    </row>
    <row r="797" spans="1:10" ht="15">
      <c r="A797" s="239" t="s">
        <v>127</v>
      </c>
      <c r="B797" s="198"/>
      <c r="C797" s="282" t="s">
        <v>418</v>
      </c>
      <c r="D797" s="283" t="s">
        <v>130</v>
      </c>
      <c r="E797" s="290" t="s">
        <v>128</v>
      </c>
      <c r="F797" s="284"/>
      <c r="G797" s="145">
        <f>SUM(G798)</f>
        <v>419.6</v>
      </c>
      <c r="H797" s="18">
        <v>1042.3</v>
      </c>
      <c r="I797" s="14" t="e">
        <f>SUM(H797/G803*100)</f>
        <v>#DIV/0!</v>
      </c>
      <c r="J797"/>
    </row>
    <row r="798" spans="1:9" s="93" customFormat="1" ht="42.75">
      <c r="A798" s="125" t="s">
        <v>145</v>
      </c>
      <c r="B798" s="282"/>
      <c r="C798" s="283" t="s">
        <v>418</v>
      </c>
      <c r="D798" s="283" t="s">
        <v>130</v>
      </c>
      <c r="E798" s="288" t="s">
        <v>54</v>
      </c>
      <c r="F798" s="285"/>
      <c r="G798" s="266">
        <f>SUM(G799)</f>
        <v>419.6</v>
      </c>
      <c r="H798" s="22">
        <f>SUM(H799+H801)</f>
        <v>122.5</v>
      </c>
      <c r="I798" s="22" t="e">
        <f>SUM(H798/G804*100)</f>
        <v>#DIV/0!</v>
      </c>
    </row>
    <row r="799" spans="1:10" s="110" customFormat="1" ht="28.5">
      <c r="A799" s="121" t="s">
        <v>565</v>
      </c>
      <c r="B799" s="282"/>
      <c r="C799" s="283" t="s">
        <v>418</v>
      </c>
      <c r="D799" s="283" t="s">
        <v>130</v>
      </c>
      <c r="E799" s="288" t="s">
        <v>54</v>
      </c>
      <c r="F799" s="285" t="s">
        <v>559</v>
      </c>
      <c r="G799" s="266">
        <v>419.6</v>
      </c>
      <c r="H799" s="22">
        <v>122.5</v>
      </c>
      <c r="I799" s="22">
        <f>SUM(H799/G805*100)</f>
        <v>0.439068100358423</v>
      </c>
      <c r="J799" s="110">
        <f>SUM('ведомствен.2014'!G340)</f>
        <v>419.6</v>
      </c>
    </row>
    <row r="800" spans="1:11" s="62" customFormat="1" ht="15.75" hidden="1">
      <c r="A800" s="239" t="s">
        <v>386</v>
      </c>
      <c r="B800" s="198"/>
      <c r="C800" s="282" t="s">
        <v>418</v>
      </c>
      <c r="D800" s="283" t="s">
        <v>130</v>
      </c>
      <c r="E800" s="288" t="s">
        <v>387</v>
      </c>
      <c r="F800" s="285"/>
      <c r="G800" s="145">
        <f>SUM(G801)</f>
        <v>0</v>
      </c>
      <c r="H800" s="61"/>
      <c r="I800" s="17"/>
      <c r="K800" s="69"/>
    </row>
    <row r="801" spans="1:9" s="28" customFormat="1" ht="15" hidden="1">
      <c r="A801" s="233" t="s">
        <v>102</v>
      </c>
      <c r="B801" s="198"/>
      <c r="C801" s="282" t="s">
        <v>418</v>
      </c>
      <c r="D801" s="283" t="s">
        <v>130</v>
      </c>
      <c r="E801" s="288" t="s">
        <v>387</v>
      </c>
      <c r="F801" s="285" t="s">
        <v>103</v>
      </c>
      <c r="G801" s="145"/>
      <c r="H801" s="27"/>
      <c r="I801" s="14"/>
    </row>
    <row r="802" spans="1:9" s="28" customFormat="1" ht="28.5" hidden="1">
      <c r="A802" s="235" t="s">
        <v>112</v>
      </c>
      <c r="B802" s="198"/>
      <c r="C802" s="282" t="s">
        <v>418</v>
      </c>
      <c r="D802" s="283" t="s">
        <v>130</v>
      </c>
      <c r="E802" s="283" t="s">
        <v>113</v>
      </c>
      <c r="F802" s="286"/>
      <c r="G802" s="145">
        <f>SUM(G804)</f>
        <v>0</v>
      </c>
      <c r="H802" s="18" t="e">
        <f>SUM(H803)</f>
        <v>#REF!</v>
      </c>
      <c r="I802" s="14" t="e">
        <f>SUM(H802/G807*100)</f>
        <v>#REF!</v>
      </c>
    </row>
    <row r="803" spans="1:9" s="28" customFormat="1" ht="15" hidden="1">
      <c r="A803" s="235" t="s">
        <v>114</v>
      </c>
      <c r="B803" s="198"/>
      <c r="C803" s="282" t="s">
        <v>418</v>
      </c>
      <c r="D803" s="283" t="s">
        <v>130</v>
      </c>
      <c r="E803" s="283" t="s">
        <v>247</v>
      </c>
      <c r="F803" s="286"/>
      <c r="G803" s="145">
        <f>SUM(G804)</f>
        <v>0</v>
      </c>
      <c r="H803" s="18" t="e">
        <f>SUM(H804)</f>
        <v>#REF!</v>
      </c>
      <c r="I803" s="14" t="e">
        <f>SUM(H803/G808*100)</f>
        <v>#REF!</v>
      </c>
    </row>
    <row r="804" spans="1:10" s="28" customFormat="1" ht="15" hidden="1">
      <c r="A804" s="233" t="s">
        <v>102</v>
      </c>
      <c r="B804" s="198"/>
      <c r="C804" s="282" t="s">
        <v>418</v>
      </c>
      <c r="D804" s="283" t="s">
        <v>130</v>
      </c>
      <c r="E804" s="283" t="s">
        <v>247</v>
      </c>
      <c r="F804" s="286" t="s">
        <v>103</v>
      </c>
      <c r="G804" s="145"/>
      <c r="H804" s="18" t="e">
        <f>SUM(#REF!)</f>
        <v>#REF!</v>
      </c>
      <c r="I804" s="14" t="e">
        <f>SUM(H804/G809*100)</f>
        <v>#REF!</v>
      </c>
      <c r="J804" s="40"/>
    </row>
    <row r="805" spans="1:9" ht="16.5" thickBot="1">
      <c r="A805" s="237" t="s">
        <v>401</v>
      </c>
      <c r="B805" s="202"/>
      <c r="C805" s="289" t="s">
        <v>235</v>
      </c>
      <c r="D805" s="350" t="s">
        <v>188</v>
      </c>
      <c r="E805" s="350"/>
      <c r="F805" s="351"/>
      <c r="G805" s="147">
        <f>SUM(G806)</f>
        <v>27900</v>
      </c>
      <c r="H805" s="29">
        <f>-76000-174.5-350</f>
        <v>-76524.5</v>
      </c>
      <c r="I805" s="29">
        <f>-76000-174.5-350</f>
        <v>-76524.5</v>
      </c>
    </row>
    <row r="806" spans="1:9" ht="28.5">
      <c r="A806" s="233" t="s">
        <v>236</v>
      </c>
      <c r="B806" s="202"/>
      <c r="C806" s="282" t="s">
        <v>235</v>
      </c>
      <c r="D806" s="283" t="s">
        <v>459</v>
      </c>
      <c r="E806" s="283"/>
      <c r="F806" s="284"/>
      <c r="G806" s="145">
        <f>SUM(G807)</f>
        <v>27900</v>
      </c>
      <c r="H806" s="30"/>
      <c r="I806" s="30"/>
    </row>
    <row r="807" spans="1:9" ht="15.75" thickBot="1">
      <c r="A807" s="233" t="s">
        <v>402</v>
      </c>
      <c r="B807" s="198"/>
      <c r="C807" s="282" t="s">
        <v>235</v>
      </c>
      <c r="D807" s="283" t="s">
        <v>459</v>
      </c>
      <c r="E807" s="283" t="s">
        <v>403</v>
      </c>
      <c r="F807" s="286"/>
      <c r="G807" s="145">
        <f>SUM(G809)</f>
        <v>27900</v>
      </c>
      <c r="H807" s="31"/>
      <c r="I807" s="31"/>
    </row>
    <row r="808" spans="1:9" ht="15">
      <c r="A808" s="233" t="s">
        <v>404</v>
      </c>
      <c r="B808" s="198"/>
      <c r="C808" s="282" t="s">
        <v>235</v>
      </c>
      <c r="D808" s="283" t="s">
        <v>459</v>
      </c>
      <c r="E808" s="283" t="s">
        <v>405</v>
      </c>
      <c r="F808" s="286"/>
      <c r="G808" s="145">
        <f>SUM(G809)</f>
        <v>27900</v>
      </c>
      <c r="H808" s="32">
        <v>0</v>
      </c>
      <c r="I808" s="32">
        <v>0</v>
      </c>
    </row>
    <row r="809" spans="1:10" ht="15.75" thickBot="1">
      <c r="A809" s="260" t="s">
        <v>507</v>
      </c>
      <c r="B809" s="198"/>
      <c r="C809" s="282" t="s">
        <v>235</v>
      </c>
      <c r="D809" s="283" t="s">
        <v>459</v>
      </c>
      <c r="E809" s="283" t="s">
        <v>405</v>
      </c>
      <c r="F809" s="286" t="s">
        <v>174</v>
      </c>
      <c r="G809" s="145">
        <f>27500+400</f>
        <v>27900</v>
      </c>
      <c r="H809" s="32">
        <v>62000</v>
      </c>
      <c r="I809" s="32">
        <v>62000</v>
      </c>
      <c r="J809" s="36">
        <f>SUM('ведомствен.2014'!G385)</f>
        <v>27900</v>
      </c>
    </row>
    <row r="810" spans="1:12" ht="17.25" customHeight="1" thickBot="1">
      <c r="A810" s="135" t="s">
        <v>171</v>
      </c>
      <c r="B810" s="192"/>
      <c r="C810" s="355"/>
      <c r="D810" s="356"/>
      <c r="E810" s="356"/>
      <c r="F810" s="357"/>
      <c r="G810" s="175">
        <f>SUM(G13+G89+G120+G175+G290+G302+G465+G541+G605+G758+G805)</f>
        <v>3757218.3</v>
      </c>
      <c r="H810" s="33">
        <v>62000</v>
      </c>
      <c r="I810" s="33">
        <v>62000</v>
      </c>
      <c r="J810" s="39">
        <f>SUM(J13:J809)</f>
        <v>3757318.300000001</v>
      </c>
      <c r="K810" s="39"/>
      <c r="L810" s="39"/>
    </row>
    <row r="811" ht="9.75" customHeight="1">
      <c r="G811" s="67"/>
    </row>
    <row r="812" spans="7:10" ht="12.75" hidden="1">
      <c r="G812" s="79">
        <f>SUM(J810-G810)</f>
        <v>100.00000000139698</v>
      </c>
      <c r="J812" s="36">
        <f>SUM('ведомствен.2014'!G958-'функцион.2014'!J810)</f>
        <v>-1.862645149230957E-09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L96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78.25390625" style="91" customWidth="1"/>
    <col min="2" max="2" width="6.875" style="92" customWidth="1"/>
    <col min="3" max="3" width="7.75390625" style="93" customWidth="1"/>
    <col min="4" max="4" width="6.875" style="93" customWidth="1"/>
    <col min="5" max="5" width="12.75390625" style="93" customWidth="1"/>
    <col min="6" max="6" width="10.125" style="93" customWidth="1"/>
    <col min="7" max="7" width="17.125" style="95" customWidth="1"/>
    <col min="8" max="8" width="11.00390625" style="95" hidden="1" customWidth="1"/>
    <col min="9" max="9" width="4.375" style="95" hidden="1" customWidth="1"/>
    <col min="10" max="10" width="5.75390625" style="93" customWidth="1"/>
    <col min="11" max="11" width="12.375" style="93" hidden="1" customWidth="1"/>
    <col min="12" max="12" width="10.125" style="93" bestFit="1" customWidth="1"/>
    <col min="13" max="16384" width="9.125" style="93" customWidth="1"/>
  </cols>
  <sheetData>
    <row r="1" spans="6:9" ht="15">
      <c r="F1" s="81" t="s">
        <v>747</v>
      </c>
      <c r="G1" s="82"/>
      <c r="I1" s="96"/>
    </row>
    <row r="2" spans="1:9" ht="15">
      <c r="A2" s="91" t="s">
        <v>250</v>
      </c>
      <c r="F2" s="80" t="s">
        <v>1053</v>
      </c>
      <c r="G2" s="82"/>
      <c r="I2" s="96"/>
    </row>
    <row r="3" spans="6:9" ht="15">
      <c r="F3" s="80" t="s">
        <v>269</v>
      </c>
      <c r="G3" s="82"/>
      <c r="I3" s="96"/>
    </row>
    <row r="4" spans="6:9" ht="15">
      <c r="F4" s="80" t="s">
        <v>270</v>
      </c>
      <c r="G4" s="82"/>
      <c r="I4" s="96"/>
    </row>
    <row r="5" spans="2:7" ht="15.75" customHeight="1">
      <c r="B5" s="97" t="s">
        <v>251</v>
      </c>
      <c r="F5" s="471" t="s">
        <v>1054</v>
      </c>
      <c r="G5" s="471"/>
    </row>
    <row r="6" ht="15.75">
      <c r="B6" s="97" t="s">
        <v>252</v>
      </c>
    </row>
    <row r="7" ht="15.75">
      <c r="B7" s="97" t="s">
        <v>493</v>
      </c>
    </row>
    <row r="8" ht="16.5" thickBot="1">
      <c r="B8" s="83"/>
    </row>
    <row r="9" spans="1:9" ht="15">
      <c r="A9" s="472" t="s">
        <v>253</v>
      </c>
      <c r="B9" s="151" t="s">
        <v>275</v>
      </c>
      <c r="C9" s="152"/>
      <c r="D9" s="153"/>
      <c r="E9" s="153"/>
      <c r="F9" s="185"/>
      <c r="G9" s="136" t="s">
        <v>276</v>
      </c>
      <c r="H9" s="98" t="s">
        <v>277</v>
      </c>
      <c r="I9" s="98" t="s">
        <v>278</v>
      </c>
    </row>
    <row r="10" spans="1:9" ht="46.5" customHeight="1" thickBot="1">
      <c r="A10" s="473"/>
      <c r="B10" s="154" t="s">
        <v>279</v>
      </c>
      <c r="C10" s="155" t="s">
        <v>280</v>
      </c>
      <c r="D10" s="155" t="s">
        <v>281</v>
      </c>
      <c r="E10" s="155" t="s">
        <v>282</v>
      </c>
      <c r="F10" s="186" t="s">
        <v>508</v>
      </c>
      <c r="G10" s="137" t="s">
        <v>492</v>
      </c>
      <c r="H10" s="99" t="s">
        <v>456</v>
      </c>
      <c r="I10" s="99" t="s">
        <v>457</v>
      </c>
    </row>
    <row r="11" spans="1:9" ht="15.75">
      <c r="A11" s="116" t="s">
        <v>195</v>
      </c>
      <c r="B11" s="279" t="s">
        <v>196</v>
      </c>
      <c r="C11" s="280"/>
      <c r="D11" s="280"/>
      <c r="E11" s="280"/>
      <c r="F11" s="281"/>
      <c r="G11" s="265">
        <f>SUM(G12)</f>
        <v>19523</v>
      </c>
      <c r="H11" s="84" t="e">
        <f>SUM(H12)+#REF!+#REF!</f>
        <v>#REF!</v>
      </c>
      <c r="I11" s="84" t="e">
        <f aca="true" t="shared" si="0" ref="I11:I42">SUM(H11/G11*100)</f>
        <v>#REF!</v>
      </c>
    </row>
    <row r="12" spans="1:9" ht="15">
      <c r="A12" s="117" t="s">
        <v>458</v>
      </c>
      <c r="B12" s="282"/>
      <c r="C12" s="283" t="s">
        <v>459</v>
      </c>
      <c r="D12" s="283"/>
      <c r="E12" s="283"/>
      <c r="F12" s="284"/>
      <c r="G12" s="266">
        <f>SUM(G13+G17+G24)</f>
        <v>19523</v>
      </c>
      <c r="H12" s="22">
        <f>SUM(H13+H17+H24)</f>
        <v>9401.9</v>
      </c>
      <c r="I12" s="22">
        <f t="shared" si="0"/>
        <v>48.1580699687548</v>
      </c>
    </row>
    <row r="13" spans="1:9" ht="28.5">
      <c r="A13" s="117" t="s">
        <v>460</v>
      </c>
      <c r="B13" s="282"/>
      <c r="C13" s="283" t="s">
        <v>459</v>
      </c>
      <c r="D13" s="283" t="s">
        <v>461</v>
      </c>
      <c r="E13" s="283"/>
      <c r="F13" s="284"/>
      <c r="G13" s="266">
        <f>SUM(G14)</f>
        <v>1567.4</v>
      </c>
      <c r="H13" s="22">
        <f>SUM(H14)</f>
        <v>983.5</v>
      </c>
      <c r="I13" s="22">
        <f t="shared" si="0"/>
        <v>62.74722470333035</v>
      </c>
    </row>
    <row r="14" spans="1:9" ht="28.5">
      <c r="A14" s="117" t="s">
        <v>98</v>
      </c>
      <c r="B14" s="282"/>
      <c r="C14" s="283" t="s">
        <v>459</v>
      </c>
      <c r="D14" s="283" t="s">
        <v>461</v>
      </c>
      <c r="E14" s="283" t="s">
        <v>99</v>
      </c>
      <c r="F14" s="284"/>
      <c r="G14" s="266">
        <f>SUM(G16)</f>
        <v>1567.4</v>
      </c>
      <c r="H14" s="22">
        <f>SUM(H16:H16)</f>
        <v>983.5</v>
      </c>
      <c r="I14" s="22">
        <f t="shared" si="0"/>
        <v>62.74722470333035</v>
      </c>
    </row>
    <row r="15" spans="1:9" ht="15">
      <c r="A15" s="117" t="s">
        <v>100</v>
      </c>
      <c r="B15" s="282"/>
      <c r="C15" s="283" t="s">
        <v>459</v>
      </c>
      <c r="D15" s="283" t="s">
        <v>461</v>
      </c>
      <c r="E15" s="283" t="s">
        <v>101</v>
      </c>
      <c r="F15" s="284"/>
      <c r="G15" s="266">
        <f>SUM(G16)</f>
        <v>1567.4</v>
      </c>
      <c r="H15" s="22">
        <f>SUM(H16)</f>
        <v>983.5</v>
      </c>
      <c r="I15" s="22">
        <f t="shared" si="0"/>
        <v>62.74722470333035</v>
      </c>
    </row>
    <row r="16" spans="1:9" ht="28.5">
      <c r="A16" s="117" t="s">
        <v>494</v>
      </c>
      <c r="B16" s="282"/>
      <c r="C16" s="283" t="s">
        <v>459</v>
      </c>
      <c r="D16" s="283" t="s">
        <v>461</v>
      </c>
      <c r="E16" s="283" t="s">
        <v>101</v>
      </c>
      <c r="F16" s="284" t="s">
        <v>495</v>
      </c>
      <c r="G16" s="266">
        <f>1725-157.6</f>
        <v>1567.4</v>
      </c>
      <c r="H16" s="22">
        <v>983.5</v>
      </c>
      <c r="I16" s="22">
        <f t="shared" si="0"/>
        <v>62.74722470333035</v>
      </c>
    </row>
    <row r="17" spans="1:9" ht="42.75">
      <c r="A17" s="117" t="s">
        <v>104</v>
      </c>
      <c r="B17" s="282"/>
      <c r="C17" s="283" t="s">
        <v>459</v>
      </c>
      <c r="D17" s="283" t="s">
        <v>105</v>
      </c>
      <c r="E17" s="283"/>
      <c r="F17" s="284"/>
      <c r="G17" s="266">
        <f>SUM(G18)</f>
        <v>11460.800000000001</v>
      </c>
      <c r="H17" s="22">
        <f>SUM(H18)</f>
        <v>8231.8</v>
      </c>
      <c r="I17" s="22">
        <f t="shared" si="0"/>
        <v>71.82570152170878</v>
      </c>
    </row>
    <row r="18" spans="1:9" ht="28.5">
      <c r="A18" s="117" t="s">
        <v>98</v>
      </c>
      <c r="B18" s="282"/>
      <c r="C18" s="283" t="s">
        <v>459</v>
      </c>
      <c r="D18" s="283" t="s">
        <v>105</v>
      </c>
      <c r="E18" s="283" t="s">
        <v>99</v>
      </c>
      <c r="F18" s="285"/>
      <c r="G18" s="266">
        <f>SUM(G19+G22)</f>
        <v>11460.800000000001</v>
      </c>
      <c r="H18" s="22">
        <f>SUM(H19+H22)</f>
        <v>8231.8</v>
      </c>
      <c r="I18" s="22">
        <f t="shared" si="0"/>
        <v>71.82570152170878</v>
      </c>
    </row>
    <row r="19" spans="1:12" ht="15">
      <c r="A19" s="117" t="s">
        <v>106</v>
      </c>
      <c r="B19" s="282"/>
      <c r="C19" s="283" t="s">
        <v>749</v>
      </c>
      <c r="D19" s="283" t="s">
        <v>105</v>
      </c>
      <c r="E19" s="283" t="s">
        <v>108</v>
      </c>
      <c r="F19" s="285"/>
      <c r="G19" s="266">
        <f>SUM(G20+G21)</f>
        <v>11460.800000000001</v>
      </c>
      <c r="H19" s="22">
        <f>SUM(H20)</f>
        <v>8068.7</v>
      </c>
      <c r="I19" s="22">
        <f t="shared" si="0"/>
        <v>70.4025896970543</v>
      </c>
      <c r="L19" s="112"/>
    </row>
    <row r="20" spans="1:9" ht="28.5">
      <c r="A20" s="117" t="s">
        <v>494</v>
      </c>
      <c r="B20" s="282"/>
      <c r="C20" s="283" t="s">
        <v>459</v>
      </c>
      <c r="D20" s="283" t="s">
        <v>105</v>
      </c>
      <c r="E20" s="283" t="s">
        <v>108</v>
      </c>
      <c r="F20" s="284" t="s">
        <v>495</v>
      </c>
      <c r="G20" s="266">
        <f>11314.2+146.6</f>
        <v>11460.800000000001</v>
      </c>
      <c r="H20" s="22">
        <v>8068.7</v>
      </c>
      <c r="I20" s="22">
        <f t="shared" si="0"/>
        <v>70.4025896970543</v>
      </c>
    </row>
    <row r="21" spans="1:9" ht="15" hidden="1">
      <c r="A21" s="117" t="s">
        <v>499</v>
      </c>
      <c r="B21" s="282"/>
      <c r="C21" s="283" t="s">
        <v>459</v>
      </c>
      <c r="D21" s="283" t="s">
        <v>105</v>
      </c>
      <c r="E21" s="283" t="s">
        <v>108</v>
      </c>
      <c r="F21" s="284" t="s">
        <v>119</v>
      </c>
      <c r="G21" s="267"/>
      <c r="H21" s="22"/>
      <c r="I21" s="22"/>
    </row>
    <row r="22" spans="1:9" ht="15" hidden="1">
      <c r="A22" s="117" t="s">
        <v>109</v>
      </c>
      <c r="B22" s="282"/>
      <c r="C22" s="283" t="s">
        <v>107</v>
      </c>
      <c r="D22" s="283" t="s">
        <v>105</v>
      </c>
      <c r="E22" s="283" t="s">
        <v>110</v>
      </c>
      <c r="F22" s="284"/>
      <c r="G22" s="266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117" t="s">
        <v>102</v>
      </c>
      <c r="B23" s="282"/>
      <c r="C23" s="283" t="s">
        <v>107</v>
      </c>
      <c r="D23" s="283" t="s">
        <v>105</v>
      </c>
      <c r="E23" s="283" t="s">
        <v>110</v>
      </c>
      <c r="F23" s="284" t="s">
        <v>103</v>
      </c>
      <c r="G23" s="266"/>
      <c r="H23" s="22">
        <v>163.1</v>
      </c>
      <c r="I23" s="22" t="e">
        <f t="shared" si="0"/>
        <v>#DIV/0!</v>
      </c>
    </row>
    <row r="24" spans="1:9" ht="15">
      <c r="A24" s="117" t="s">
        <v>111</v>
      </c>
      <c r="B24" s="282"/>
      <c r="C24" s="283" t="s">
        <v>459</v>
      </c>
      <c r="D24" s="283" t="s">
        <v>235</v>
      </c>
      <c r="E24" s="283"/>
      <c r="F24" s="285"/>
      <c r="G24" s="266">
        <f>SUM(G25)</f>
        <v>6494.799999999999</v>
      </c>
      <c r="H24" s="22">
        <f>SUM(H31)</f>
        <v>186.6</v>
      </c>
      <c r="I24" s="22">
        <f t="shared" si="0"/>
        <v>2.8730676849171646</v>
      </c>
    </row>
    <row r="25" spans="1:9" ht="28.5">
      <c r="A25" s="117" t="s">
        <v>496</v>
      </c>
      <c r="B25" s="282"/>
      <c r="C25" s="283" t="s">
        <v>459</v>
      </c>
      <c r="D25" s="283" t="s">
        <v>235</v>
      </c>
      <c r="E25" s="283" t="s">
        <v>497</v>
      </c>
      <c r="F25" s="285"/>
      <c r="G25" s="266">
        <f>SUM(G26+G29+G31)</f>
        <v>6494.799999999999</v>
      </c>
      <c r="H25" s="22"/>
      <c r="I25" s="22"/>
    </row>
    <row r="26" spans="1:9" ht="15">
      <c r="A26" s="117" t="s">
        <v>485</v>
      </c>
      <c r="B26" s="282"/>
      <c r="C26" s="283" t="s">
        <v>459</v>
      </c>
      <c r="D26" s="283" t="s">
        <v>235</v>
      </c>
      <c r="E26" s="283" t="s">
        <v>498</v>
      </c>
      <c r="F26" s="284"/>
      <c r="G26" s="267">
        <f>SUM(G27:G28)</f>
        <v>564.1999999999999</v>
      </c>
      <c r="H26" s="22"/>
      <c r="I26" s="22"/>
    </row>
    <row r="27" spans="1:9" ht="15">
      <c r="A27" s="117" t="s">
        <v>499</v>
      </c>
      <c r="B27" s="282"/>
      <c r="C27" s="283" t="s">
        <v>459</v>
      </c>
      <c r="D27" s="283" t="s">
        <v>235</v>
      </c>
      <c r="E27" s="283" t="s">
        <v>498</v>
      </c>
      <c r="F27" s="284" t="s">
        <v>119</v>
      </c>
      <c r="G27" s="267">
        <v>519.8</v>
      </c>
      <c r="H27" s="22"/>
      <c r="I27" s="22"/>
    </row>
    <row r="28" spans="1:9" ht="15">
      <c r="A28" s="117" t="s">
        <v>500</v>
      </c>
      <c r="B28" s="282"/>
      <c r="C28" s="283" t="s">
        <v>459</v>
      </c>
      <c r="D28" s="283" t="s">
        <v>235</v>
      </c>
      <c r="E28" s="283" t="s">
        <v>498</v>
      </c>
      <c r="F28" s="284" t="s">
        <v>175</v>
      </c>
      <c r="G28" s="267">
        <v>44.4</v>
      </c>
      <c r="H28" s="22"/>
      <c r="I28" s="22"/>
    </row>
    <row r="29" spans="1:9" ht="28.5">
      <c r="A29" s="117" t="s">
        <v>486</v>
      </c>
      <c r="B29" s="282"/>
      <c r="C29" s="283" t="s">
        <v>459</v>
      </c>
      <c r="D29" s="283" t="s">
        <v>235</v>
      </c>
      <c r="E29" s="283" t="s">
        <v>501</v>
      </c>
      <c r="F29" s="284"/>
      <c r="G29" s="267">
        <f>SUM(G30)</f>
        <v>363.4</v>
      </c>
      <c r="H29" s="22"/>
      <c r="I29" s="22"/>
    </row>
    <row r="30" spans="1:9" ht="15">
      <c r="A30" s="117" t="s">
        <v>499</v>
      </c>
      <c r="B30" s="282"/>
      <c r="C30" s="283" t="s">
        <v>459</v>
      </c>
      <c r="D30" s="283" t="s">
        <v>235</v>
      </c>
      <c r="E30" s="283" t="s">
        <v>501</v>
      </c>
      <c r="F30" s="284" t="s">
        <v>119</v>
      </c>
      <c r="G30" s="267">
        <v>363.4</v>
      </c>
      <c r="H30" s="22"/>
      <c r="I30" s="22"/>
    </row>
    <row r="31" spans="1:9" ht="28.5">
      <c r="A31" s="118" t="s">
        <v>502</v>
      </c>
      <c r="B31" s="282"/>
      <c r="C31" s="283" t="s">
        <v>459</v>
      </c>
      <c r="D31" s="283" t="s">
        <v>235</v>
      </c>
      <c r="E31" s="283" t="s">
        <v>503</v>
      </c>
      <c r="F31" s="286"/>
      <c r="G31" s="266">
        <f>SUM(G32:G34)</f>
        <v>5567.2</v>
      </c>
      <c r="H31" s="22">
        <f>SUM(H34)</f>
        <v>186.6</v>
      </c>
      <c r="I31" s="22">
        <f t="shared" si="0"/>
        <v>3.351774680270154</v>
      </c>
    </row>
    <row r="32" spans="1:9" ht="15">
      <c r="A32" s="117" t="s">
        <v>499</v>
      </c>
      <c r="B32" s="282"/>
      <c r="C32" s="283" t="s">
        <v>459</v>
      </c>
      <c r="D32" s="283" t="s">
        <v>235</v>
      </c>
      <c r="E32" s="283" t="s">
        <v>503</v>
      </c>
      <c r="F32" s="286" t="s">
        <v>119</v>
      </c>
      <c r="G32" s="266">
        <f>4877.9+9.3</f>
        <v>4887.2</v>
      </c>
      <c r="H32" s="22">
        <f>SUM(H34)</f>
        <v>186.6</v>
      </c>
      <c r="I32" s="22">
        <f t="shared" si="0"/>
        <v>3.8181371746603374</v>
      </c>
    </row>
    <row r="33" spans="1:9" ht="15">
      <c r="A33" s="117" t="s">
        <v>504</v>
      </c>
      <c r="B33" s="282"/>
      <c r="C33" s="283" t="s">
        <v>459</v>
      </c>
      <c r="D33" s="283" t="s">
        <v>235</v>
      </c>
      <c r="E33" s="283" t="s">
        <v>503</v>
      </c>
      <c r="F33" s="286" t="s">
        <v>505</v>
      </c>
      <c r="G33" s="266">
        <v>667.7</v>
      </c>
      <c r="H33" s="22"/>
      <c r="I33" s="22"/>
    </row>
    <row r="34" spans="1:9" ht="15">
      <c r="A34" s="117" t="s">
        <v>500</v>
      </c>
      <c r="B34" s="282"/>
      <c r="C34" s="283" t="s">
        <v>459</v>
      </c>
      <c r="D34" s="283" t="s">
        <v>235</v>
      </c>
      <c r="E34" s="283" t="s">
        <v>503</v>
      </c>
      <c r="F34" s="286" t="s">
        <v>175</v>
      </c>
      <c r="G34" s="266">
        <f>10.6+1.7</f>
        <v>12.299999999999999</v>
      </c>
      <c r="H34" s="22">
        <v>186.6</v>
      </c>
      <c r="I34" s="22">
        <f t="shared" si="0"/>
        <v>1517.0731707317075</v>
      </c>
    </row>
    <row r="35" spans="1:9" ht="15.75">
      <c r="A35" s="119" t="s">
        <v>197</v>
      </c>
      <c r="B35" s="287" t="s">
        <v>198</v>
      </c>
      <c r="C35" s="288"/>
      <c r="D35" s="288"/>
      <c r="E35" s="288"/>
      <c r="F35" s="285"/>
      <c r="G35" s="268">
        <f aca="true" t="shared" si="1" ref="G35:H37">SUM(G36)</f>
        <v>6539.2</v>
      </c>
      <c r="H35" s="85" t="e">
        <f t="shared" si="1"/>
        <v>#REF!</v>
      </c>
      <c r="I35" s="85" t="e">
        <f t="shared" si="0"/>
        <v>#REF!</v>
      </c>
    </row>
    <row r="36" spans="1:9" ht="15">
      <c r="A36" s="117" t="s">
        <v>458</v>
      </c>
      <c r="B36" s="282"/>
      <c r="C36" s="283" t="s">
        <v>459</v>
      </c>
      <c r="D36" s="283"/>
      <c r="E36" s="283"/>
      <c r="F36" s="284"/>
      <c r="G36" s="266">
        <f>SUM(G37)+G44</f>
        <v>6539.2</v>
      </c>
      <c r="H36" s="22" t="e">
        <f t="shared" si="1"/>
        <v>#REF!</v>
      </c>
      <c r="I36" s="22" t="e">
        <f t="shared" si="0"/>
        <v>#REF!</v>
      </c>
    </row>
    <row r="37" spans="1:9" ht="28.5">
      <c r="A37" s="118" t="s">
        <v>389</v>
      </c>
      <c r="B37" s="282"/>
      <c r="C37" s="283" t="s">
        <v>459</v>
      </c>
      <c r="D37" s="283" t="s">
        <v>390</v>
      </c>
      <c r="E37" s="283"/>
      <c r="F37" s="284"/>
      <c r="G37" s="266">
        <f t="shared" si="1"/>
        <v>5565.5</v>
      </c>
      <c r="H37" s="22" t="e">
        <f t="shared" si="1"/>
        <v>#REF!</v>
      </c>
      <c r="I37" s="22" t="e">
        <f t="shared" si="0"/>
        <v>#REF!</v>
      </c>
    </row>
    <row r="38" spans="1:9" ht="28.5">
      <c r="A38" s="117" t="s">
        <v>98</v>
      </c>
      <c r="B38" s="282"/>
      <c r="C38" s="283" t="s">
        <v>459</v>
      </c>
      <c r="D38" s="283" t="s">
        <v>390</v>
      </c>
      <c r="E38" s="283" t="s">
        <v>99</v>
      </c>
      <c r="F38" s="285"/>
      <c r="G38" s="266">
        <f>SUM(G39+G42)</f>
        <v>5565.5</v>
      </c>
      <c r="H38" s="22" t="e">
        <f>SUM(H39+H42)</f>
        <v>#REF!</v>
      </c>
      <c r="I38" s="22" t="e">
        <f t="shared" si="0"/>
        <v>#REF!</v>
      </c>
    </row>
    <row r="39" spans="1:9" ht="15">
      <c r="A39" s="117" t="s">
        <v>106</v>
      </c>
      <c r="B39" s="282"/>
      <c r="C39" s="283" t="s">
        <v>459</v>
      </c>
      <c r="D39" s="283" t="s">
        <v>390</v>
      </c>
      <c r="E39" s="283" t="s">
        <v>108</v>
      </c>
      <c r="F39" s="285"/>
      <c r="G39" s="266">
        <f>SUM(G40)+G41</f>
        <v>4188.8</v>
      </c>
      <c r="H39" s="22">
        <f>SUM(H40)</f>
        <v>2155.5</v>
      </c>
      <c r="I39" s="22">
        <f t="shared" si="0"/>
        <v>51.458651642475175</v>
      </c>
    </row>
    <row r="40" spans="1:9" ht="28.5">
      <c r="A40" s="117" t="s">
        <v>494</v>
      </c>
      <c r="B40" s="282"/>
      <c r="C40" s="283" t="s">
        <v>459</v>
      </c>
      <c r="D40" s="283" t="s">
        <v>390</v>
      </c>
      <c r="E40" s="283" t="s">
        <v>108</v>
      </c>
      <c r="F40" s="284" t="s">
        <v>495</v>
      </c>
      <c r="G40" s="266">
        <f>3229.6+547.9+77.8+19.9+315.3-4.4</f>
        <v>4186.1</v>
      </c>
      <c r="H40" s="22">
        <v>2155.5</v>
      </c>
      <c r="I40" s="22">
        <f t="shared" si="0"/>
        <v>51.49184204868493</v>
      </c>
    </row>
    <row r="41" spans="1:9" ht="15">
      <c r="A41" s="117" t="s">
        <v>499</v>
      </c>
      <c r="B41" s="282"/>
      <c r="C41" s="283" t="s">
        <v>459</v>
      </c>
      <c r="D41" s="283" t="s">
        <v>390</v>
      </c>
      <c r="E41" s="283" t="s">
        <v>108</v>
      </c>
      <c r="F41" s="284" t="s">
        <v>119</v>
      </c>
      <c r="G41" s="267">
        <f>8.3+0.8-6.4</f>
        <v>2.700000000000001</v>
      </c>
      <c r="H41" s="22"/>
      <c r="I41" s="22"/>
    </row>
    <row r="42" spans="1:9" s="100" customFormat="1" ht="28.5">
      <c r="A42" s="117" t="s">
        <v>393</v>
      </c>
      <c r="B42" s="282"/>
      <c r="C42" s="283" t="s">
        <v>107</v>
      </c>
      <c r="D42" s="283" t="s">
        <v>390</v>
      </c>
      <c r="E42" s="283" t="s">
        <v>394</v>
      </c>
      <c r="F42" s="286"/>
      <c r="G42" s="266">
        <f>SUM(G43)</f>
        <v>1376.7</v>
      </c>
      <c r="H42" s="22" t="e">
        <f>SUM(#REF!)</f>
        <v>#REF!</v>
      </c>
      <c r="I42" s="22" t="e">
        <f t="shared" si="0"/>
        <v>#REF!</v>
      </c>
    </row>
    <row r="43" spans="1:9" s="100" customFormat="1" ht="28.5">
      <c r="A43" s="117" t="s">
        <v>494</v>
      </c>
      <c r="B43" s="282"/>
      <c r="C43" s="283" t="s">
        <v>107</v>
      </c>
      <c r="D43" s="283" t="s">
        <v>390</v>
      </c>
      <c r="E43" s="283" t="s">
        <v>394</v>
      </c>
      <c r="F43" s="284" t="s">
        <v>495</v>
      </c>
      <c r="G43" s="266">
        <f>1692-315.3</f>
        <v>1376.7</v>
      </c>
      <c r="H43" s="22"/>
      <c r="I43" s="22"/>
    </row>
    <row r="44" spans="1:9" s="100" customFormat="1" ht="15">
      <c r="A44" s="117" t="s">
        <v>111</v>
      </c>
      <c r="B44" s="282"/>
      <c r="C44" s="283" t="s">
        <v>459</v>
      </c>
      <c r="D44" s="283" t="s">
        <v>235</v>
      </c>
      <c r="E44" s="283"/>
      <c r="F44" s="285"/>
      <c r="G44" s="266">
        <f>SUM(G45)</f>
        <v>973.7</v>
      </c>
      <c r="H44" s="22"/>
      <c r="I44" s="22"/>
    </row>
    <row r="45" spans="1:9" s="100" customFormat="1" ht="28.5">
      <c r="A45" s="117" t="s">
        <v>496</v>
      </c>
      <c r="B45" s="282"/>
      <c r="C45" s="283" t="s">
        <v>459</v>
      </c>
      <c r="D45" s="283" t="s">
        <v>235</v>
      </c>
      <c r="E45" s="283" t="s">
        <v>497</v>
      </c>
      <c r="F45" s="285"/>
      <c r="G45" s="266">
        <f>SUM(G46+G49+G51)</f>
        <v>973.7</v>
      </c>
      <c r="H45" s="22"/>
      <c r="I45" s="22"/>
    </row>
    <row r="46" spans="1:9" s="100" customFormat="1" ht="15">
      <c r="A46" s="117" t="s">
        <v>485</v>
      </c>
      <c r="B46" s="282"/>
      <c r="C46" s="283" t="s">
        <v>459</v>
      </c>
      <c r="D46" s="283" t="s">
        <v>235</v>
      </c>
      <c r="E46" s="283" t="s">
        <v>498</v>
      </c>
      <c r="F46" s="284"/>
      <c r="G46" s="267">
        <f>SUM(G47:G48)</f>
        <v>116</v>
      </c>
      <c r="H46" s="22"/>
      <c r="I46" s="22"/>
    </row>
    <row r="47" spans="1:9" s="100" customFormat="1" ht="15">
      <c r="A47" s="117" t="s">
        <v>499</v>
      </c>
      <c r="B47" s="282"/>
      <c r="C47" s="283" t="s">
        <v>459</v>
      </c>
      <c r="D47" s="283" t="s">
        <v>235</v>
      </c>
      <c r="E47" s="283" t="s">
        <v>498</v>
      </c>
      <c r="F47" s="284" t="s">
        <v>119</v>
      </c>
      <c r="G47" s="267">
        <f>157-43.8</f>
        <v>113.2</v>
      </c>
      <c r="H47" s="22"/>
      <c r="I47" s="22"/>
    </row>
    <row r="48" spans="1:9" s="100" customFormat="1" ht="15">
      <c r="A48" s="117" t="s">
        <v>500</v>
      </c>
      <c r="B48" s="282"/>
      <c r="C48" s="283" t="s">
        <v>459</v>
      </c>
      <c r="D48" s="283" t="s">
        <v>235</v>
      </c>
      <c r="E48" s="283" t="s">
        <v>498</v>
      </c>
      <c r="F48" s="284" t="s">
        <v>175</v>
      </c>
      <c r="G48" s="267">
        <v>2.8</v>
      </c>
      <c r="H48" s="22"/>
      <c r="I48" s="22"/>
    </row>
    <row r="49" spans="1:9" s="100" customFormat="1" ht="28.5">
      <c r="A49" s="117" t="s">
        <v>486</v>
      </c>
      <c r="B49" s="282"/>
      <c r="C49" s="283" t="s">
        <v>459</v>
      </c>
      <c r="D49" s="283" t="s">
        <v>235</v>
      </c>
      <c r="E49" s="283" t="s">
        <v>501</v>
      </c>
      <c r="F49" s="284"/>
      <c r="G49" s="267">
        <f>SUM(G50)</f>
        <v>197.5</v>
      </c>
      <c r="H49" s="22"/>
      <c r="I49" s="22"/>
    </row>
    <row r="50" spans="1:9" s="100" customFormat="1" ht="15">
      <c r="A50" s="117" t="s">
        <v>499</v>
      </c>
      <c r="B50" s="282"/>
      <c r="C50" s="283" t="s">
        <v>459</v>
      </c>
      <c r="D50" s="283" t="s">
        <v>235</v>
      </c>
      <c r="E50" s="283" t="s">
        <v>501</v>
      </c>
      <c r="F50" s="284" t="s">
        <v>119</v>
      </c>
      <c r="G50" s="267">
        <f>199.5+43-45</f>
        <v>197.5</v>
      </c>
      <c r="H50" s="22"/>
      <c r="I50" s="22"/>
    </row>
    <row r="51" spans="1:9" s="100" customFormat="1" ht="28.5">
      <c r="A51" s="118" t="s">
        <v>502</v>
      </c>
      <c r="B51" s="282"/>
      <c r="C51" s="283" t="s">
        <v>459</v>
      </c>
      <c r="D51" s="283" t="s">
        <v>235</v>
      </c>
      <c r="E51" s="283" t="s">
        <v>503</v>
      </c>
      <c r="F51" s="286"/>
      <c r="G51" s="266">
        <f>SUM(G52:G53)</f>
        <v>660.2</v>
      </c>
      <c r="H51" s="22"/>
      <c r="I51" s="22"/>
    </row>
    <row r="52" spans="1:9" s="100" customFormat="1" ht="15">
      <c r="A52" s="117" t="s">
        <v>499</v>
      </c>
      <c r="B52" s="282"/>
      <c r="C52" s="283" t="s">
        <v>459</v>
      </c>
      <c r="D52" s="283" t="s">
        <v>235</v>
      </c>
      <c r="E52" s="283" t="s">
        <v>503</v>
      </c>
      <c r="F52" s="286" t="s">
        <v>119</v>
      </c>
      <c r="G52" s="266">
        <f>597+11.6+45</f>
        <v>653.6</v>
      </c>
      <c r="H52" s="22"/>
      <c r="I52" s="22"/>
    </row>
    <row r="53" spans="1:9" s="100" customFormat="1" ht="15">
      <c r="A53" s="117" t="s">
        <v>500</v>
      </c>
      <c r="B53" s="282"/>
      <c r="C53" s="283" t="s">
        <v>459</v>
      </c>
      <c r="D53" s="283" t="s">
        <v>235</v>
      </c>
      <c r="E53" s="283" t="s">
        <v>503</v>
      </c>
      <c r="F53" s="286" t="s">
        <v>175</v>
      </c>
      <c r="G53" s="266">
        <v>6.6</v>
      </c>
      <c r="H53" s="22"/>
      <c r="I53" s="22"/>
    </row>
    <row r="54" spans="1:11" ht="15.75">
      <c r="A54" s="120" t="s">
        <v>199</v>
      </c>
      <c r="B54" s="289" t="s">
        <v>200</v>
      </c>
      <c r="C54" s="290"/>
      <c r="D54" s="290"/>
      <c r="E54" s="290"/>
      <c r="F54" s="291"/>
      <c r="G54" s="268">
        <f>SUM(G55+G102+G136+G179+G293+G305+G311)+G336</f>
        <v>735855</v>
      </c>
      <c r="H54" s="85" t="e">
        <f>SUM(H55+H104+#REF!+#REF!+#REF!+#REF!+#REF!+#REF!+#REF!)</f>
        <v>#REF!</v>
      </c>
      <c r="I54" s="85" t="e">
        <f>SUM(H54/G54*100)</f>
        <v>#REF!</v>
      </c>
      <c r="K54" s="93">
        <f>332817.3+100499.7+16967.1+205951.1+21459.4+38.6+51.7+86.3-916.7-683.2+172.8-1181.2</f>
        <v>675262.9000000001</v>
      </c>
    </row>
    <row r="55" spans="1:11" ht="15">
      <c r="A55" s="117" t="s">
        <v>458</v>
      </c>
      <c r="B55" s="282"/>
      <c r="C55" s="283" t="s">
        <v>459</v>
      </c>
      <c r="D55" s="283"/>
      <c r="E55" s="283"/>
      <c r="F55" s="284"/>
      <c r="G55" s="266">
        <f>SUM(G56+G78+G75)</f>
        <v>136519.5</v>
      </c>
      <c r="H55" s="22" t="e">
        <f>SUM(H56+H76+#REF!+H74+#REF!)</f>
        <v>#REF!</v>
      </c>
      <c r="I55" s="22" t="e">
        <f>SUM(H55/G55*100)</f>
        <v>#REF!</v>
      </c>
      <c r="K55" s="112">
        <f>SUM(K54-G54)</f>
        <v>-60592.09999999986</v>
      </c>
    </row>
    <row r="56" spans="1:11" ht="28.5">
      <c r="A56" s="117" t="s">
        <v>255</v>
      </c>
      <c r="B56" s="282"/>
      <c r="C56" s="283" t="s">
        <v>459</v>
      </c>
      <c r="D56" s="283" t="s">
        <v>121</v>
      </c>
      <c r="E56" s="283"/>
      <c r="F56" s="284"/>
      <c r="G56" s="266">
        <f>SUM(G57)</f>
        <v>96305.4</v>
      </c>
      <c r="H56" s="22" t="e">
        <f>SUM(H57)+#REF!+H69</f>
        <v>#REF!</v>
      </c>
      <c r="I56" s="22" t="e">
        <f>SUM(H56/G56*100)</f>
        <v>#REF!</v>
      </c>
      <c r="K56" s="93">
        <f>116547.2+21459.4+38.6+51.7-916.7+86.3</f>
        <v>137266.5</v>
      </c>
    </row>
    <row r="57" spans="1:9" ht="28.5">
      <c r="A57" s="117" t="s">
        <v>98</v>
      </c>
      <c r="B57" s="282"/>
      <c r="C57" s="283" t="s">
        <v>459</v>
      </c>
      <c r="D57" s="283" t="s">
        <v>121</v>
      </c>
      <c r="E57" s="283" t="s">
        <v>99</v>
      </c>
      <c r="F57" s="285"/>
      <c r="G57" s="266">
        <f>SUM(G58+G73+G61+G64+G67+G70)</f>
        <v>96305.4</v>
      </c>
      <c r="H57" s="22" t="e">
        <f>SUM(H58+H68)</f>
        <v>#REF!</v>
      </c>
      <c r="I57" s="22" t="e">
        <f>SUM(H57/G57*100)</f>
        <v>#REF!</v>
      </c>
    </row>
    <row r="58" spans="1:9" ht="15">
      <c r="A58" s="117" t="s">
        <v>106</v>
      </c>
      <c r="B58" s="282"/>
      <c r="C58" s="283" t="s">
        <v>459</v>
      </c>
      <c r="D58" s="283" t="s">
        <v>121</v>
      </c>
      <c r="E58" s="283" t="s">
        <v>108</v>
      </c>
      <c r="F58" s="285"/>
      <c r="G58" s="266">
        <f>SUM(G59+G60)</f>
        <v>92995.4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117" t="s">
        <v>494</v>
      </c>
      <c r="B59" s="282"/>
      <c r="C59" s="283" t="s">
        <v>459</v>
      </c>
      <c r="D59" s="283" t="s">
        <v>121</v>
      </c>
      <c r="E59" s="283" t="s">
        <v>108</v>
      </c>
      <c r="F59" s="284" t="s">
        <v>495</v>
      </c>
      <c r="G59" s="266">
        <f>71505.9+21459.4</f>
        <v>92965.29999999999</v>
      </c>
      <c r="H59" s="22">
        <v>50612.1</v>
      </c>
      <c r="I59" s="22" t="e">
        <f>SUM(H59/#REF!*100)</f>
        <v>#REF!</v>
      </c>
    </row>
    <row r="60" spans="1:9" ht="15">
      <c r="A60" s="117" t="s">
        <v>499</v>
      </c>
      <c r="B60" s="282"/>
      <c r="C60" s="283" t="s">
        <v>459</v>
      </c>
      <c r="D60" s="283" t="s">
        <v>121</v>
      </c>
      <c r="E60" s="283" t="s">
        <v>108</v>
      </c>
      <c r="F60" s="284" t="s">
        <v>119</v>
      </c>
      <c r="G60" s="267">
        <v>30.1</v>
      </c>
      <c r="H60" s="22">
        <v>507.8</v>
      </c>
      <c r="I60" s="22">
        <f>SUM(H60/G61*100)</f>
        <v>36.46940534329215</v>
      </c>
    </row>
    <row r="61" spans="1:9" ht="28.5">
      <c r="A61" s="117" t="s">
        <v>125</v>
      </c>
      <c r="B61" s="282"/>
      <c r="C61" s="283" t="s">
        <v>459</v>
      </c>
      <c r="D61" s="283" t="s">
        <v>121</v>
      </c>
      <c r="E61" s="283" t="s">
        <v>126</v>
      </c>
      <c r="F61" s="284"/>
      <c r="G61" s="266">
        <f>SUM(G62:G63)</f>
        <v>1392.4</v>
      </c>
      <c r="H61" s="22">
        <v>41.9</v>
      </c>
      <c r="I61" s="22">
        <f>SUM(H61/G64*100)</f>
        <v>44.669509594882726</v>
      </c>
    </row>
    <row r="62" spans="1:9" ht="28.5">
      <c r="A62" s="117" t="s">
        <v>494</v>
      </c>
      <c r="B62" s="282"/>
      <c r="C62" s="283" t="s">
        <v>459</v>
      </c>
      <c r="D62" s="283" t="s">
        <v>121</v>
      </c>
      <c r="E62" s="283" t="s">
        <v>126</v>
      </c>
      <c r="F62" s="284" t="s">
        <v>495</v>
      </c>
      <c r="G62" s="266">
        <v>1366.4</v>
      </c>
      <c r="H62" s="22"/>
      <c r="I62" s="22"/>
    </row>
    <row r="63" spans="1:9" ht="15">
      <c r="A63" s="117" t="s">
        <v>499</v>
      </c>
      <c r="B63" s="282"/>
      <c r="C63" s="283" t="s">
        <v>459</v>
      </c>
      <c r="D63" s="283" t="s">
        <v>121</v>
      </c>
      <c r="E63" s="283" t="s">
        <v>126</v>
      </c>
      <c r="F63" s="284" t="s">
        <v>119</v>
      </c>
      <c r="G63" s="267">
        <v>26</v>
      </c>
      <c r="H63" s="22"/>
      <c r="I63" s="22">
        <f>SUM(H63/G66*100)</f>
        <v>0</v>
      </c>
    </row>
    <row r="64" spans="1:9" s="94" customFormat="1" ht="42.75">
      <c r="A64" s="117" t="s">
        <v>382</v>
      </c>
      <c r="B64" s="282"/>
      <c r="C64" s="283" t="s">
        <v>459</v>
      </c>
      <c r="D64" s="283" t="s">
        <v>121</v>
      </c>
      <c r="E64" s="283" t="s">
        <v>383</v>
      </c>
      <c r="F64" s="284"/>
      <c r="G64" s="266">
        <f>SUM(G65:G66)</f>
        <v>93.8</v>
      </c>
      <c r="H64" s="22"/>
      <c r="I64" s="22">
        <f>SUM(H64/G69*100)</f>
        <v>0</v>
      </c>
    </row>
    <row r="65" spans="1:9" s="94" customFormat="1" ht="28.5">
      <c r="A65" s="117" t="s">
        <v>494</v>
      </c>
      <c r="B65" s="282"/>
      <c r="C65" s="283" t="s">
        <v>459</v>
      </c>
      <c r="D65" s="283" t="s">
        <v>121</v>
      </c>
      <c r="E65" s="283" t="s">
        <v>383</v>
      </c>
      <c r="F65" s="284" t="s">
        <v>495</v>
      </c>
      <c r="G65" s="266">
        <v>72.3</v>
      </c>
      <c r="H65" s="22"/>
      <c r="I65" s="22"/>
    </row>
    <row r="66" spans="1:9" s="94" customFormat="1" ht="15">
      <c r="A66" s="117" t="s">
        <v>499</v>
      </c>
      <c r="B66" s="282"/>
      <c r="C66" s="283" t="s">
        <v>459</v>
      </c>
      <c r="D66" s="283" t="s">
        <v>121</v>
      </c>
      <c r="E66" s="283" t="s">
        <v>383</v>
      </c>
      <c r="F66" s="284" t="s">
        <v>119</v>
      </c>
      <c r="G66" s="267">
        <v>21.5</v>
      </c>
      <c r="H66" s="22"/>
      <c r="I66" s="22"/>
    </row>
    <row r="67" spans="1:9" s="94" customFormat="1" ht="28.5">
      <c r="A67" s="121" t="s">
        <v>60</v>
      </c>
      <c r="B67" s="292"/>
      <c r="C67" s="288" t="s">
        <v>459</v>
      </c>
      <c r="D67" s="288" t="s">
        <v>121</v>
      </c>
      <c r="E67" s="288" t="s">
        <v>61</v>
      </c>
      <c r="F67" s="285"/>
      <c r="G67" s="266">
        <f>SUM(G68:G69)</f>
        <v>179.6</v>
      </c>
      <c r="H67" s="22"/>
      <c r="I67" s="22"/>
    </row>
    <row r="68" spans="1:9" s="100" customFormat="1" ht="28.5">
      <c r="A68" s="117" t="s">
        <v>494</v>
      </c>
      <c r="B68" s="282"/>
      <c r="C68" s="283" t="s">
        <v>459</v>
      </c>
      <c r="D68" s="283" t="s">
        <v>121</v>
      </c>
      <c r="E68" s="288" t="s">
        <v>61</v>
      </c>
      <c r="F68" s="284" t="s">
        <v>495</v>
      </c>
      <c r="G68" s="266">
        <v>140</v>
      </c>
      <c r="H68" s="22" t="e">
        <f>SUM(#REF!)</f>
        <v>#REF!</v>
      </c>
      <c r="I68" s="22" t="e">
        <f>SUM(H68/G73*100)</f>
        <v>#REF!</v>
      </c>
    </row>
    <row r="69" spans="1:9" s="100" customFormat="1" ht="15">
      <c r="A69" s="117" t="s">
        <v>499</v>
      </c>
      <c r="B69" s="282"/>
      <c r="C69" s="283" t="s">
        <v>459</v>
      </c>
      <c r="D69" s="283" t="s">
        <v>121</v>
      </c>
      <c r="E69" s="288" t="s">
        <v>61</v>
      </c>
      <c r="F69" s="284" t="s">
        <v>119</v>
      </c>
      <c r="G69" s="267">
        <v>39.6</v>
      </c>
      <c r="H69" s="22" t="e">
        <f>SUM(#REF!)</f>
        <v>#REF!</v>
      </c>
      <c r="I69" s="22" t="e">
        <f>SUM(H69/#REF!*100)</f>
        <v>#REF!</v>
      </c>
    </row>
    <row r="70" spans="1:9" s="100" customFormat="1" ht="28.5">
      <c r="A70" s="121" t="s">
        <v>147</v>
      </c>
      <c r="B70" s="292"/>
      <c r="C70" s="288" t="s">
        <v>459</v>
      </c>
      <c r="D70" s="288" t="s">
        <v>121</v>
      </c>
      <c r="E70" s="288" t="s">
        <v>148</v>
      </c>
      <c r="F70" s="285"/>
      <c r="G70" s="266">
        <f>SUM(G71:G72)</f>
        <v>357.70000000000005</v>
      </c>
      <c r="H70" s="22"/>
      <c r="I70" s="22"/>
    </row>
    <row r="71" spans="1:9" s="100" customFormat="1" ht="28.5">
      <c r="A71" s="117" t="s">
        <v>494</v>
      </c>
      <c r="B71" s="282"/>
      <c r="C71" s="283" t="s">
        <v>459</v>
      </c>
      <c r="D71" s="283" t="s">
        <v>121</v>
      </c>
      <c r="E71" s="288" t="s">
        <v>148</v>
      </c>
      <c r="F71" s="284" t="s">
        <v>495</v>
      </c>
      <c r="G71" s="266">
        <v>288.8</v>
      </c>
      <c r="H71" s="22"/>
      <c r="I71" s="22"/>
    </row>
    <row r="72" spans="1:9" s="100" customFormat="1" ht="15">
      <c r="A72" s="117" t="s">
        <v>499</v>
      </c>
      <c r="B72" s="282"/>
      <c r="C72" s="283" t="s">
        <v>459</v>
      </c>
      <c r="D72" s="283" t="s">
        <v>121</v>
      </c>
      <c r="E72" s="288" t="s">
        <v>148</v>
      </c>
      <c r="F72" s="284" t="s">
        <v>119</v>
      </c>
      <c r="G72" s="267">
        <v>68.9</v>
      </c>
      <c r="H72" s="22"/>
      <c r="I72" s="22"/>
    </row>
    <row r="73" spans="1:9" s="100" customFormat="1" ht="28.5">
      <c r="A73" s="117" t="s">
        <v>384</v>
      </c>
      <c r="B73" s="282"/>
      <c r="C73" s="283" t="s">
        <v>107</v>
      </c>
      <c r="D73" s="283" t="s">
        <v>121</v>
      </c>
      <c r="E73" s="283" t="s">
        <v>385</v>
      </c>
      <c r="F73" s="285"/>
      <c r="G73" s="266">
        <f>SUM(G74)</f>
        <v>1286.5</v>
      </c>
      <c r="H73" s="22">
        <v>155.9</v>
      </c>
      <c r="I73" s="22" t="e">
        <f>SUM(H73/#REF!*100)</f>
        <v>#REF!</v>
      </c>
    </row>
    <row r="74" spans="1:9" s="100" customFormat="1" ht="28.5">
      <c r="A74" s="117" t="s">
        <v>494</v>
      </c>
      <c r="B74" s="282"/>
      <c r="C74" s="283" t="s">
        <v>459</v>
      </c>
      <c r="D74" s="283" t="s">
        <v>121</v>
      </c>
      <c r="E74" s="283" t="s">
        <v>385</v>
      </c>
      <c r="F74" s="284" t="s">
        <v>495</v>
      </c>
      <c r="G74" s="266">
        <f>1247.9+38.6</f>
        <v>1286.5</v>
      </c>
      <c r="H74" s="22" t="e">
        <f>SUM(#REF!)</f>
        <v>#REF!</v>
      </c>
      <c r="I74" s="22" t="e">
        <f>SUM(H74/G75*100)</f>
        <v>#REF!</v>
      </c>
    </row>
    <row r="75" spans="1:9" ht="15" hidden="1">
      <c r="A75" s="117" t="s">
        <v>129</v>
      </c>
      <c r="B75" s="282"/>
      <c r="C75" s="283" t="s">
        <v>459</v>
      </c>
      <c r="D75" s="283" t="s">
        <v>130</v>
      </c>
      <c r="E75" s="283"/>
      <c r="F75" s="285"/>
      <c r="G75" s="266">
        <f>SUM(G76)</f>
        <v>0</v>
      </c>
      <c r="H75" s="22"/>
      <c r="I75" s="22" t="e">
        <f>SUM(H75/#REF!*100)</f>
        <v>#REF!</v>
      </c>
    </row>
    <row r="76" spans="1:9" ht="28.5" hidden="1">
      <c r="A76" s="118" t="s">
        <v>249</v>
      </c>
      <c r="B76" s="282"/>
      <c r="C76" s="283" t="s">
        <v>459</v>
      </c>
      <c r="D76" s="283" t="s">
        <v>130</v>
      </c>
      <c r="E76" s="283" t="s">
        <v>388</v>
      </c>
      <c r="F76" s="285"/>
      <c r="G76" s="266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117" t="s">
        <v>102</v>
      </c>
      <c r="B77" s="282"/>
      <c r="C77" s="283" t="s">
        <v>459</v>
      </c>
      <c r="D77" s="283" t="s">
        <v>130</v>
      </c>
      <c r="E77" s="283" t="s">
        <v>388</v>
      </c>
      <c r="F77" s="284" t="s">
        <v>103</v>
      </c>
      <c r="G77" s="266"/>
      <c r="H77" s="22" t="e">
        <f>SUM(#REF!+#REF!)</f>
        <v>#REF!</v>
      </c>
      <c r="I77" s="22" t="e">
        <f>SUM(H77/#REF!*100)</f>
        <v>#REF!</v>
      </c>
    </row>
    <row r="78" spans="1:9" ht="15">
      <c r="A78" s="117" t="s">
        <v>111</v>
      </c>
      <c r="B78" s="282"/>
      <c r="C78" s="283" t="s">
        <v>459</v>
      </c>
      <c r="D78" s="283" t="s">
        <v>235</v>
      </c>
      <c r="E78" s="283"/>
      <c r="F78" s="285"/>
      <c r="G78" s="266">
        <f>SUM(G81+G94)+G79</f>
        <v>40214.1</v>
      </c>
      <c r="H78" s="22">
        <f>SUM(H81)</f>
        <v>836.4</v>
      </c>
      <c r="I78" s="22">
        <f>SUM(H78/G84*100)</f>
        <v>1200</v>
      </c>
    </row>
    <row r="79" spans="1:9" ht="15">
      <c r="A79" s="117" t="s">
        <v>386</v>
      </c>
      <c r="B79" s="282"/>
      <c r="C79" s="283" t="s">
        <v>459</v>
      </c>
      <c r="D79" s="283" t="s">
        <v>235</v>
      </c>
      <c r="E79" s="283" t="s">
        <v>506</v>
      </c>
      <c r="F79" s="284"/>
      <c r="G79" s="266">
        <f>SUM(G80)</f>
        <v>100</v>
      </c>
      <c r="H79" s="22"/>
      <c r="I79" s="22"/>
    </row>
    <row r="80" spans="1:9" ht="18.75" customHeight="1">
      <c r="A80" s="117" t="s">
        <v>499</v>
      </c>
      <c r="B80" s="293"/>
      <c r="C80" s="283" t="s">
        <v>459</v>
      </c>
      <c r="D80" s="283" t="s">
        <v>235</v>
      </c>
      <c r="E80" s="283" t="s">
        <v>506</v>
      </c>
      <c r="F80" s="294" t="s">
        <v>119</v>
      </c>
      <c r="G80" s="266">
        <v>100</v>
      </c>
      <c r="H80" s="22"/>
      <c r="I80" s="22"/>
    </row>
    <row r="81" spans="1:9" ht="28.5">
      <c r="A81" s="121" t="s">
        <v>496</v>
      </c>
      <c r="B81" s="295"/>
      <c r="C81" s="296" t="s">
        <v>459</v>
      </c>
      <c r="D81" s="296" t="s">
        <v>235</v>
      </c>
      <c r="E81" s="296" t="s">
        <v>497</v>
      </c>
      <c r="F81" s="297"/>
      <c r="G81" s="343">
        <f>G82+G85+G87+G90</f>
        <v>37510.1</v>
      </c>
      <c r="H81" s="22">
        <f>SUM(H82)</f>
        <v>836.4</v>
      </c>
      <c r="I81" s="22" t="e">
        <f>SUM(H81/#REF!*100)</f>
        <v>#REF!</v>
      </c>
    </row>
    <row r="82" spans="1:9" ht="15">
      <c r="A82" s="121" t="s">
        <v>485</v>
      </c>
      <c r="B82" s="298"/>
      <c r="C82" s="299" t="s">
        <v>459</v>
      </c>
      <c r="D82" s="299" t="s">
        <v>235</v>
      </c>
      <c r="E82" s="299" t="s">
        <v>498</v>
      </c>
      <c r="F82" s="300"/>
      <c r="G82" s="343">
        <f>G83+G84</f>
        <v>2881.7999999999997</v>
      </c>
      <c r="H82" s="22">
        <v>836.4</v>
      </c>
      <c r="I82" s="22" t="e">
        <f>SUM(H82/#REF!*100)</f>
        <v>#REF!</v>
      </c>
    </row>
    <row r="83" spans="1:9" ht="15">
      <c r="A83" s="121" t="s">
        <v>499</v>
      </c>
      <c r="B83" s="298"/>
      <c r="C83" s="299" t="s">
        <v>459</v>
      </c>
      <c r="D83" s="299" t="s">
        <v>235</v>
      </c>
      <c r="E83" s="299" t="s">
        <v>498</v>
      </c>
      <c r="F83" s="300" t="s">
        <v>119</v>
      </c>
      <c r="G83" s="343">
        <v>2812.1</v>
      </c>
      <c r="H83" s="22" t="e">
        <f>SUM(#REF!)</f>
        <v>#REF!</v>
      </c>
      <c r="I83" s="22" t="e">
        <f>SUM(H83/G85*100)</f>
        <v>#REF!</v>
      </c>
    </row>
    <row r="84" spans="1:9" ht="15">
      <c r="A84" s="121" t="s">
        <v>500</v>
      </c>
      <c r="B84" s="298"/>
      <c r="C84" s="299" t="s">
        <v>459</v>
      </c>
      <c r="D84" s="299" t="s">
        <v>235</v>
      </c>
      <c r="E84" s="299" t="s">
        <v>498</v>
      </c>
      <c r="F84" s="300" t="s">
        <v>175</v>
      </c>
      <c r="G84" s="343">
        <v>69.7</v>
      </c>
      <c r="H84" s="22" t="e">
        <f>SUM(#REF!)</f>
        <v>#REF!</v>
      </c>
      <c r="I84" s="22" t="e">
        <f>SUM(H84/#REF!*100)</f>
        <v>#REF!</v>
      </c>
    </row>
    <row r="85" spans="1:9" ht="28.5">
      <c r="A85" s="121" t="s">
        <v>486</v>
      </c>
      <c r="B85" s="298"/>
      <c r="C85" s="299" t="s">
        <v>459</v>
      </c>
      <c r="D85" s="299" t="s">
        <v>235</v>
      </c>
      <c r="E85" s="299" t="s">
        <v>501</v>
      </c>
      <c r="F85" s="300"/>
      <c r="G85" s="343">
        <f>SUM(G86)</f>
        <v>10916.7</v>
      </c>
      <c r="H85" s="22"/>
      <c r="I85" s="22"/>
    </row>
    <row r="86" spans="1:9" ht="15">
      <c r="A86" s="121" t="s">
        <v>499</v>
      </c>
      <c r="B86" s="298"/>
      <c r="C86" s="299" t="s">
        <v>459</v>
      </c>
      <c r="D86" s="299" t="s">
        <v>235</v>
      </c>
      <c r="E86" s="299" t="s">
        <v>501</v>
      </c>
      <c r="F86" s="300" t="s">
        <v>119</v>
      </c>
      <c r="G86" s="343">
        <v>10916.7</v>
      </c>
      <c r="H86" s="22"/>
      <c r="I86" s="22"/>
    </row>
    <row r="87" spans="1:9" ht="28.5">
      <c r="A87" s="121" t="s">
        <v>521</v>
      </c>
      <c r="B87" s="298"/>
      <c r="C87" s="299" t="s">
        <v>459</v>
      </c>
      <c r="D87" s="299" t="s">
        <v>235</v>
      </c>
      <c r="E87" s="299" t="s">
        <v>522</v>
      </c>
      <c r="F87" s="300"/>
      <c r="G87" s="343">
        <f>SUM(G88)+G89</f>
        <v>4819.5</v>
      </c>
      <c r="H87" s="22" t="e">
        <f>SUM(H88)</f>
        <v>#REF!</v>
      </c>
      <c r="I87" s="22" t="e">
        <f>SUM(H87/G91*100)</f>
        <v>#REF!</v>
      </c>
    </row>
    <row r="88" spans="1:9" ht="15">
      <c r="A88" s="121" t="s">
        <v>499</v>
      </c>
      <c r="B88" s="298"/>
      <c r="C88" s="299" t="s">
        <v>459</v>
      </c>
      <c r="D88" s="299" t="s">
        <v>235</v>
      </c>
      <c r="E88" s="299" t="s">
        <v>522</v>
      </c>
      <c r="F88" s="300" t="s">
        <v>119</v>
      </c>
      <c r="G88" s="343">
        <v>4818.9</v>
      </c>
      <c r="H88" s="22" t="e">
        <f>SUM(#REF!)</f>
        <v>#REF!</v>
      </c>
      <c r="I88" s="22" t="e">
        <f>SUM(H88/#REF!*100)</f>
        <v>#REF!</v>
      </c>
    </row>
    <row r="89" spans="1:9" ht="15">
      <c r="A89" s="121" t="s">
        <v>500</v>
      </c>
      <c r="B89" s="298"/>
      <c r="C89" s="299" t="s">
        <v>459</v>
      </c>
      <c r="D89" s="299" t="s">
        <v>235</v>
      </c>
      <c r="E89" s="299" t="s">
        <v>522</v>
      </c>
      <c r="F89" s="300" t="s">
        <v>175</v>
      </c>
      <c r="G89" s="343">
        <v>0.6</v>
      </c>
      <c r="H89" s="22"/>
      <c r="I89" s="22"/>
    </row>
    <row r="90" spans="1:9" ht="28.5">
      <c r="A90" s="121" t="s">
        <v>502</v>
      </c>
      <c r="B90" s="298"/>
      <c r="C90" s="299" t="s">
        <v>459</v>
      </c>
      <c r="D90" s="299" t="s">
        <v>235</v>
      </c>
      <c r="E90" s="299" t="s">
        <v>503</v>
      </c>
      <c r="F90" s="300"/>
      <c r="G90" s="343">
        <f>G91+G93+G92</f>
        <v>18892.1</v>
      </c>
      <c r="H90" s="22" t="e">
        <f>SUM(#REF!)</f>
        <v>#REF!</v>
      </c>
      <c r="I90" s="22" t="e">
        <f>SUM(H90/#REF!*100)</f>
        <v>#REF!</v>
      </c>
    </row>
    <row r="91" spans="1:9" ht="15">
      <c r="A91" s="121" t="s">
        <v>499</v>
      </c>
      <c r="B91" s="298"/>
      <c r="C91" s="299" t="s">
        <v>459</v>
      </c>
      <c r="D91" s="299" t="s">
        <v>235</v>
      </c>
      <c r="E91" s="299" t="s">
        <v>503</v>
      </c>
      <c r="F91" s="300" t="s">
        <v>119</v>
      </c>
      <c r="G91" s="343">
        <v>11236.3</v>
      </c>
      <c r="H91" s="22" t="e">
        <f>SUM(#REF!)</f>
        <v>#REF!</v>
      </c>
      <c r="I91" s="22" t="e">
        <f>SUM(H91/#REF!*100)</f>
        <v>#REF!</v>
      </c>
    </row>
    <row r="92" spans="1:9" ht="15">
      <c r="A92" s="183" t="s">
        <v>504</v>
      </c>
      <c r="B92" s="298"/>
      <c r="C92" s="299" t="s">
        <v>459</v>
      </c>
      <c r="D92" s="299" t="s">
        <v>235</v>
      </c>
      <c r="E92" s="299" t="s">
        <v>503</v>
      </c>
      <c r="F92" s="300" t="s">
        <v>505</v>
      </c>
      <c r="G92" s="343">
        <v>96</v>
      </c>
      <c r="H92" s="22"/>
      <c r="I92" s="22"/>
    </row>
    <row r="93" spans="1:9" ht="15">
      <c r="A93" s="121" t="s">
        <v>500</v>
      </c>
      <c r="B93" s="298"/>
      <c r="C93" s="299" t="s">
        <v>459</v>
      </c>
      <c r="D93" s="299" t="s">
        <v>235</v>
      </c>
      <c r="E93" s="299" t="s">
        <v>503</v>
      </c>
      <c r="F93" s="300" t="s">
        <v>175</v>
      </c>
      <c r="G93" s="343">
        <v>7559.8</v>
      </c>
      <c r="H93" s="22">
        <v>1317.4</v>
      </c>
      <c r="I93" s="22" t="e">
        <f>SUM(H93/#REF!*100)</f>
        <v>#REF!</v>
      </c>
    </row>
    <row r="94" spans="1:9" ht="28.5">
      <c r="A94" s="121" t="s">
        <v>598</v>
      </c>
      <c r="B94" s="298"/>
      <c r="C94" s="299" t="s">
        <v>459</v>
      </c>
      <c r="D94" s="299" t="s">
        <v>235</v>
      </c>
      <c r="E94" s="299" t="s">
        <v>135</v>
      </c>
      <c r="F94" s="300"/>
      <c r="G94" s="343">
        <f>G95</f>
        <v>2604</v>
      </c>
      <c r="H94" s="22"/>
      <c r="I94" s="22"/>
    </row>
    <row r="95" spans="1:9" ht="15">
      <c r="A95" s="121" t="s">
        <v>15</v>
      </c>
      <c r="B95" s="298"/>
      <c r="C95" s="299" t="s">
        <v>459</v>
      </c>
      <c r="D95" s="299" t="s">
        <v>235</v>
      </c>
      <c r="E95" s="299" t="s">
        <v>203</v>
      </c>
      <c r="F95" s="300"/>
      <c r="G95" s="343">
        <f>G96+G98</f>
        <v>2604</v>
      </c>
      <c r="H95" s="22"/>
      <c r="I95" s="22"/>
    </row>
    <row r="96" spans="1:9" ht="28.5">
      <c r="A96" s="169" t="s">
        <v>632</v>
      </c>
      <c r="B96" s="298"/>
      <c r="C96" s="299" t="s">
        <v>459</v>
      </c>
      <c r="D96" s="299" t="s">
        <v>235</v>
      </c>
      <c r="E96" s="299" t="s">
        <v>205</v>
      </c>
      <c r="F96" s="300"/>
      <c r="G96" s="343">
        <f>SUM(G97)</f>
        <v>2380.3</v>
      </c>
      <c r="H96" s="22"/>
      <c r="I96" s="22"/>
    </row>
    <row r="97" spans="1:9" ht="28.5">
      <c r="A97" s="121" t="s">
        <v>523</v>
      </c>
      <c r="B97" s="298"/>
      <c r="C97" s="299" t="s">
        <v>459</v>
      </c>
      <c r="D97" s="299" t="s">
        <v>235</v>
      </c>
      <c r="E97" s="299" t="s">
        <v>205</v>
      </c>
      <c r="F97" s="300" t="s">
        <v>512</v>
      </c>
      <c r="G97" s="343">
        <v>2380.3</v>
      </c>
      <c r="H97" s="22"/>
      <c r="I97" s="22"/>
    </row>
    <row r="98" spans="1:9" ht="15">
      <c r="A98" s="117" t="s">
        <v>156</v>
      </c>
      <c r="B98" s="298"/>
      <c r="C98" s="299" t="s">
        <v>459</v>
      </c>
      <c r="D98" s="299" t="s">
        <v>235</v>
      </c>
      <c r="E98" s="299" t="s">
        <v>414</v>
      </c>
      <c r="F98" s="300"/>
      <c r="G98" s="343">
        <f>SUM(G99)</f>
        <v>223.7</v>
      </c>
      <c r="H98" s="22"/>
      <c r="I98" s="22"/>
    </row>
    <row r="99" spans="1:9" ht="28.5">
      <c r="A99" s="121" t="s">
        <v>143</v>
      </c>
      <c r="B99" s="298"/>
      <c r="C99" s="299" t="s">
        <v>459</v>
      </c>
      <c r="D99" s="299" t="s">
        <v>235</v>
      </c>
      <c r="E99" s="299" t="s">
        <v>415</v>
      </c>
      <c r="F99" s="300"/>
      <c r="G99" s="343">
        <f>SUM(G100)</f>
        <v>223.7</v>
      </c>
      <c r="H99" s="22"/>
      <c r="I99" s="22"/>
    </row>
    <row r="100" spans="1:9" ht="28.5">
      <c r="A100" s="121" t="s">
        <v>523</v>
      </c>
      <c r="B100" s="298"/>
      <c r="C100" s="299" t="s">
        <v>459</v>
      </c>
      <c r="D100" s="299" t="s">
        <v>235</v>
      </c>
      <c r="E100" s="299" t="s">
        <v>415</v>
      </c>
      <c r="F100" s="300" t="s">
        <v>512</v>
      </c>
      <c r="G100" s="343">
        <v>223.7</v>
      </c>
      <c r="H100" s="22">
        <f>SUM(H101)</f>
        <v>0</v>
      </c>
      <c r="I100" s="22">
        <f>SUM(H100/G106*100)</f>
        <v>0</v>
      </c>
    </row>
    <row r="101" spans="1:9" ht="28.5" hidden="1">
      <c r="A101" s="121" t="s">
        <v>143</v>
      </c>
      <c r="B101" s="298"/>
      <c r="C101" s="299" t="s">
        <v>459</v>
      </c>
      <c r="D101" s="299" t="s">
        <v>235</v>
      </c>
      <c r="E101" s="299" t="s">
        <v>415</v>
      </c>
      <c r="F101" s="300"/>
      <c r="G101" s="343"/>
      <c r="H101" s="22">
        <f>SUM(H102:H103)</f>
        <v>0</v>
      </c>
      <c r="I101" s="22" t="e">
        <f>SUM(H101/#REF!*100)</f>
        <v>#REF!</v>
      </c>
    </row>
    <row r="102" spans="1:11" ht="15">
      <c r="A102" s="121" t="s">
        <v>138</v>
      </c>
      <c r="B102" s="298"/>
      <c r="C102" s="299" t="s">
        <v>105</v>
      </c>
      <c r="D102" s="299"/>
      <c r="E102" s="299"/>
      <c r="F102" s="300"/>
      <c r="G102" s="343">
        <f>SUM(G109)+G103</f>
        <v>26605</v>
      </c>
      <c r="H102" s="22"/>
      <c r="I102" s="22" t="e">
        <f>SUM(H102/#REF!*100)</f>
        <v>#REF!</v>
      </c>
      <c r="K102" s="93">
        <f>5707.1+16967.1</f>
        <v>22674.199999999997</v>
      </c>
    </row>
    <row r="103" spans="1:9" ht="15">
      <c r="A103" s="157" t="s">
        <v>59</v>
      </c>
      <c r="B103" s="298"/>
      <c r="C103" s="299" t="s">
        <v>105</v>
      </c>
      <c r="D103" s="299" t="s">
        <v>121</v>
      </c>
      <c r="E103" s="299"/>
      <c r="F103" s="300"/>
      <c r="G103" s="343">
        <f>SUM(G105)</f>
        <v>5707.1</v>
      </c>
      <c r="H103" s="22"/>
      <c r="I103" s="22">
        <f>SUM(H103/G107*100)</f>
        <v>0</v>
      </c>
    </row>
    <row r="104" spans="1:9" ht="15">
      <c r="A104" s="121" t="s">
        <v>409</v>
      </c>
      <c r="B104" s="298"/>
      <c r="C104" s="299" t="s">
        <v>105</v>
      </c>
      <c r="D104" s="299" t="s">
        <v>121</v>
      </c>
      <c r="E104" s="299" t="s">
        <v>410</v>
      </c>
      <c r="F104" s="300"/>
      <c r="G104" s="343">
        <f>SUM(G105)</f>
        <v>5707.1</v>
      </c>
      <c r="H104" s="22" t="e">
        <f>SUM(H107)+H106+#REF!</f>
        <v>#REF!</v>
      </c>
      <c r="I104" s="22" t="e">
        <f>SUM(H104/#REF!*100)</f>
        <v>#REF!</v>
      </c>
    </row>
    <row r="105" spans="1:9" s="94" customFormat="1" ht="28.5">
      <c r="A105" s="121" t="s">
        <v>615</v>
      </c>
      <c r="B105" s="298"/>
      <c r="C105" s="299" t="s">
        <v>105</v>
      </c>
      <c r="D105" s="299" t="s">
        <v>121</v>
      </c>
      <c r="E105" s="299" t="s">
        <v>645</v>
      </c>
      <c r="F105" s="300"/>
      <c r="G105" s="343">
        <f>G106+G107+G108</f>
        <v>5707.1</v>
      </c>
      <c r="H105" s="22" t="e">
        <f>SUM(#REF!)</f>
        <v>#REF!</v>
      </c>
      <c r="I105" s="22" t="e">
        <f>SUM(H105/#REF!*100)</f>
        <v>#REF!</v>
      </c>
    </row>
    <row r="106" spans="1:9" s="94" customFormat="1" ht="28.5">
      <c r="A106" s="121" t="s">
        <v>494</v>
      </c>
      <c r="B106" s="298"/>
      <c r="C106" s="299" t="s">
        <v>105</v>
      </c>
      <c r="D106" s="299" t="s">
        <v>121</v>
      </c>
      <c r="E106" s="299" t="s">
        <v>645</v>
      </c>
      <c r="F106" s="300" t="s">
        <v>495</v>
      </c>
      <c r="G106" s="343">
        <v>3832.4</v>
      </c>
      <c r="H106" s="22"/>
      <c r="I106" s="22"/>
    </row>
    <row r="107" spans="1:9" ht="15">
      <c r="A107" s="121" t="s">
        <v>499</v>
      </c>
      <c r="B107" s="298"/>
      <c r="C107" s="299" t="s">
        <v>105</v>
      </c>
      <c r="D107" s="299" t="s">
        <v>121</v>
      </c>
      <c r="E107" s="299" t="s">
        <v>645</v>
      </c>
      <c r="F107" s="300" t="s">
        <v>119</v>
      </c>
      <c r="G107" s="343">
        <v>1783.4</v>
      </c>
      <c r="H107" s="22" t="e">
        <f>SUM(#REF!+H114+H117+H120)+#REF!</f>
        <v>#REF!</v>
      </c>
      <c r="I107" s="22" t="e">
        <f>SUM(H107/G109*100)</f>
        <v>#REF!</v>
      </c>
    </row>
    <row r="108" spans="1:9" ht="15">
      <c r="A108" s="121" t="s">
        <v>500</v>
      </c>
      <c r="B108" s="298"/>
      <c r="C108" s="299" t="s">
        <v>105</v>
      </c>
      <c r="D108" s="299" t="s">
        <v>121</v>
      </c>
      <c r="E108" s="299" t="s">
        <v>645</v>
      </c>
      <c r="F108" s="300" t="s">
        <v>175</v>
      </c>
      <c r="G108" s="343">
        <v>91.3</v>
      </c>
      <c r="H108" s="22"/>
      <c r="I108" s="22">
        <f>SUM(H108/G114*100)</f>
        <v>0</v>
      </c>
    </row>
    <row r="109" spans="1:9" ht="28.5">
      <c r="A109" s="122" t="s">
        <v>298</v>
      </c>
      <c r="B109" s="301"/>
      <c r="C109" s="302" t="s">
        <v>105</v>
      </c>
      <c r="D109" s="302" t="s">
        <v>299</v>
      </c>
      <c r="E109" s="302"/>
      <c r="F109" s="303"/>
      <c r="G109" s="344">
        <f>G121+G126+G110+G131</f>
        <v>20897.899999999998</v>
      </c>
      <c r="H109" s="22">
        <v>438.8</v>
      </c>
      <c r="I109" s="22" t="e">
        <f>SUM(H109/G117*100)</f>
        <v>#DIV/0!</v>
      </c>
    </row>
    <row r="110" spans="1:9" ht="28.5">
      <c r="A110" s="121" t="s">
        <v>599</v>
      </c>
      <c r="B110" s="298"/>
      <c r="C110" s="299" t="s">
        <v>105</v>
      </c>
      <c r="D110" s="299" t="s">
        <v>299</v>
      </c>
      <c r="E110" s="299" t="s">
        <v>527</v>
      </c>
      <c r="F110" s="300"/>
      <c r="G110" s="343">
        <f>SUM(G113)+G111</f>
        <v>17303.6</v>
      </c>
      <c r="H110" s="22">
        <f>SUM(H113)</f>
        <v>9825.3</v>
      </c>
      <c r="I110" s="22">
        <f>SUM(H110/G118*100)</f>
        <v>417.79563719862233</v>
      </c>
    </row>
    <row r="111" spans="1:9" ht="28.5">
      <c r="A111" s="121" t="s">
        <v>785</v>
      </c>
      <c r="B111" s="298"/>
      <c r="C111" s="299" t="s">
        <v>105</v>
      </c>
      <c r="D111" s="299" t="s">
        <v>299</v>
      </c>
      <c r="E111" s="299" t="s">
        <v>1050</v>
      </c>
      <c r="F111" s="300"/>
      <c r="G111" s="343">
        <f>SUM(G112)</f>
        <v>4806.5</v>
      </c>
      <c r="H111" s="22"/>
      <c r="I111" s="22"/>
    </row>
    <row r="112" spans="1:9" ht="15">
      <c r="A112" s="121" t="s">
        <v>499</v>
      </c>
      <c r="B112" s="298"/>
      <c r="C112" s="299" t="s">
        <v>105</v>
      </c>
      <c r="D112" s="299" t="s">
        <v>299</v>
      </c>
      <c r="E112" s="299" t="s">
        <v>1050</v>
      </c>
      <c r="F112" s="300" t="s">
        <v>119</v>
      </c>
      <c r="G112" s="343">
        <v>4806.5</v>
      </c>
      <c r="H112" s="22"/>
      <c r="I112" s="22"/>
    </row>
    <row r="113" spans="1:9" ht="28.5">
      <c r="A113" s="121" t="s">
        <v>56</v>
      </c>
      <c r="B113" s="298"/>
      <c r="C113" s="299" t="s">
        <v>105</v>
      </c>
      <c r="D113" s="299" t="s">
        <v>299</v>
      </c>
      <c r="E113" s="299" t="s">
        <v>528</v>
      </c>
      <c r="F113" s="300"/>
      <c r="G113" s="343">
        <f>G114+G118+G120</f>
        <v>12497.099999999999</v>
      </c>
      <c r="H113" s="22">
        <v>9825.3</v>
      </c>
      <c r="I113" s="22" t="e">
        <f>SUM(H113/G119*100)</f>
        <v>#DIV/0!</v>
      </c>
    </row>
    <row r="114" spans="1:9" ht="28.5">
      <c r="A114" s="121" t="s">
        <v>494</v>
      </c>
      <c r="B114" s="298"/>
      <c r="C114" s="299" t="s">
        <v>105</v>
      </c>
      <c r="D114" s="299" t="s">
        <v>299</v>
      </c>
      <c r="E114" s="299" t="s">
        <v>528</v>
      </c>
      <c r="F114" s="300" t="s">
        <v>495</v>
      </c>
      <c r="G114" s="343">
        <v>9883.9</v>
      </c>
      <c r="H114" s="22">
        <f>SUM(H115)</f>
        <v>227.3</v>
      </c>
      <c r="I114" s="22">
        <f>SUM(H114/G120*100)</f>
        <v>86.92160611854685</v>
      </c>
    </row>
    <row r="115" spans="1:9" ht="15" hidden="1">
      <c r="A115" s="121" t="s">
        <v>529</v>
      </c>
      <c r="B115" s="298"/>
      <c r="C115" s="299" t="s">
        <v>105</v>
      </c>
      <c r="D115" s="299" t="s">
        <v>299</v>
      </c>
      <c r="E115" s="299" t="s">
        <v>528</v>
      </c>
      <c r="F115" s="300" t="s">
        <v>530</v>
      </c>
      <c r="G115" s="343"/>
      <c r="H115" s="22">
        <f>SUM(H116)</f>
        <v>227.3</v>
      </c>
      <c r="I115" s="22">
        <f>SUM(H115/G121*100)</f>
        <v>9.573347934127954</v>
      </c>
    </row>
    <row r="116" spans="1:9" ht="28.5" hidden="1">
      <c r="A116" s="121" t="s">
        <v>531</v>
      </c>
      <c r="B116" s="304"/>
      <c r="C116" s="299" t="s">
        <v>105</v>
      </c>
      <c r="D116" s="299" t="s">
        <v>299</v>
      </c>
      <c r="E116" s="299" t="s">
        <v>528</v>
      </c>
      <c r="F116" s="300" t="s">
        <v>532</v>
      </c>
      <c r="G116" s="343"/>
      <c r="H116" s="22">
        <v>227.3</v>
      </c>
      <c r="I116" s="22">
        <f>SUM(H116/G122*100)</f>
        <v>25.997941210110948</v>
      </c>
    </row>
    <row r="117" spans="1:9" ht="28.5" hidden="1">
      <c r="A117" s="121" t="s">
        <v>533</v>
      </c>
      <c r="B117" s="304"/>
      <c r="C117" s="299" t="s">
        <v>105</v>
      </c>
      <c r="D117" s="299" t="s">
        <v>299</v>
      </c>
      <c r="E117" s="299" t="s">
        <v>528</v>
      </c>
      <c r="F117" s="300" t="s">
        <v>534</v>
      </c>
      <c r="G117" s="343"/>
      <c r="H117" s="22">
        <f>SUM(H118)</f>
        <v>5387.8</v>
      </c>
      <c r="I117" s="22" t="e">
        <f>SUM(H117/#REF!*100)</f>
        <v>#REF!</v>
      </c>
    </row>
    <row r="118" spans="1:9" ht="15">
      <c r="A118" s="121" t="s">
        <v>499</v>
      </c>
      <c r="B118" s="304"/>
      <c r="C118" s="299" t="s">
        <v>105</v>
      </c>
      <c r="D118" s="299" t="s">
        <v>299</v>
      </c>
      <c r="E118" s="299" t="s">
        <v>528</v>
      </c>
      <c r="F118" s="300" t="s">
        <v>119</v>
      </c>
      <c r="G118" s="343">
        <v>2351.7</v>
      </c>
      <c r="H118" s="22">
        <f>SUM(H119)</f>
        <v>5387.8</v>
      </c>
      <c r="I118" s="22" t="e">
        <f>SUM(H118/#REF!*100)</f>
        <v>#REF!</v>
      </c>
    </row>
    <row r="119" spans="1:9" ht="15" hidden="1">
      <c r="A119" s="121" t="s">
        <v>517</v>
      </c>
      <c r="B119" s="304"/>
      <c r="C119" s="299" t="s">
        <v>105</v>
      </c>
      <c r="D119" s="299" t="s">
        <v>299</v>
      </c>
      <c r="E119" s="299" t="s">
        <v>528</v>
      </c>
      <c r="F119" s="300" t="s">
        <v>518</v>
      </c>
      <c r="G119" s="343"/>
      <c r="H119" s="22">
        <v>5387.8</v>
      </c>
      <c r="I119" s="22" t="e">
        <f>SUM(H119/#REF!*100)</f>
        <v>#REF!</v>
      </c>
    </row>
    <row r="120" spans="1:9" ht="15">
      <c r="A120" s="178" t="s">
        <v>500</v>
      </c>
      <c r="B120" s="305"/>
      <c r="C120" s="306" t="s">
        <v>105</v>
      </c>
      <c r="D120" s="306" t="s">
        <v>299</v>
      </c>
      <c r="E120" s="306" t="s">
        <v>528</v>
      </c>
      <c r="F120" s="307" t="s">
        <v>175</v>
      </c>
      <c r="G120" s="345">
        <v>261.5</v>
      </c>
      <c r="H120" s="22">
        <f>SUM(H122)</f>
        <v>0</v>
      </c>
      <c r="I120" s="22">
        <f>SUM(H120/G124*100)</f>
        <v>0</v>
      </c>
    </row>
    <row r="121" spans="1:9" ht="28.5">
      <c r="A121" s="121" t="s">
        <v>600</v>
      </c>
      <c r="B121" s="298"/>
      <c r="C121" s="299" t="s">
        <v>105</v>
      </c>
      <c r="D121" s="299" t="s">
        <v>299</v>
      </c>
      <c r="E121" s="299" t="s">
        <v>535</v>
      </c>
      <c r="F121" s="300"/>
      <c r="G121" s="343">
        <f>SUM(G123+G125)</f>
        <v>2374.3</v>
      </c>
      <c r="H121" s="22">
        <f>SUM(H122)</f>
        <v>0</v>
      </c>
      <c r="I121" s="22">
        <f>SUM(H121/G125*100)</f>
        <v>0</v>
      </c>
    </row>
    <row r="122" spans="1:9" ht="28.5">
      <c r="A122" s="121" t="s">
        <v>601</v>
      </c>
      <c r="B122" s="298"/>
      <c r="C122" s="299" t="s">
        <v>105</v>
      </c>
      <c r="D122" s="299" t="s">
        <v>299</v>
      </c>
      <c r="E122" s="299" t="s">
        <v>536</v>
      </c>
      <c r="F122" s="300"/>
      <c r="G122" s="343">
        <f>SUM(G123)</f>
        <v>874.3</v>
      </c>
      <c r="H122" s="22"/>
      <c r="I122" s="22">
        <f>SUM(H122/G126*100)</f>
        <v>0</v>
      </c>
    </row>
    <row r="123" spans="1:9" ht="15">
      <c r="A123" s="121" t="s">
        <v>499</v>
      </c>
      <c r="B123" s="298"/>
      <c r="C123" s="299" t="s">
        <v>105</v>
      </c>
      <c r="D123" s="299" t="s">
        <v>299</v>
      </c>
      <c r="E123" s="299" t="s">
        <v>536</v>
      </c>
      <c r="F123" s="300" t="s">
        <v>119</v>
      </c>
      <c r="G123" s="343">
        <v>874.3</v>
      </c>
      <c r="H123" s="22"/>
      <c r="I123" s="22"/>
    </row>
    <row r="124" spans="1:9" ht="28.5">
      <c r="A124" s="121" t="s">
        <v>0</v>
      </c>
      <c r="B124" s="298"/>
      <c r="C124" s="299" t="s">
        <v>105</v>
      </c>
      <c r="D124" s="299" t="s">
        <v>299</v>
      </c>
      <c r="E124" s="299" t="s">
        <v>537</v>
      </c>
      <c r="F124" s="300"/>
      <c r="G124" s="343">
        <f>SUM(G125)</f>
        <v>1500</v>
      </c>
      <c r="H124" s="22"/>
      <c r="I124" s="22" t="e">
        <f>SUM(H124/G130*100)</f>
        <v>#DIV/0!</v>
      </c>
    </row>
    <row r="125" spans="1:9" s="94" customFormat="1" ht="15">
      <c r="A125" s="121" t="s">
        <v>499</v>
      </c>
      <c r="B125" s="298"/>
      <c r="C125" s="299" t="s">
        <v>105</v>
      </c>
      <c r="D125" s="299" t="s">
        <v>299</v>
      </c>
      <c r="E125" s="299" t="s">
        <v>537</v>
      </c>
      <c r="F125" s="300" t="s">
        <v>119</v>
      </c>
      <c r="G125" s="343">
        <v>1500</v>
      </c>
      <c r="H125" s="22" t="e">
        <f>SUM(H126+H129+H135+#REF!)</f>
        <v>#REF!</v>
      </c>
      <c r="I125" s="22" t="e">
        <f>SUM(H125/#REF!*100)</f>
        <v>#REF!</v>
      </c>
    </row>
    <row r="126" spans="1:9" ht="15">
      <c r="A126" s="121" t="s">
        <v>1</v>
      </c>
      <c r="B126" s="292"/>
      <c r="C126" s="288" t="s">
        <v>105</v>
      </c>
      <c r="D126" s="288" t="s">
        <v>299</v>
      </c>
      <c r="E126" s="288" t="s">
        <v>538</v>
      </c>
      <c r="F126" s="285"/>
      <c r="G126" s="343">
        <f>SUM(G127)</f>
        <v>40</v>
      </c>
      <c r="H126" s="22"/>
      <c r="I126" s="22"/>
    </row>
    <row r="127" spans="1:9" ht="28.5">
      <c r="A127" s="121" t="s">
        <v>2</v>
      </c>
      <c r="B127" s="292"/>
      <c r="C127" s="288" t="s">
        <v>105</v>
      </c>
      <c r="D127" s="288" t="s">
        <v>299</v>
      </c>
      <c r="E127" s="288" t="s">
        <v>539</v>
      </c>
      <c r="F127" s="285"/>
      <c r="G127" s="343">
        <f>SUM(G128)</f>
        <v>40</v>
      </c>
      <c r="H127" s="22"/>
      <c r="I127" s="22"/>
    </row>
    <row r="128" spans="1:9" ht="14.25" customHeight="1">
      <c r="A128" s="121" t="s">
        <v>499</v>
      </c>
      <c r="B128" s="292"/>
      <c r="C128" s="288" t="s">
        <v>105</v>
      </c>
      <c r="D128" s="288" t="s">
        <v>299</v>
      </c>
      <c r="E128" s="288" t="s">
        <v>539</v>
      </c>
      <c r="F128" s="285" t="s">
        <v>119</v>
      </c>
      <c r="G128" s="343">
        <v>40</v>
      </c>
      <c r="H128" s="22"/>
      <c r="I128" s="22"/>
    </row>
    <row r="129" spans="1:9" ht="15" hidden="1">
      <c r="A129" s="121" t="s">
        <v>517</v>
      </c>
      <c r="B129" s="292"/>
      <c r="C129" s="288" t="s">
        <v>105</v>
      </c>
      <c r="D129" s="288" t="s">
        <v>299</v>
      </c>
      <c r="E129" s="288" t="s">
        <v>539</v>
      </c>
      <c r="F129" s="285" t="s">
        <v>518</v>
      </c>
      <c r="G129" s="343"/>
      <c r="H129" s="22"/>
      <c r="I129" s="22"/>
    </row>
    <row r="130" spans="1:9" ht="28.5" hidden="1">
      <c r="A130" s="121" t="s">
        <v>519</v>
      </c>
      <c r="B130" s="292"/>
      <c r="C130" s="288" t="s">
        <v>105</v>
      </c>
      <c r="D130" s="288" t="s">
        <v>299</v>
      </c>
      <c r="E130" s="288" t="s">
        <v>539</v>
      </c>
      <c r="F130" s="285" t="s">
        <v>520</v>
      </c>
      <c r="G130" s="343"/>
      <c r="H130" s="22"/>
      <c r="I130" s="22"/>
    </row>
    <row r="131" spans="1:9" ht="15">
      <c r="A131" s="123" t="s">
        <v>550</v>
      </c>
      <c r="B131" s="292"/>
      <c r="C131" s="308" t="s">
        <v>105</v>
      </c>
      <c r="D131" s="308" t="s">
        <v>299</v>
      </c>
      <c r="E131" s="288" t="s">
        <v>128</v>
      </c>
      <c r="F131" s="309"/>
      <c r="G131" s="346">
        <f>SUM(G132)</f>
        <v>1180</v>
      </c>
      <c r="H131" s="22"/>
      <c r="I131" s="22"/>
    </row>
    <row r="132" spans="1:9" ht="15">
      <c r="A132" s="121" t="s">
        <v>669</v>
      </c>
      <c r="B132" s="282"/>
      <c r="C132" s="308" t="s">
        <v>105</v>
      </c>
      <c r="D132" s="308" t="s">
        <v>299</v>
      </c>
      <c r="E132" s="288" t="s">
        <v>137</v>
      </c>
      <c r="F132" s="285"/>
      <c r="G132" s="266">
        <f>SUM(G133)</f>
        <v>1180</v>
      </c>
      <c r="H132" s="22"/>
      <c r="I132" s="22"/>
    </row>
    <row r="133" spans="1:9" ht="15">
      <c r="A133" s="121" t="s">
        <v>499</v>
      </c>
      <c r="B133" s="282"/>
      <c r="C133" s="308" t="s">
        <v>105</v>
      </c>
      <c r="D133" s="308" t="s">
        <v>299</v>
      </c>
      <c r="E133" s="288" t="s">
        <v>137</v>
      </c>
      <c r="F133" s="285" t="s">
        <v>119</v>
      </c>
      <c r="G133" s="266">
        <v>1180</v>
      </c>
      <c r="H133" s="22"/>
      <c r="I133" s="22"/>
    </row>
    <row r="134" spans="1:9" ht="28.5" hidden="1">
      <c r="A134" s="121" t="s">
        <v>209</v>
      </c>
      <c r="B134" s="282"/>
      <c r="C134" s="308" t="s">
        <v>105</v>
      </c>
      <c r="D134" s="308" t="s">
        <v>299</v>
      </c>
      <c r="E134" s="288" t="s">
        <v>149</v>
      </c>
      <c r="F134" s="285"/>
      <c r="G134" s="266">
        <f>SUM(G135)</f>
        <v>0</v>
      </c>
      <c r="H134" s="22"/>
      <c r="I134" s="22"/>
    </row>
    <row r="135" spans="1:9" ht="15" hidden="1">
      <c r="A135" s="117" t="s">
        <v>102</v>
      </c>
      <c r="B135" s="282"/>
      <c r="C135" s="308" t="s">
        <v>105</v>
      </c>
      <c r="D135" s="308" t="s">
        <v>299</v>
      </c>
      <c r="E135" s="288" t="s">
        <v>149</v>
      </c>
      <c r="F135" s="285" t="s">
        <v>103</v>
      </c>
      <c r="G135" s="266"/>
      <c r="H135" s="22"/>
      <c r="I135" s="22"/>
    </row>
    <row r="136" spans="1:11" s="94" customFormat="1" ht="15">
      <c r="A136" s="121" t="s">
        <v>120</v>
      </c>
      <c r="B136" s="298"/>
      <c r="C136" s="299" t="s">
        <v>121</v>
      </c>
      <c r="D136" s="299"/>
      <c r="E136" s="299"/>
      <c r="F136" s="300"/>
      <c r="G136" s="343">
        <f>G137+G158+G152</f>
        <v>294849.5</v>
      </c>
      <c r="H136" s="22">
        <f>SUM(H137+H141)</f>
        <v>30706.4</v>
      </c>
      <c r="I136" s="22" t="e">
        <f>SUM(H136/G145*100)</f>
        <v>#DIV/0!</v>
      </c>
      <c r="K136" s="94">
        <f>5999.8-683.2+172.8+5839+251467.1</f>
        <v>262795.5</v>
      </c>
    </row>
    <row r="137" spans="1:9" ht="14.25" customHeight="1">
      <c r="A137" s="121" t="s">
        <v>122</v>
      </c>
      <c r="B137" s="298"/>
      <c r="C137" s="299" t="s">
        <v>121</v>
      </c>
      <c r="D137" s="299" t="s">
        <v>123</v>
      </c>
      <c r="E137" s="299"/>
      <c r="F137" s="300"/>
      <c r="G137" s="343">
        <f>G141+G138</f>
        <v>106563.1</v>
      </c>
      <c r="H137" s="22">
        <v>30706.4</v>
      </c>
      <c r="I137" s="22">
        <f>SUM(H137/G146*100)</f>
        <v>45.59600264312601</v>
      </c>
    </row>
    <row r="138" spans="1:9" ht="28.5" hidden="1">
      <c r="A138" s="121" t="s">
        <v>496</v>
      </c>
      <c r="B138" s="298"/>
      <c r="C138" s="299" t="s">
        <v>121</v>
      </c>
      <c r="D138" s="299" t="s">
        <v>123</v>
      </c>
      <c r="E138" s="299" t="s">
        <v>497</v>
      </c>
      <c r="F138" s="300"/>
      <c r="G138" s="343">
        <f>SUM(G139)</f>
        <v>0</v>
      </c>
      <c r="H138" s="22"/>
      <c r="I138" s="22"/>
    </row>
    <row r="139" spans="1:9" ht="15" hidden="1">
      <c r="A139" s="121" t="s">
        <v>690</v>
      </c>
      <c r="B139" s="298"/>
      <c r="C139" s="299" t="s">
        <v>121</v>
      </c>
      <c r="D139" s="299" t="s">
        <v>123</v>
      </c>
      <c r="E139" s="299" t="s">
        <v>691</v>
      </c>
      <c r="F139" s="300"/>
      <c r="G139" s="343">
        <f>SUM(G140)</f>
        <v>0</v>
      </c>
      <c r="H139" s="22"/>
      <c r="I139" s="22"/>
    </row>
    <row r="140" spans="1:9" ht="15" hidden="1">
      <c r="A140" s="121" t="s">
        <v>499</v>
      </c>
      <c r="B140" s="298"/>
      <c r="C140" s="299" t="s">
        <v>121</v>
      </c>
      <c r="D140" s="299" t="s">
        <v>123</v>
      </c>
      <c r="E140" s="299" t="s">
        <v>691</v>
      </c>
      <c r="F140" s="300" t="s">
        <v>119</v>
      </c>
      <c r="G140" s="343"/>
      <c r="H140" s="22"/>
      <c r="I140" s="22"/>
    </row>
    <row r="141" spans="1:9" ht="15">
      <c r="A141" s="121" t="s">
        <v>540</v>
      </c>
      <c r="B141" s="298"/>
      <c r="C141" s="299" t="s">
        <v>121</v>
      </c>
      <c r="D141" s="299" t="s">
        <v>123</v>
      </c>
      <c r="E141" s="299" t="s">
        <v>541</v>
      </c>
      <c r="F141" s="300"/>
      <c r="G141" s="343">
        <f>G142+G146</f>
        <v>106563.1</v>
      </c>
      <c r="H141" s="22">
        <f>SUM(H142)</f>
        <v>0</v>
      </c>
      <c r="I141" s="22">
        <f>SUM(H141/G147*100)</f>
        <v>0</v>
      </c>
    </row>
    <row r="142" spans="1:9" ht="15">
      <c r="A142" s="121" t="s">
        <v>542</v>
      </c>
      <c r="B142" s="298"/>
      <c r="C142" s="299" t="s">
        <v>121</v>
      </c>
      <c r="D142" s="299" t="s">
        <v>123</v>
      </c>
      <c r="E142" s="299" t="s">
        <v>543</v>
      </c>
      <c r="F142" s="300"/>
      <c r="G142" s="343">
        <f>G143</f>
        <v>39218.6</v>
      </c>
      <c r="H142" s="22"/>
      <c r="I142" s="22">
        <f>SUM(H142/G148*100)</f>
        <v>0</v>
      </c>
    </row>
    <row r="143" spans="1:9" ht="15">
      <c r="A143" s="121" t="s">
        <v>6</v>
      </c>
      <c r="B143" s="298"/>
      <c r="C143" s="299" t="s">
        <v>121</v>
      </c>
      <c r="D143" s="299" t="s">
        <v>123</v>
      </c>
      <c r="E143" s="299" t="s">
        <v>544</v>
      </c>
      <c r="F143" s="300"/>
      <c r="G143" s="343">
        <f>SUM(G144)</f>
        <v>39218.6</v>
      </c>
      <c r="H143" s="22"/>
      <c r="I143" s="22"/>
    </row>
    <row r="144" spans="1:9" s="101" customFormat="1" ht="15">
      <c r="A144" s="121" t="s">
        <v>500</v>
      </c>
      <c r="B144" s="298"/>
      <c r="C144" s="299" t="s">
        <v>121</v>
      </c>
      <c r="D144" s="299" t="s">
        <v>123</v>
      </c>
      <c r="E144" s="299" t="s">
        <v>544</v>
      </c>
      <c r="F144" s="300" t="s">
        <v>175</v>
      </c>
      <c r="G144" s="343">
        <v>39218.6</v>
      </c>
      <c r="H144" s="86"/>
      <c r="I144" s="86"/>
    </row>
    <row r="145" spans="1:9" ht="28.5" hidden="1">
      <c r="A145" s="121" t="s">
        <v>545</v>
      </c>
      <c r="B145" s="298"/>
      <c r="C145" s="299" t="s">
        <v>121</v>
      </c>
      <c r="D145" s="299" t="s">
        <v>123</v>
      </c>
      <c r="E145" s="299" t="s">
        <v>544</v>
      </c>
      <c r="F145" s="300" t="s">
        <v>208</v>
      </c>
      <c r="G145" s="343"/>
      <c r="H145" s="22"/>
      <c r="I145" s="22"/>
    </row>
    <row r="146" spans="1:9" ht="15">
      <c r="A146" s="121" t="s">
        <v>124</v>
      </c>
      <c r="B146" s="298"/>
      <c r="C146" s="299" t="s">
        <v>121</v>
      </c>
      <c r="D146" s="299" t="s">
        <v>123</v>
      </c>
      <c r="E146" s="299" t="s">
        <v>416</v>
      </c>
      <c r="F146" s="300"/>
      <c r="G146" s="343">
        <f>G147</f>
        <v>67344.5</v>
      </c>
      <c r="H146" s="22"/>
      <c r="I146" s="22"/>
    </row>
    <row r="147" spans="1:9" ht="15">
      <c r="A147" s="121" t="s">
        <v>15</v>
      </c>
      <c r="B147" s="298"/>
      <c r="C147" s="299" t="s">
        <v>121</v>
      </c>
      <c r="D147" s="299" t="s">
        <v>123</v>
      </c>
      <c r="E147" s="299" t="s">
        <v>76</v>
      </c>
      <c r="F147" s="300"/>
      <c r="G147" s="343">
        <f>SUM(G148)</f>
        <v>67344.5</v>
      </c>
      <c r="H147" s="22"/>
      <c r="I147" s="22"/>
    </row>
    <row r="148" spans="1:9" ht="28.5">
      <c r="A148" s="121" t="s">
        <v>204</v>
      </c>
      <c r="B148" s="298"/>
      <c r="C148" s="299" t="s">
        <v>121</v>
      </c>
      <c r="D148" s="299" t="s">
        <v>123</v>
      </c>
      <c r="E148" s="299" t="s">
        <v>77</v>
      </c>
      <c r="F148" s="300"/>
      <c r="G148" s="343">
        <f>SUM(G149)</f>
        <v>67344.5</v>
      </c>
      <c r="H148" s="22"/>
      <c r="I148" s="22"/>
    </row>
    <row r="149" spans="1:9" ht="28.5">
      <c r="A149" s="121" t="s">
        <v>523</v>
      </c>
      <c r="B149" s="298"/>
      <c r="C149" s="299" t="s">
        <v>121</v>
      </c>
      <c r="D149" s="299" t="s">
        <v>123</v>
      </c>
      <c r="E149" s="299" t="s">
        <v>77</v>
      </c>
      <c r="F149" s="300" t="s">
        <v>512</v>
      </c>
      <c r="G149" s="343">
        <v>67344.5</v>
      </c>
      <c r="H149" s="22"/>
      <c r="I149" s="22"/>
    </row>
    <row r="150" spans="1:9" ht="15" hidden="1">
      <c r="A150" s="121" t="s">
        <v>524</v>
      </c>
      <c r="B150" s="298"/>
      <c r="C150" s="299" t="s">
        <v>121</v>
      </c>
      <c r="D150" s="299" t="s">
        <v>123</v>
      </c>
      <c r="E150" s="299" t="s">
        <v>77</v>
      </c>
      <c r="F150" s="300" t="s">
        <v>525</v>
      </c>
      <c r="G150" s="343"/>
      <c r="H150" s="22"/>
      <c r="I150" s="22"/>
    </row>
    <row r="151" spans="1:9" ht="42.75" hidden="1">
      <c r="A151" s="122" t="s">
        <v>526</v>
      </c>
      <c r="B151" s="298"/>
      <c r="C151" s="299" t="s">
        <v>121</v>
      </c>
      <c r="D151" s="299" t="s">
        <v>123</v>
      </c>
      <c r="E151" s="299" t="s">
        <v>77</v>
      </c>
      <c r="F151" s="300" t="s">
        <v>58</v>
      </c>
      <c r="G151" s="343"/>
      <c r="H151" s="22" t="e">
        <f>SUM(H155+H157+H164+#REF!)</f>
        <v>#REF!</v>
      </c>
      <c r="I151" s="22" t="e">
        <f>SUM(H151/G157*100)</f>
        <v>#REF!</v>
      </c>
    </row>
    <row r="152" spans="1:9" s="94" customFormat="1" ht="15">
      <c r="A152" s="121" t="s">
        <v>146</v>
      </c>
      <c r="B152" s="298"/>
      <c r="C152" s="299" t="s">
        <v>121</v>
      </c>
      <c r="D152" s="299" t="s">
        <v>299</v>
      </c>
      <c r="E152" s="299"/>
      <c r="F152" s="300"/>
      <c r="G152" s="343">
        <f>G153</f>
        <v>170958</v>
      </c>
      <c r="H152" s="22">
        <f>SUM(H154)</f>
        <v>0</v>
      </c>
      <c r="I152" s="22">
        <f>SUM(H152/G158*100)</f>
        <v>0</v>
      </c>
    </row>
    <row r="153" spans="1:9" s="94" customFormat="1" ht="28.5">
      <c r="A153" s="121" t="s">
        <v>38</v>
      </c>
      <c r="B153" s="298"/>
      <c r="C153" s="299" t="s">
        <v>121</v>
      </c>
      <c r="D153" s="299" t="s">
        <v>299</v>
      </c>
      <c r="E153" s="299" t="s">
        <v>39</v>
      </c>
      <c r="F153" s="300"/>
      <c r="G153" s="343">
        <f>G154</f>
        <v>170958</v>
      </c>
      <c r="H153" s="22"/>
      <c r="I153" s="22"/>
    </row>
    <row r="154" spans="1:9" s="102" customFormat="1" ht="15">
      <c r="A154" s="121" t="s">
        <v>499</v>
      </c>
      <c r="B154" s="298"/>
      <c r="C154" s="299" t="s">
        <v>121</v>
      </c>
      <c r="D154" s="299" t="s">
        <v>299</v>
      </c>
      <c r="E154" s="299" t="s">
        <v>39</v>
      </c>
      <c r="F154" s="300" t="s">
        <v>119</v>
      </c>
      <c r="G154" s="343">
        <v>170958</v>
      </c>
      <c r="H154" s="22"/>
      <c r="I154" s="22">
        <f aca="true" t="shared" si="2" ref="I154:I159">SUM(H154/G160*100)</f>
        <v>0</v>
      </c>
    </row>
    <row r="155" spans="1:9" s="96" customFormat="1" ht="15" hidden="1">
      <c r="A155" s="121" t="s">
        <v>517</v>
      </c>
      <c r="B155" s="298"/>
      <c r="C155" s="299" t="s">
        <v>121</v>
      </c>
      <c r="D155" s="299" t="s">
        <v>299</v>
      </c>
      <c r="E155" s="299" t="s">
        <v>39</v>
      </c>
      <c r="F155" s="300" t="s">
        <v>518</v>
      </c>
      <c r="G155" s="343"/>
      <c r="H155" s="22">
        <f>SUM(H156)</f>
        <v>0</v>
      </c>
      <c r="I155" s="22" t="e">
        <f t="shared" si="2"/>
        <v>#DIV/0!</v>
      </c>
    </row>
    <row r="156" spans="1:9" s="96" customFormat="1" ht="28.5" hidden="1">
      <c r="A156" s="121" t="s">
        <v>519</v>
      </c>
      <c r="B156" s="298"/>
      <c r="C156" s="299" t="s">
        <v>121</v>
      </c>
      <c r="D156" s="299" t="s">
        <v>299</v>
      </c>
      <c r="E156" s="299" t="s">
        <v>39</v>
      </c>
      <c r="F156" s="300" t="s">
        <v>520</v>
      </c>
      <c r="G156" s="343"/>
      <c r="H156" s="22">
        <f>5050-2000-3050</f>
        <v>0</v>
      </c>
      <c r="I156" s="22" t="e">
        <f t="shared" si="2"/>
        <v>#DIV/0!</v>
      </c>
    </row>
    <row r="157" spans="1:9" s="96" customFormat="1" ht="28.5" hidden="1">
      <c r="A157" s="121" t="s">
        <v>546</v>
      </c>
      <c r="B157" s="298"/>
      <c r="C157" s="299" t="s">
        <v>121</v>
      </c>
      <c r="D157" s="299" t="s">
        <v>299</v>
      </c>
      <c r="E157" s="299" t="s">
        <v>39</v>
      </c>
      <c r="F157" s="300" t="s">
        <v>520</v>
      </c>
      <c r="G157" s="343"/>
      <c r="H157" s="22">
        <f>SUM(H158)</f>
        <v>200</v>
      </c>
      <c r="I157" s="22" t="e">
        <f t="shared" si="2"/>
        <v>#DIV/0!</v>
      </c>
    </row>
    <row r="158" spans="1:9" s="96" customFormat="1" ht="15">
      <c r="A158" s="121" t="s">
        <v>417</v>
      </c>
      <c r="B158" s="298"/>
      <c r="C158" s="299" t="s">
        <v>121</v>
      </c>
      <c r="D158" s="299" t="s">
        <v>407</v>
      </c>
      <c r="E158" s="299"/>
      <c r="F158" s="300"/>
      <c r="G158" s="343">
        <f>SUM(G159,G169,G167)</f>
        <v>17328.4</v>
      </c>
      <c r="H158" s="22">
        <f>SUM(H159)</f>
        <v>200</v>
      </c>
      <c r="I158" s="22">
        <f t="shared" si="2"/>
        <v>4.479885314935937</v>
      </c>
    </row>
    <row r="159" spans="1:9" s="96" customFormat="1" ht="15">
      <c r="A159" s="121" t="s">
        <v>540</v>
      </c>
      <c r="B159" s="298"/>
      <c r="C159" s="299" t="s">
        <v>121</v>
      </c>
      <c r="D159" s="299" t="s">
        <v>407</v>
      </c>
      <c r="E159" s="299" t="s">
        <v>541</v>
      </c>
      <c r="F159" s="300"/>
      <c r="G159" s="343">
        <f>SUM(G160)</f>
        <v>4464.400000000001</v>
      </c>
      <c r="H159" s="22">
        <v>200</v>
      </c>
      <c r="I159" s="22">
        <f t="shared" si="2"/>
        <v>4.479885314935937</v>
      </c>
    </row>
    <row r="160" spans="1:9" s="96" customFormat="1" ht="15">
      <c r="A160" s="121" t="s">
        <v>422</v>
      </c>
      <c r="B160" s="298"/>
      <c r="C160" s="299" t="s">
        <v>121</v>
      </c>
      <c r="D160" s="299" t="s">
        <v>407</v>
      </c>
      <c r="E160" s="299" t="s">
        <v>547</v>
      </c>
      <c r="F160" s="300"/>
      <c r="G160" s="343">
        <f>SUM(G161,G165)</f>
        <v>4464.400000000001</v>
      </c>
      <c r="H160" s="22"/>
      <c r="I160" s="22"/>
    </row>
    <row r="161" spans="1:9" s="96" customFormat="1" ht="15" hidden="1">
      <c r="A161" s="121" t="s">
        <v>551</v>
      </c>
      <c r="B161" s="298"/>
      <c r="C161" s="299" t="s">
        <v>121</v>
      </c>
      <c r="D161" s="299" t="s">
        <v>407</v>
      </c>
      <c r="E161" s="288" t="s">
        <v>548</v>
      </c>
      <c r="F161" s="300"/>
      <c r="G161" s="343">
        <f>SUM(G162)</f>
        <v>0</v>
      </c>
      <c r="H161" s="22"/>
      <c r="I161" s="22"/>
    </row>
    <row r="162" spans="1:9" s="103" customFormat="1" ht="15" hidden="1">
      <c r="A162" s="121" t="s">
        <v>499</v>
      </c>
      <c r="B162" s="298"/>
      <c r="C162" s="299" t="s">
        <v>121</v>
      </c>
      <c r="D162" s="299" t="s">
        <v>407</v>
      </c>
      <c r="E162" s="288" t="s">
        <v>548</v>
      </c>
      <c r="F162" s="300" t="s">
        <v>119</v>
      </c>
      <c r="G162" s="343">
        <f>412.2-412.2</f>
        <v>0</v>
      </c>
      <c r="H162" s="22">
        <f>SUM(H163)</f>
        <v>0</v>
      </c>
      <c r="I162" s="22" t="e">
        <f>SUM(H162/#REF!*100)</f>
        <v>#REF!</v>
      </c>
    </row>
    <row r="163" spans="1:9" s="96" customFormat="1" ht="15" hidden="1">
      <c r="A163" s="121" t="s">
        <v>517</v>
      </c>
      <c r="B163" s="298"/>
      <c r="C163" s="299" t="s">
        <v>121</v>
      </c>
      <c r="D163" s="299" t="s">
        <v>407</v>
      </c>
      <c r="E163" s="288" t="s">
        <v>548</v>
      </c>
      <c r="F163" s="300" t="s">
        <v>518</v>
      </c>
      <c r="G163" s="343"/>
      <c r="H163" s="22"/>
      <c r="I163" s="22">
        <f>SUM(H163/G169*100)</f>
        <v>0</v>
      </c>
    </row>
    <row r="164" spans="1:9" s="96" customFormat="1" ht="15">
      <c r="A164" s="121" t="s">
        <v>15</v>
      </c>
      <c r="B164" s="298"/>
      <c r="C164" s="299" t="s">
        <v>121</v>
      </c>
      <c r="D164" s="299" t="s">
        <v>407</v>
      </c>
      <c r="E164" s="299" t="s">
        <v>552</v>
      </c>
      <c r="F164" s="300"/>
      <c r="G164" s="343">
        <f>SUM(G165)</f>
        <v>4464.400000000001</v>
      </c>
      <c r="H164" s="22">
        <f>SUM(H165)</f>
        <v>0</v>
      </c>
      <c r="I164" s="22">
        <f>SUM(H164/G177*100)</f>
        <v>0</v>
      </c>
    </row>
    <row r="165" spans="1:9" s="96" customFormat="1" ht="28.5">
      <c r="A165" s="121" t="s">
        <v>204</v>
      </c>
      <c r="B165" s="298"/>
      <c r="C165" s="299" t="s">
        <v>121</v>
      </c>
      <c r="D165" s="299" t="s">
        <v>407</v>
      </c>
      <c r="E165" s="299" t="s">
        <v>549</v>
      </c>
      <c r="F165" s="300"/>
      <c r="G165" s="343">
        <f>G166</f>
        <v>4464.400000000001</v>
      </c>
      <c r="H165" s="22">
        <f>SUM(H166:H178)</f>
        <v>0</v>
      </c>
      <c r="I165" s="22">
        <f>SUM(H165/G178*100)</f>
        <v>0</v>
      </c>
    </row>
    <row r="166" spans="1:9" s="96" customFormat="1" ht="27.75" customHeight="1">
      <c r="A166" s="121" t="s">
        <v>523</v>
      </c>
      <c r="B166" s="298"/>
      <c r="C166" s="299" t="s">
        <v>121</v>
      </c>
      <c r="D166" s="299" t="s">
        <v>407</v>
      </c>
      <c r="E166" s="299" t="s">
        <v>549</v>
      </c>
      <c r="F166" s="300" t="s">
        <v>512</v>
      </c>
      <c r="G166" s="343">
        <f>3879.4+172.8+412.2</f>
        <v>4464.400000000001</v>
      </c>
      <c r="H166" s="22"/>
      <c r="I166" s="22" t="e">
        <f>SUM(H166/#REF!*100)</f>
        <v>#REF!</v>
      </c>
    </row>
    <row r="167" spans="1:9" s="96" customFormat="1" ht="78.75" customHeight="1">
      <c r="A167" s="121" t="s">
        <v>783</v>
      </c>
      <c r="B167" s="298"/>
      <c r="C167" s="299" t="s">
        <v>121</v>
      </c>
      <c r="D167" s="299" t="s">
        <v>407</v>
      </c>
      <c r="E167" s="299" t="s">
        <v>784</v>
      </c>
      <c r="F167" s="300"/>
      <c r="G167" s="343">
        <f>SUM(G168)</f>
        <v>6000</v>
      </c>
      <c r="H167" s="22"/>
      <c r="I167" s="22"/>
    </row>
    <row r="168" spans="1:9" s="96" customFormat="1" ht="27.75" customHeight="1">
      <c r="A168" s="121" t="s">
        <v>500</v>
      </c>
      <c r="B168" s="298"/>
      <c r="C168" s="299" t="s">
        <v>121</v>
      </c>
      <c r="D168" s="299" t="s">
        <v>407</v>
      </c>
      <c r="E168" s="299" t="s">
        <v>784</v>
      </c>
      <c r="F168" s="300" t="s">
        <v>175</v>
      </c>
      <c r="G168" s="343">
        <v>6000</v>
      </c>
      <c r="H168" s="22"/>
      <c r="I168" s="22"/>
    </row>
    <row r="169" spans="1:9" s="105" customFormat="1" ht="21.75" customHeight="1">
      <c r="A169" s="124" t="s">
        <v>550</v>
      </c>
      <c r="B169" s="301"/>
      <c r="C169" s="302" t="s">
        <v>121</v>
      </c>
      <c r="D169" s="302" t="s">
        <v>407</v>
      </c>
      <c r="E169" s="302" t="s">
        <v>128</v>
      </c>
      <c r="F169" s="303"/>
      <c r="G169" s="344">
        <f>G177+G174+G172+G170</f>
        <v>6864</v>
      </c>
      <c r="H169" s="87"/>
      <c r="I169" s="87"/>
    </row>
    <row r="170" spans="1:9" s="105" customFormat="1" ht="36.75" customHeight="1">
      <c r="A170" s="124" t="s">
        <v>750</v>
      </c>
      <c r="B170" s="301"/>
      <c r="C170" s="302" t="s">
        <v>121</v>
      </c>
      <c r="D170" s="302" t="s">
        <v>407</v>
      </c>
      <c r="E170" s="302" t="s">
        <v>751</v>
      </c>
      <c r="F170" s="303"/>
      <c r="G170" s="344">
        <f>SUM(G171)</f>
        <v>1000</v>
      </c>
      <c r="H170" s="87"/>
      <c r="I170" s="87"/>
    </row>
    <row r="171" spans="1:9" s="105" customFormat="1" ht="21.75" customHeight="1">
      <c r="A171" s="121" t="s">
        <v>500</v>
      </c>
      <c r="B171" s="301"/>
      <c r="C171" s="302" t="s">
        <v>121</v>
      </c>
      <c r="D171" s="302" t="s">
        <v>407</v>
      </c>
      <c r="E171" s="302" t="s">
        <v>751</v>
      </c>
      <c r="F171" s="300" t="s">
        <v>175</v>
      </c>
      <c r="G171" s="344">
        <v>1000</v>
      </c>
      <c r="H171" s="87"/>
      <c r="I171" s="87"/>
    </row>
    <row r="172" spans="1:9" s="105" customFormat="1" ht="47.25" customHeight="1">
      <c r="A172" s="124" t="s">
        <v>678</v>
      </c>
      <c r="B172" s="301"/>
      <c r="C172" s="302" t="s">
        <v>121</v>
      </c>
      <c r="D172" s="302" t="s">
        <v>407</v>
      </c>
      <c r="E172" s="302" t="s">
        <v>679</v>
      </c>
      <c r="F172" s="303"/>
      <c r="G172" s="344">
        <f>SUM(G173)</f>
        <v>20</v>
      </c>
      <c r="H172" s="87"/>
      <c r="I172" s="87"/>
    </row>
    <row r="173" spans="1:9" s="105" customFormat="1" ht="21.75" customHeight="1">
      <c r="A173" s="121" t="s">
        <v>499</v>
      </c>
      <c r="B173" s="298"/>
      <c r="C173" s="299" t="s">
        <v>121</v>
      </c>
      <c r="D173" s="299" t="s">
        <v>407</v>
      </c>
      <c r="E173" s="302" t="s">
        <v>679</v>
      </c>
      <c r="F173" s="300" t="s">
        <v>119</v>
      </c>
      <c r="G173" s="343">
        <v>20</v>
      </c>
      <c r="H173" s="87"/>
      <c r="I173" s="87"/>
    </row>
    <row r="174" spans="1:9" s="105" customFormat="1" ht="36.75" customHeight="1">
      <c r="A174" s="178" t="s">
        <v>646</v>
      </c>
      <c r="B174" s="310"/>
      <c r="C174" s="311" t="s">
        <v>121</v>
      </c>
      <c r="D174" s="311" t="s">
        <v>407</v>
      </c>
      <c r="E174" s="312" t="s">
        <v>647</v>
      </c>
      <c r="F174" s="313"/>
      <c r="G174" s="277">
        <f>SUM(G175)</f>
        <v>5</v>
      </c>
      <c r="H174" s="87"/>
      <c r="I174" s="87"/>
    </row>
    <row r="175" spans="1:9" s="105" customFormat="1" ht="33.75" customHeight="1">
      <c r="A175" s="179" t="s">
        <v>648</v>
      </c>
      <c r="B175" s="310"/>
      <c r="C175" s="311" t="s">
        <v>121</v>
      </c>
      <c r="D175" s="311" t="s">
        <v>407</v>
      </c>
      <c r="E175" s="312" t="s">
        <v>649</v>
      </c>
      <c r="F175" s="313"/>
      <c r="G175" s="277">
        <f>SUM(G176)</f>
        <v>5</v>
      </c>
      <c r="H175" s="87"/>
      <c r="I175" s="87"/>
    </row>
    <row r="176" spans="1:9" s="105" customFormat="1" ht="20.25" customHeight="1">
      <c r="A176" s="121" t="s">
        <v>499</v>
      </c>
      <c r="B176" s="310"/>
      <c r="C176" s="311" t="s">
        <v>121</v>
      </c>
      <c r="D176" s="311" t="s">
        <v>407</v>
      </c>
      <c r="E176" s="312" t="s">
        <v>649</v>
      </c>
      <c r="F176" s="313" t="s">
        <v>119</v>
      </c>
      <c r="G176" s="277">
        <v>5</v>
      </c>
      <c r="H176" s="87"/>
      <c r="I176" s="87"/>
    </row>
    <row r="177" spans="1:9" s="106" customFormat="1" ht="36.75" customHeight="1">
      <c r="A177" s="124" t="s">
        <v>671</v>
      </c>
      <c r="B177" s="301"/>
      <c r="C177" s="302" t="s">
        <v>121</v>
      </c>
      <c r="D177" s="302" t="s">
        <v>407</v>
      </c>
      <c r="E177" s="302" t="s">
        <v>54</v>
      </c>
      <c r="F177" s="303"/>
      <c r="G177" s="344">
        <f>SUM(G178)</f>
        <v>5839</v>
      </c>
      <c r="H177" s="87"/>
      <c r="I177" s="87" t="e">
        <f>SUM(H177/#REF!*100)</f>
        <v>#REF!</v>
      </c>
    </row>
    <row r="178" spans="1:9" s="104" customFormat="1" ht="28.5">
      <c r="A178" s="122" t="s">
        <v>523</v>
      </c>
      <c r="B178" s="301"/>
      <c r="C178" s="302" t="s">
        <v>121</v>
      </c>
      <c r="D178" s="302" t="s">
        <v>407</v>
      </c>
      <c r="E178" s="302" t="s">
        <v>54</v>
      </c>
      <c r="F178" s="303" t="s">
        <v>512</v>
      </c>
      <c r="G178" s="344">
        <v>5839</v>
      </c>
      <c r="H178" s="87"/>
      <c r="I178" s="87" t="e">
        <f>SUM(H178/#REF!*100)</f>
        <v>#REF!</v>
      </c>
    </row>
    <row r="179" spans="1:11" s="94" customFormat="1" ht="15">
      <c r="A179" s="121" t="s">
        <v>423</v>
      </c>
      <c r="B179" s="292"/>
      <c r="C179" s="288" t="s">
        <v>130</v>
      </c>
      <c r="D179" s="288"/>
      <c r="E179" s="288"/>
      <c r="F179" s="286"/>
      <c r="G179" s="269">
        <f>SUM(G238+G255+G275+G180)</f>
        <v>196833.3</v>
      </c>
      <c r="H179" s="22">
        <f>SUM(H180)</f>
        <v>0</v>
      </c>
      <c r="I179" s="22" t="e">
        <f aca="true" t="shared" si="3" ref="I179:I214">SUM(H179/G185*100)</f>
        <v>#DIV/0!</v>
      </c>
      <c r="K179" s="94">
        <f>81350.2+62545.9+17953.9-1181.2</f>
        <v>160668.8</v>
      </c>
    </row>
    <row r="180" spans="1:9" s="94" customFormat="1" ht="15">
      <c r="A180" s="117" t="s">
        <v>424</v>
      </c>
      <c r="B180" s="282"/>
      <c r="C180" s="283" t="s">
        <v>130</v>
      </c>
      <c r="D180" s="283" t="s">
        <v>459</v>
      </c>
      <c r="E180" s="283"/>
      <c r="F180" s="284"/>
      <c r="G180" s="266">
        <f>SUM(G181)</f>
        <v>1500</v>
      </c>
      <c r="H180" s="22"/>
      <c r="I180" s="22" t="e">
        <f t="shared" si="3"/>
        <v>#DIV/0!</v>
      </c>
    </row>
    <row r="181" spans="1:9" s="94" customFormat="1" ht="48.75" customHeight="1">
      <c r="A181" s="121" t="s">
        <v>688</v>
      </c>
      <c r="B181" s="282"/>
      <c r="C181" s="283" t="s">
        <v>130</v>
      </c>
      <c r="D181" s="283" t="s">
        <v>459</v>
      </c>
      <c r="E181" s="283" t="s">
        <v>425</v>
      </c>
      <c r="F181" s="284"/>
      <c r="G181" s="266">
        <f>SUM(G182+G192)+G189</f>
        <v>1500</v>
      </c>
      <c r="H181" s="22">
        <f>SUM(H182)</f>
        <v>4761.6</v>
      </c>
      <c r="I181" s="22" t="e">
        <f t="shared" si="3"/>
        <v>#DIV/0!</v>
      </c>
    </row>
    <row r="182" spans="1:9" s="94" customFormat="1" ht="57" hidden="1">
      <c r="A182" s="121" t="s">
        <v>426</v>
      </c>
      <c r="B182" s="282"/>
      <c r="C182" s="283" t="s">
        <v>130</v>
      </c>
      <c r="D182" s="283" t="s">
        <v>459</v>
      </c>
      <c r="E182" s="283" t="s">
        <v>427</v>
      </c>
      <c r="F182" s="284"/>
      <c r="G182" s="266">
        <f>SUM(G183+G185+G187)</f>
        <v>0</v>
      </c>
      <c r="H182" s="22">
        <v>4761.6</v>
      </c>
      <c r="I182" s="22" t="e">
        <f t="shared" si="3"/>
        <v>#DIV/0!</v>
      </c>
    </row>
    <row r="183" spans="1:9" s="94" customFormat="1" ht="42.75" hidden="1">
      <c r="A183" s="121" t="s">
        <v>28</v>
      </c>
      <c r="B183" s="282"/>
      <c r="C183" s="283" t="s">
        <v>130</v>
      </c>
      <c r="D183" s="283" t="s">
        <v>459</v>
      </c>
      <c r="E183" s="283" t="s">
        <v>29</v>
      </c>
      <c r="F183" s="284"/>
      <c r="G183" s="266">
        <f>SUM(G184)</f>
        <v>0</v>
      </c>
      <c r="H183" s="22" t="e">
        <f>SUM(H184)+#REF!+H194</f>
        <v>#REF!</v>
      </c>
      <c r="I183" s="22" t="e">
        <f>SUM(H183/G192*100)</f>
        <v>#REF!</v>
      </c>
    </row>
    <row r="184" spans="1:9" s="94" customFormat="1" ht="15" hidden="1">
      <c r="A184" s="117" t="s">
        <v>7</v>
      </c>
      <c r="B184" s="282"/>
      <c r="C184" s="283" t="s">
        <v>130</v>
      </c>
      <c r="D184" s="283" t="s">
        <v>459</v>
      </c>
      <c r="E184" s="283" t="s">
        <v>29</v>
      </c>
      <c r="F184" s="284" t="s">
        <v>8</v>
      </c>
      <c r="G184" s="266"/>
      <c r="H184" s="22">
        <f>SUM(H185+H186)</f>
        <v>1562</v>
      </c>
      <c r="I184" s="22" t="e">
        <f>SUM(H184/#REF!*100)</f>
        <v>#REF!</v>
      </c>
    </row>
    <row r="185" spans="1:9" s="94" customFormat="1" ht="57" hidden="1">
      <c r="A185" s="121" t="s">
        <v>30</v>
      </c>
      <c r="B185" s="282"/>
      <c r="C185" s="283" t="s">
        <v>130</v>
      </c>
      <c r="D185" s="283" t="s">
        <v>459</v>
      </c>
      <c r="E185" s="283" t="s">
        <v>31</v>
      </c>
      <c r="F185" s="284"/>
      <c r="G185" s="266">
        <f>SUM(G186)</f>
        <v>0</v>
      </c>
      <c r="H185" s="22">
        <v>233.9</v>
      </c>
      <c r="I185" s="22" t="e">
        <f>SUM(H185/#REF!*100)</f>
        <v>#REF!</v>
      </c>
    </row>
    <row r="186" spans="1:9" s="94" customFormat="1" ht="15" hidden="1">
      <c r="A186" s="125" t="s">
        <v>133</v>
      </c>
      <c r="B186" s="282"/>
      <c r="C186" s="283" t="s">
        <v>130</v>
      </c>
      <c r="D186" s="283" t="s">
        <v>459</v>
      </c>
      <c r="E186" s="283" t="s">
        <v>31</v>
      </c>
      <c r="F186" s="284" t="s">
        <v>134</v>
      </c>
      <c r="G186" s="266"/>
      <c r="H186" s="22">
        <v>1328.1</v>
      </c>
      <c r="I186" s="22" t="e">
        <f>SUM(H186/G193*100)</f>
        <v>#DIV/0!</v>
      </c>
    </row>
    <row r="187" spans="1:9" s="94" customFormat="1" ht="71.25" hidden="1">
      <c r="A187" s="121" t="s">
        <v>254</v>
      </c>
      <c r="B187" s="282"/>
      <c r="C187" s="283" t="s">
        <v>130</v>
      </c>
      <c r="D187" s="283" t="s">
        <v>459</v>
      </c>
      <c r="E187" s="283" t="s">
        <v>139</v>
      </c>
      <c r="F187" s="284"/>
      <c r="G187" s="266">
        <f>SUM(G188)</f>
        <v>0</v>
      </c>
      <c r="H187" s="22">
        <f>SUM(H188)</f>
        <v>0</v>
      </c>
      <c r="I187" s="22" t="e">
        <f>SUM(H187/G194*100)</f>
        <v>#DIV/0!</v>
      </c>
    </row>
    <row r="188" spans="1:9" s="94" customFormat="1" ht="15" hidden="1">
      <c r="A188" s="125" t="s">
        <v>133</v>
      </c>
      <c r="B188" s="282"/>
      <c r="C188" s="283" t="s">
        <v>130</v>
      </c>
      <c r="D188" s="283" t="s">
        <v>459</v>
      </c>
      <c r="E188" s="283" t="s">
        <v>139</v>
      </c>
      <c r="F188" s="284" t="s">
        <v>134</v>
      </c>
      <c r="G188" s="266"/>
      <c r="H188" s="22">
        <f>SUM(H192)</f>
        <v>0</v>
      </c>
      <c r="I188" s="22" t="e">
        <f>SUM(H188/G195*100)</f>
        <v>#DIV/0!</v>
      </c>
    </row>
    <row r="189" spans="1:9" s="94" customFormat="1" ht="71.25" hidden="1">
      <c r="A189" s="274" t="s">
        <v>702</v>
      </c>
      <c r="B189" s="282"/>
      <c r="C189" s="283" t="s">
        <v>130</v>
      </c>
      <c r="D189" s="283" t="s">
        <v>459</v>
      </c>
      <c r="E189" s="283" t="s">
        <v>700</v>
      </c>
      <c r="F189" s="284"/>
      <c r="G189" s="266">
        <f>SUM(G190)</f>
        <v>0</v>
      </c>
      <c r="H189" s="22"/>
      <c r="I189" s="22"/>
    </row>
    <row r="190" spans="1:9" s="94" customFormat="1" ht="28.5" hidden="1">
      <c r="A190" s="125" t="s">
        <v>699</v>
      </c>
      <c r="B190" s="282"/>
      <c r="C190" s="283" t="s">
        <v>130</v>
      </c>
      <c r="D190" s="283" t="s">
        <v>459</v>
      </c>
      <c r="E190" s="283" t="s">
        <v>701</v>
      </c>
      <c r="F190" s="284"/>
      <c r="G190" s="266">
        <f>SUM(G191)</f>
        <v>0</v>
      </c>
      <c r="H190" s="22"/>
      <c r="I190" s="22"/>
    </row>
    <row r="191" spans="1:9" s="94" customFormat="1" ht="28.5" hidden="1">
      <c r="A191" s="234" t="s">
        <v>565</v>
      </c>
      <c r="B191" s="282"/>
      <c r="C191" s="283" t="s">
        <v>130</v>
      </c>
      <c r="D191" s="283" t="s">
        <v>459</v>
      </c>
      <c r="E191" s="283" t="s">
        <v>701</v>
      </c>
      <c r="F191" s="284" t="s">
        <v>559</v>
      </c>
      <c r="G191" s="266"/>
      <c r="H191" s="22"/>
      <c r="I191" s="22"/>
    </row>
    <row r="192" spans="1:9" s="94" customFormat="1" ht="57">
      <c r="A192" s="121" t="s">
        <v>687</v>
      </c>
      <c r="B192" s="282"/>
      <c r="C192" s="283" t="s">
        <v>130</v>
      </c>
      <c r="D192" s="283" t="s">
        <v>459</v>
      </c>
      <c r="E192" s="283" t="s">
        <v>689</v>
      </c>
      <c r="F192" s="284"/>
      <c r="G192" s="266">
        <f>SUM(G234+G236)</f>
        <v>1500</v>
      </c>
      <c r="H192" s="22"/>
      <c r="I192" s="22" t="e">
        <f>SUM(H192/G196*100)</f>
        <v>#DIV/0!</v>
      </c>
    </row>
    <row r="193" spans="1:9" s="94" customFormat="1" ht="28.5" hidden="1">
      <c r="A193" s="121" t="s">
        <v>432</v>
      </c>
      <c r="B193" s="282"/>
      <c r="C193" s="283" t="s">
        <v>130</v>
      </c>
      <c r="D193" s="283" t="s">
        <v>459</v>
      </c>
      <c r="E193" s="283" t="s">
        <v>431</v>
      </c>
      <c r="F193" s="284" t="s">
        <v>433</v>
      </c>
      <c r="G193" s="266"/>
      <c r="H193" s="22">
        <v>1821.9</v>
      </c>
      <c r="I193" s="22" t="e">
        <f t="shared" si="3"/>
        <v>#DIV/0!</v>
      </c>
    </row>
    <row r="194" spans="1:9" s="94" customFormat="1" ht="28.5" hidden="1">
      <c r="A194" s="121" t="s">
        <v>248</v>
      </c>
      <c r="B194" s="282"/>
      <c r="C194" s="283" t="s">
        <v>130</v>
      </c>
      <c r="D194" s="283" t="s">
        <v>459</v>
      </c>
      <c r="E194" s="283" t="s">
        <v>421</v>
      </c>
      <c r="F194" s="284"/>
      <c r="G194" s="266">
        <f>SUM(G195)</f>
        <v>0</v>
      </c>
      <c r="H194" s="22">
        <f>SUM(H195)</f>
        <v>1821.9</v>
      </c>
      <c r="I194" s="22" t="e">
        <f t="shared" si="3"/>
        <v>#DIV/0!</v>
      </c>
    </row>
    <row r="195" spans="1:9" s="94" customFormat="1" ht="28.5" hidden="1">
      <c r="A195" s="121" t="s">
        <v>131</v>
      </c>
      <c r="B195" s="282"/>
      <c r="C195" s="283" t="s">
        <v>130</v>
      </c>
      <c r="D195" s="283" t="s">
        <v>459</v>
      </c>
      <c r="E195" s="283" t="s">
        <v>132</v>
      </c>
      <c r="F195" s="284"/>
      <c r="G195" s="266">
        <f>SUM(G196)</f>
        <v>0</v>
      </c>
      <c r="H195" s="22">
        <v>1821.9</v>
      </c>
      <c r="I195" s="22" t="e">
        <f t="shared" si="3"/>
        <v>#DIV/0!</v>
      </c>
    </row>
    <row r="196" spans="1:9" s="94" customFormat="1" ht="15" hidden="1">
      <c r="A196" s="121" t="s">
        <v>133</v>
      </c>
      <c r="B196" s="282"/>
      <c r="C196" s="283" t="s">
        <v>130</v>
      </c>
      <c r="D196" s="283" t="s">
        <v>459</v>
      </c>
      <c r="E196" s="283" t="s">
        <v>132</v>
      </c>
      <c r="F196" s="284" t="s">
        <v>134</v>
      </c>
      <c r="G196" s="266"/>
      <c r="H196" s="22">
        <f>SUM(H197+H199)</f>
        <v>0</v>
      </c>
      <c r="I196" s="22" t="e">
        <f t="shared" si="3"/>
        <v>#DIV/0!</v>
      </c>
    </row>
    <row r="197" spans="1:9" s="94" customFormat="1" ht="28.5" hidden="1">
      <c r="A197" s="121" t="s">
        <v>434</v>
      </c>
      <c r="B197" s="282"/>
      <c r="C197" s="283" t="s">
        <v>130</v>
      </c>
      <c r="D197" s="283" t="s">
        <v>459</v>
      </c>
      <c r="E197" s="283" t="s">
        <v>435</v>
      </c>
      <c r="F197" s="284"/>
      <c r="G197" s="266">
        <f>SUM(G198+G199)</f>
        <v>0</v>
      </c>
      <c r="H197" s="22">
        <f>SUM(H198)</f>
        <v>0</v>
      </c>
      <c r="I197" s="22" t="e">
        <f t="shared" si="3"/>
        <v>#DIV/0!</v>
      </c>
    </row>
    <row r="198" spans="1:9" s="94" customFormat="1" ht="42.75" hidden="1">
      <c r="A198" s="117" t="s">
        <v>16</v>
      </c>
      <c r="B198" s="282"/>
      <c r="C198" s="283" t="s">
        <v>130</v>
      </c>
      <c r="D198" s="283" t="s">
        <v>459</v>
      </c>
      <c r="E198" s="283" t="s">
        <v>435</v>
      </c>
      <c r="F198" s="284" t="s">
        <v>58</v>
      </c>
      <c r="G198" s="266"/>
      <c r="H198" s="22"/>
      <c r="I198" s="22" t="e">
        <f t="shared" si="3"/>
        <v>#DIV/0!</v>
      </c>
    </row>
    <row r="199" spans="1:9" s="94" customFormat="1" ht="15" hidden="1">
      <c r="A199" s="125" t="s">
        <v>133</v>
      </c>
      <c r="B199" s="282"/>
      <c r="C199" s="283" t="s">
        <v>130</v>
      </c>
      <c r="D199" s="283" t="s">
        <v>459</v>
      </c>
      <c r="E199" s="283" t="s">
        <v>435</v>
      </c>
      <c r="F199" s="284" t="s">
        <v>134</v>
      </c>
      <c r="G199" s="266"/>
      <c r="H199" s="22">
        <f>SUM(H200)</f>
        <v>0</v>
      </c>
      <c r="I199" s="22" t="e">
        <f t="shared" si="3"/>
        <v>#DIV/0!</v>
      </c>
    </row>
    <row r="200" spans="1:9" s="94" customFormat="1" ht="42.75" hidden="1">
      <c r="A200" s="121" t="s">
        <v>438</v>
      </c>
      <c r="B200" s="282"/>
      <c r="C200" s="283" t="s">
        <v>130</v>
      </c>
      <c r="D200" s="283" t="s">
        <v>459</v>
      </c>
      <c r="E200" s="283" t="s">
        <v>439</v>
      </c>
      <c r="F200" s="284"/>
      <c r="G200" s="266">
        <f>SUM(G201)</f>
        <v>0</v>
      </c>
      <c r="H200" s="22"/>
      <c r="I200" s="22" t="e">
        <f t="shared" si="3"/>
        <v>#DIV/0!</v>
      </c>
    </row>
    <row r="201" spans="1:9" s="94" customFormat="1" ht="15" hidden="1">
      <c r="A201" s="125" t="s">
        <v>133</v>
      </c>
      <c r="B201" s="282"/>
      <c r="C201" s="283" t="s">
        <v>130</v>
      </c>
      <c r="D201" s="283" t="s">
        <v>459</v>
      </c>
      <c r="E201" s="283" t="s">
        <v>439</v>
      </c>
      <c r="F201" s="284" t="s">
        <v>134</v>
      </c>
      <c r="G201" s="266"/>
      <c r="H201" s="76">
        <f>SUM(H205)+H210+H202</f>
        <v>0</v>
      </c>
      <c r="I201" s="22" t="e">
        <f t="shared" si="3"/>
        <v>#DIV/0!</v>
      </c>
    </row>
    <row r="202" spans="1:9" s="94" customFormat="1" ht="15" hidden="1">
      <c r="A202" s="117" t="s">
        <v>440</v>
      </c>
      <c r="B202" s="282"/>
      <c r="C202" s="283" t="s">
        <v>130</v>
      </c>
      <c r="D202" s="283" t="s">
        <v>459</v>
      </c>
      <c r="E202" s="283" t="s">
        <v>441</v>
      </c>
      <c r="F202" s="284"/>
      <c r="G202" s="266">
        <f>SUM(G203+G205)</f>
        <v>0</v>
      </c>
      <c r="H202" s="76">
        <f>SUM(H203)</f>
        <v>0</v>
      </c>
      <c r="I202" s="22" t="e">
        <f t="shared" si="3"/>
        <v>#DIV/0!</v>
      </c>
    </row>
    <row r="203" spans="1:9" s="94" customFormat="1" ht="42.75" hidden="1">
      <c r="A203" s="118" t="s">
        <v>442</v>
      </c>
      <c r="B203" s="282"/>
      <c r="C203" s="283" t="s">
        <v>130</v>
      </c>
      <c r="D203" s="283" t="s">
        <v>459</v>
      </c>
      <c r="E203" s="283" t="s">
        <v>443</v>
      </c>
      <c r="F203" s="284"/>
      <c r="G203" s="266">
        <f>SUM(G204)</f>
        <v>0</v>
      </c>
      <c r="H203" s="76"/>
      <c r="I203" s="22" t="e">
        <f t="shared" si="3"/>
        <v>#DIV/0!</v>
      </c>
    </row>
    <row r="204" spans="1:9" s="94" customFormat="1" ht="15" hidden="1">
      <c r="A204" s="117" t="s">
        <v>7</v>
      </c>
      <c r="B204" s="282"/>
      <c r="C204" s="283" t="s">
        <v>130</v>
      </c>
      <c r="D204" s="283" t="s">
        <v>459</v>
      </c>
      <c r="E204" s="283" t="s">
        <v>443</v>
      </c>
      <c r="F204" s="284" t="s">
        <v>8</v>
      </c>
      <c r="G204" s="266"/>
      <c r="H204" s="76"/>
      <c r="I204" s="22" t="e">
        <f t="shared" si="3"/>
        <v>#DIV/0!</v>
      </c>
    </row>
    <row r="205" spans="1:9" s="94" customFormat="1" ht="28.5" hidden="1">
      <c r="A205" s="118" t="s">
        <v>444</v>
      </c>
      <c r="B205" s="292"/>
      <c r="C205" s="283" t="s">
        <v>130</v>
      </c>
      <c r="D205" s="283" t="s">
        <v>459</v>
      </c>
      <c r="E205" s="283" t="s">
        <v>445</v>
      </c>
      <c r="F205" s="285"/>
      <c r="G205" s="266">
        <f>SUM(G206)</f>
        <v>0</v>
      </c>
      <c r="H205" s="76">
        <f>SUM(H206+H208)</f>
        <v>0</v>
      </c>
      <c r="I205" s="22" t="e">
        <f t="shared" si="3"/>
        <v>#DIV/0!</v>
      </c>
    </row>
    <row r="206" spans="1:9" s="94" customFormat="1" ht="15" hidden="1">
      <c r="A206" s="117" t="s">
        <v>102</v>
      </c>
      <c r="B206" s="314"/>
      <c r="C206" s="283" t="s">
        <v>130</v>
      </c>
      <c r="D206" s="283" t="s">
        <v>459</v>
      </c>
      <c r="E206" s="283" t="s">
        <v>445</v>
      </c>
      <c r="F206" s="284" t="s">
        <v>103</v>
      </c>
      <c r="G206" s="266"/>
      <c r="H206" s="76">
        <f>SUM(H207)</f>
        <v>0</v>
      </c>
      <c r="I206" s="22" t="e">
        <f t="shared" si="3"/>
        <v>#DIV/0!</v>
      </c>
    </row>
    <row r="207" spans="1:9" s="94" customFormat="1" ht="15" hidden="1">
      <c r="A207" s="118" t="s">
        <v>3</v>
      </c>
      <c r="B207" s="282"/>
      <c r="C207" s="283" t="s">
        <v>130</v>
      </c>
      <c r="D207" s="283" t="s">
        <v>459</v>
      </c>
      <c r="E207" s="283" t="s">
        <v>4</v>
      </c>
      <c r="F207" s="284"/>
      <c r="G207" s="266">
        <f>SUM(G211)+G216+G208</f>
        <v>0</v>
      </c>
      <c r="H207" s="22"/>
      <c r="I207" s="22" t="e">
        <f t="shared" si="3"/>
        <v>#DIV/0!</v>
      </c>
    </row>
    <row r="208" spans="1:9" s="94" customFormat="1" ht="28.5" hidden="1">
      <c r="A208" s="118" t="s">
        <v>446</v>
      </c>
      <c r="B208" s="282"/>
      <c r="C208" s="283" t="s">
        <v>130</v>
      </c>
      <c r="D208" s="283" t="s">
        <v>459</v>
      </c>
      <c r="E208" s="283" t="s">
        <v>447</v>
      </c>
      <c r="F208" s="284"/>
      <c r="G208" s="266">
        <f>SUM(G209)</f>
        <v>0</v>
      </c>
      <c r="H208" s="22">
        <f>SUM(H209)</f>
        <v>0</v>
      </c>
      <c r="I208" s="22" t="e">
        <f t="shared" si="3"/>
        <v>#DIV/0!</v>
      </c>
    </row>
    <row r="209" spans="1:9" s="94" customFormat="1" ht="15" hidden="1">
      <c r="A209" s="118" t="s">
        <v>133</v>
      </c>
      <c r="B209" s="282"/>
      <c r="C209" s="283" t="s">
        <v>130</v>
      </c>
      <c r="D209" s="283" t="s">
        <v>459</v>
      </c>
      <c r="E209" s="283" t="s">
        <v>447</v>
      </c>
      <c r="F209" s="284" t="s">
        <v>134</v>
      </c>
      <c r="G209" s="266"/>
      <c r="H209" s="22"/>
      <c r="I209" s="22" t="e">
        <f t="shared" si="3"/>
        <v>#DIV/0!</v>
      </c>
    </row>
    <row r="210" spans="1:9" s="94" customFormat="1" ht="15" hidden="1">
      <c r="A210" s="118"/>
      <c r="B210" s="282"/>
      <c r="C210" s="283"/>
      <c r="D210" s="283"/>
      <c r="E210" s="283"/>
      <c r="F210" s="284"/>
      <c r="G210" s="266"/>
      <c r="H210" s="22"/>
      <c r="I210" s="22" t="e">
        <f t="shared" si="3"/>
        <v>#DIV/0!</v>
      </c>
    </row>
    <row r="211" spans="1:9" s="94" customFormat="1" ht="28.5" hidden="1">
      <c r="A211" s="117" t="s">
        <v>448</v>
      </c>
      <c r="B211" s="282"/>
      <c r="C211" s="283" t="s">
        <v>130</v>
      </c>
      <c r="D211" s="283" t="s">
        <v>459</v>
      </c>
      <c r="E211" s="283" t="s">
        <v>449</v>
      </c>
      <c r="F211" s="284"/>
      <c r="G211" s="266">
        <f>SUM(G212+G214)</f>
        <v>0</v>
      </c>
      <c r="H211" s="22">
        <f>SUM(H212)</f>
        <v>0</v>
      </c>
      <c r="I211" s="22" t="e">
        <f t="shared" si="3"/>
        <v>#DIV/0!</v>
      </c>
    </row>
    <row r="212" spans="1:9" s="94" customFormat="1" ht="28.5" hidden="1">
      <c r="A212" s="118" t="s">
        <v>450</v>
      </c>
      <c r="B212" s="282"/>
      <c r="C212" s="283" t="s">
        <v>130</v>
      </c>
      <c r="D212" s="283" t="s">
        <v>459</v>
      </c>
      <c r="E212" s="283" t="s">
        <v>451</v>
      </c>
      <c r="F212" s="284"/>
      <c r="G212" s="266">
        <f>SUM(G213)</f>
        <v>0</v>
      </c>
      <c r="H212" s="22"/>
      <c r="I212" s="22" t="e">
        <f t="shared" si="3"/>
        <v>#DIV/0!</v>
      </c>
    </row>
    <row r="213" spans="1:9" s="94" customFormat="1" ht="15" hidden="1">
      <c r="A213" s="121" t="s">
        <v>133</v>
      </c>
      <c r="B213" s="282"/>
      <c r="C213" s="283" t="s">
        <v>130</v>
      </c>
      <c r="D213" s="283" t="s">
        <v>459</v>
      </c>
      <c r="E213" s="283" t="s">
        <v>451</v>
      </c>
      <c r="F213" s="284" t="s">
        <v>134</v>
      </c>
      <c r="G213" s="266"/>
      <c r="H213" s="22">
        <f>SUM(H214)</f>
        <v>0</v>
      </c>
      <c r="I213" s="22" t="e">
        <f t="shared" si="3"/>
        <v>#DIV/0!</v>
      </c>
    </row>
    <row r="214" spans="1:9" s="94" customFormat="1" ht="15" hidden="1">
      <c r="A214" s="121" t="s">
        <v>452</v>
      </c>
      <c r="B214" s="282"/>
      <c r="C214" s="283" t="s">
        <v>130</v>
      </c>
      <c r="D214" s="283" t="s">
        <v>459</v>
      </c>
      <c r="E214" s="283" t="s">
        <v>453</v>
      </c>
      <c r="F214" s="284"/>
      <c r="G214" s="266">
        <f>SUM(G215)</f>
        <v>0</v>
      </c>
      <c r="H214" s="22"/>
      <c r="I214" s="22" t="e">
        <f t="shared" si="3"/>
        <v>#DIV/0!</v>
      </c>
    </row>
    <row r="215" spans="1:9" s="94" customFormat="1" ht="15" hidden="1">
      <c r="A215" s="117" t="s">
        <v>102</v>
      </c>
      <c r="B215" s="314"/>
      <c r="C215" s="283" t="s">
        <v>130</v>
      </c>
      <c r="D215" s="283" t="s">
        <v>459</v>
      </c>
      <c r="E215" s="283" t="s">
        <v>453</v>
      </c>
      <c r="F215" s="284" t="s">
        <v>103</v>
      </c>
      <c r="G215" s="266"/>
      <c r="H215" s="22"/>
      <c r="I215" s="22"/>
    </row>
    <row r="216" spans="1:9" s="94" customFormat="1" ht="28.5" hidden="1">
      <c r="A216" s="117" t="s">
        <v>454</v>
      </c>
      <c r="B216" s="314"/>
      <c r="C216" s="283" t="s">
        <v>130</v>
      </c>
      <c r="D216" s="283" t="s">
        <v>459</v>
      </c>
      <c r="E216" s="283" t="s">
        <v>455</v>
      </c>
      <c r="F216" s="284"/>
      <c r="G216" s="266"/>
      <c r="H216" s="22"/>
      <c r="I216" s="22"/>
    </row>
    <row r="217" spans="1:9" s="94" customFormat="1" ht="28.5" hidden="1">
      <c r="A217" s="117" t="s">
        <v>44</v>
      </c>
      <c r="B217" s="314"/>
      <c r="C217" s="283" t="s">
        <v>130</v>
      </c>
      <c r="D217" s="283" t="s">
        <v>459</v>
      </c>
      <c r="E217" s="283" t="s">
        <v>45</v>
      </c>
      <c r="F217" s="284"/>
      <c r="G217" s="266">
        <f>SUM(G218)</f>
        <v>0</v>
      </c>
      <c r="H217" s="22"/>
      <c r="I217" s="22"/>
    </row>
    <row r="218" spans="1:9" s="94" customFormat="1" ht="15" hidden="1">
      <c r="A218" s="117" t="s">
        <v>7</v>
      </c>
      <c r="B218" s="314"/>
      <c r="C218" s="283" t="s">
        <v>130</v>
      </c>
      <c r="D218" s="283" t="s">
        <v>459</v>
      </c>
      <c r="E218" s="283" t="s">
        <v>45</v>
      </c>
      <c r="F218" s="284" t="s">
        <v>8</v>
      </c>
      <c r="G218" s="266"/>
      <c r="H218" s="22">
        <f>SUM(H219+H222)+H226</f>
        <v>278.1</v>
      </c>
      <c r="I218" s="22" t="e">
        <f aca="true" t="shared" si="4" ref="I218:I223">SUM(H218/G224*100)</f>
        <v>#DIV/0!</v>
      </c>
    </row>
    <row r="219" spans="1:9" s="94" customFormat="1" ht="28.5" hidden="1">
      <c r="A219" s="117" t="s">
        <v>46</v>
      </c>
      <c r="B219" s="314"/>
      <c r="C219" s="283" t="s">
        <v>130</v>
      </c>
      <c r="D219" s="283" t="s">
        <v>459</v>
      </c>
      <c r="E219" s="283" t="s">
        <v>47</v>
      </c>
      <c r="F219" s="284"/>
      <c r="G219" s="266">
        <f>SUM(G220)</f>
        <v>0</v>
      </c>
      <c r="H219" s="22">
        <f>SUM(H220:H221)</f>
        <v>0</v>
      </c>
      <c r="I219" s="22" t="e">
        <f t="shared" si="4"/>
        <v>#DIV/0!</v>
      </c>
    </row>
    <row r="220" spans="1:9" s="94" customFormat="1" ht="15" hidden="1">
      <c r="A220" s="117" t="s">
        <v>7</v>
      </c>
      <c r="B220" s="314"/>
      <c r="C220" s="283" t="s">
        <v>130</v>
      </c>
      <c r="D220" s="283" t="s">
        <v>459</v>
      </c>
      <c r="E220" s="283" t="s">
        <v>47</v>
      </c>
      <c r="F220" s="284" t="s">
        <v>8</v>
      </c>
      <c r="G220" s="266"/>
      <c r="H220" s="22"/>
      <c r="I220" s="22" t="e">
        <f t="shared" si="4"/>
        <v>#DIV/0!</v>
      </c>
    </row>
    <row r="221" spans="1:9" s="102" customFormat="1" ht="15" hidden="1">
      <c r="A221" s="117" t="s">
        <v>440</v>
      </c>
      <c r="B221" s="314"/>
      <c r="C221" s="283" t="s">
        <v>130</v>
      </c>
      <c r="D221" s="283" t="s">
        <v>459</v>
      </c>
      <c r="E221" s="283" t="s">
        <v>441</v>
      </c>
      <c r="F221" s="284"/>
      <c r="G221" s="266">
        <f>SUM(G222)</f>
        <v>0</v>
      </c>
      <c r="H221" s="22"/>
      <c r="I221" s="22" t="e">
        <f t="shared" si="4"/>
        <v>#DIV/0!</v>
      </c>
    </row>
    <row r="222" spans="1:9" s="102" customFormat="1" ht="28.5" hidden="1">
      <c r="A222" s="117" t="s">
        <v>287</v>
      </c>
      <c r="B222" s="314"/>
      <c r="C222" s="283" t="s">
        <v>130</v>
      </c>
      <c r="D222" s="283" t="s">
        <v>459</v>
      </c>
      <c r="E222" s="283" t="s">
        <v>445</v>
      </c>
      <c r="F222" s="284"/>
      <c r="G222" s="266">
        <f>SUM(G223)</f>
        <v>0</v>
      </c>
      <c r="H222" s="22">
        <f>SUM(H223)</f>
        <v>167.7</v>
      </c>
      <c r="I222" s="22" t="e">
        <f t="shared" si="4"/>
        <v>#DIV/0!</v>
      </c>
    </row>
    <row r="223" spans="1:9" ht="15" hidden="1">
      <c r="A223" s="117" t="s">
        <v>102</v>
      </c>
      <c r="B223" s="314"/>
      <c r="C223" s="283" t="s">
        <v>130</v>
      </c>
      <c r="D223" s="283" t="s">
        <v>459</v>
      </c>
      <c r="E223" s="283" t="s">
        <v>445</v>
      </c>
      <c r="F223" s="284" t="s">
        <v>103</v>
      </c>
      <c r="G223" s="266"/>
      <c r="H223" s="22">
        <f>SUM(H225)</f>
        <v>167.7</v>
      </c>
      <c r="I223" s="22" t="e">
        <f t="shared" si="4"/>
        <v>#DIV/0!</v>
      </c>
    </row>
    <row r="224" spans="1:9" ht="15" hidden="1">
      <c r="A224" s="125" t="s">
        <v>127</v>
      </c>
      <c r="B224" s="282"/>
      <c r="C224" s="283" t="s">
        <v>130</v>
      </c>
      <c r="D224" s="283" t="s">
        <v>459</v>
      </c>
      <c r="E224" s="283" t="s">
        <v>128</v>
      </c>
      <c r="F224" s="284"/>
      <c r="G224" s="266">
        <f>SUM(G225+G228)+G232</f>
        <v>0</v>
      </c>
      <c r="H224" s="22"/>
      <c r="I224" s="22"/>
    </row>
    <row r="225" spans="1:9" s="94" customFormat="1" ht="42.75" hidden="1">
      <c r="A225" s="125" t="s">
        <v>491</v>
      </c>
      <c r="B225" s="282"/>
      <c r="C225" s="283" t="s">
        <v>130</v>
      </c>
      <c r="D225" s="283" t="s">
        <v>459</v>
      </c>
      <c r="E225" s="283" t="s">
        <v>297</v>
      </c>
      <c r="F225" s="284"/>
      <c r="G225" s="267">
        <f>SUM(G226)</f>
        <v>0</v>
      </c>
      <c r="H225" s="22">
        <v>167.7</v>
      </c>
      <c r="I225" s="22" t="e">
        <f>SUM(H225/G231*100)</f>
        <v>#DIV/0!</v>
      </c>
    </row>
    <row r="226" spans="1:9" s="94" customFormat="1" ht="15" hidden="1">
      <c r="A226" s="121" t="s">
        <v>7</v>
      </c>
      <c r="B226" s="282"/>
      <c r="C226" s="283" t="s">
        <v>130</v>
      </c>
      <c r="D226" s="283" t="s">
        <v>459</v>
      </c>
      <c r="E226" s="283" t="s">
        <v>297</v>
      </c>
      <c r="F226" s="284" t="s">
        <v>8</v>
      </c>
      <c r="G226" s="267"/>
      <c r="H226" s="22">
        <f>SUM(H227)</f>
        <v>110.4</v>
      </c>
      <c r="I226" s="22" t="e">
        <f>SUM(H226/G232*100)</f>
        <v>#DIV/0!</v>
      </c>
    </row>
    <row r="227" spans="1:9" s="94" customFormat="1" ht="15" hidden="1">
      <c r="A227" s="125" t="s">
        <v>48</v>
      </c>
      <c r="B227" s="282"/>
      <c r="C227" s="283" t="s">
        <v>130</v>
      </c>
      <c r="D227" s="283" t="s">
        <v>459</v>
      </c>
      <c r="E227" s="283" t="s">
        <v>49</v>
      </c>
      <c r="F227" s="284" t="s">
        <v>103</v>
      </c>
      <c r="G227" s="266"/>
      <c r="H227" s="22">
        <v>110.4</v>
      </c>
      <c r="I227" s="22" t="e">
        <f>SUM(H227/G233*100)</f>
        <v>#DIV/0!</v>
      </c>
    </row>
    <row r="228" spans="1:9" ht="15" hidden="1">
      <c r="A228" s="125" t="s">
        <v>133</v>
      </c>
      <c r="B228" s="282"/>
      <c r="C228" s="283" t="s">
        <v>130</v>
      </c>
      <c r="D228" s="283" t="s">
        <v>459</v>
      </c>
      <c r="E228" s="283" t="s">
        <v>128</v>
      </c>
      <c r="F228" s="284" t="s">
        <v>134</v>
      </c>
      <c r="G228" s="266">
        <f>SUM(G229)</f>
        <v>0</v>
      </c>
      <c r="H228" s="22" t="e">
        <f>SUM(H244+#REF!)+H229+#REF!+H232</f>
        <v>#REF!</v>
      </c>
      <c r="I228" s="22" t="e">
        <f>SUM(H228/G238*100)</f>
        <v>#REF!</v>
      </c>
    </row>
    <row r="229" spans="1:9" ht="28.5" hidden="1">
      <c r="A229" s="121" t="s">
        <v>50</v>
      </c>
      <c r="B229" s="282"/>
      <c r="C229" s="283" t="s">
        <v>130</v>
      </c>
      <c r="D229" s="283" t="s">
        <v>459</v>
      </c>
      <c r="E229" s="283" t="s">
        <v>51</v>
      </c>
      <c r="F229" s="284" t="s">
        <v>134</v>
      </c>
      <c r="G229" s="266">
        <f>SUM(G231)</f>
        <v>0</v>
      </c>
      <c r="H229" s="22">
        <f>SUM(H230)</f>
        <v>0</v>
      </c>
      <c r="I229" s="22">
        <f>SUM(H229/G244*100)</f>
        <v>0</v>
      </c>
    </row>
    <row r="230" spans="1:9" ht="28.5" hidden="1">
      <c r="A230" s="121" t="s">
        <v>66</v>
      </c>
      <c r="B230" s="282"/>
      <c r="C230" s="283"/>
      <c r="D230" s="283"/>
      <c r="E230" s="283"/>
      <c r="F230" s="284"/>
      <c r="G230" s="266"/>
      <c r="H230" s="22">
        <f>SUM(H231)</f>
        <v>0</v>
      </c>
      <c r="I230" s="22">
        <f>SUM(H230/G245*100)</f>
        <v>0</v>
      </c>
    </row>
    <row r="231" spans="1:9" ht="28.5" hidden="1">
      <c r="A231" s="118" t="s">
        <v>450</v>
      </c>
      <c r="B231" s="282"/>
      <c r="C231" s="283" t="s">
        <v>130</v>
      </c>
      <c r="D231" s="283" t="s">
        <v>459</v>
      </c>
      <c r="E231" s="283" t="s">
        <v>52</v>
      </c>
      <c r="F231" s="284" t="s">
        <v>134</v>
      </c>
      <c r="G231" s="266"/>
      <c r="H231" s="22"/>
      <c r="I231" s="22">
        <f>SUM(H231/G246*100)</f>
        <v>0</v>
      </c>
    </row>
    <row r="232" spans="1:9" ht="28.5" hidden="1">
      <c r="A232" s="117" t="s">
        <v>53</v>
      </c>
      <c r="B232" s="282"/>
      <c r="C232" s="283" t="s">
        <v>130</v>
      </c>
      <c r="D232" s="283" t="s">
        <v>459</v>
      </c>
      <c r="E232" s="283" t="s">
        <v>54</v>
      </c>
      <c r="F232" s="284"/>
      <c r="G232" s="266">
        <f>SUM(G233)</f>
        <v>0</v>
      </c>
      <c r="H232" s="22">
        <f>SUM(H233)</f>
        <v>9483.6</v>
      </c>
      <c r="I232" s="22">
        <f>SUM(H232/G248*100)</f>
        <v>28.581072528585295</v>
      </c>
    </row>
    <row r="233" spans="1:9" ht="15" hidden="1">
      <c r="A233" s="125" t="s">
        <v>133</v>
      </c>
      <c r="B233" s="282"/>
      <c r="C233" s="283" t="s">
        <v>130</v>
      </c>
      <c r="D233" s="283" t="s">
        <v>459</v>
      </c>
      <c r="E233" s="283" t="s">
        <v>54</v>
      </c>
      <c r="F233" s="284" t="s">
        <v>134</v>
      </c>
      <c r="G233" s="266"/>
      <c r="H233" s="22">
        <f>SUM(H238)</f>
        <v>9483.6</v>
      </c>
      <c r="I233" s="22" t="e">
        <f>SUM(H233/#REF!*100)</f>
        <v>#REF!</v>
      </c>
    </row>
    <row r="234" spans="1:9" ht="28.5">
      <c r="A234" s="125" t="s">
        <v>697</v>
      </c>
      <c r="B234" s="282"/>
      <c r="C234" s="283" t="s">
        <v>130</v>
      </c>
      <c r="D234" s="283" t="s">
        <v>459</v>
      </c>
      <c r="E234" s="283" t="s">
        <v>696</v>
      </c>
      <c r="F234" s="284"/>
      <c r="G234" s="266">
        <f>SUM(G235)</f>
        <v>1500</v>
      </c>
      <c r="H234" s="22"/>
      <c r="I234" s="22"/>
    </row>
    <row r="235" spans="1:9" ht="30" customHeight="1">
      <c r="A235" s="122" t="s">
        <v>523</v>
      </c>
      <c r="B235" s="282"/>
      <c r="C235" s="283" t="s">
        <v>130</v>
      </c>
      <c r="D235" s="283" t="s">
        <v>459</v>
      </c>
      <c r="E235" s="283" t="s">
        <v>696</v>
      </c>
      <c r="F235" s="284" t="s">
        <v>512</v>
      </c>
      <c r="G235" s="266">
        <v>1500</v>
      </c>
      <c r="H235" s="22"/>
      <c r="I235" s="22"/>
    </row>
    <row r="236" spans="1:9" ht="28.5" hidden="1">
      <c r="A236" s="125" t="s">
        <v>699</v>
      </c>
      <c r="B236" s="282"/>
      <c r="C236" s="283" t="s">
        <v>130</v>
      </c>
      <c r="D236" s="283" t="s">
        <v>459</v>
      </c>
      <c r="E236" s="283" t="s">
        <v>698</v>
      </c>
      <c r="F236" s="284"/>
      <c r="G236" s="266">
        <f>SUM(G237)</f>
        <v>0</v>
      </c>
      <c r="H236" s="22"/>
      <c r="I236" s="22"/>
    </row>
    <row r="237" spans="1:9" ht="28.5" hidden="1">
      <c r="A237" s="234" t="s">
        <v>565</v>
      </c>
      <c r="B237" s="282"/>
      <c r="C237" s="283" t="s">
        <v>130</v>
      </c>
      <c r="D237" s="283" t="s">
        <v>459</v>
      </c>
      <c r="E237" s="283" t="s">
        <v>698</v>
      </c>
      <c r="F237" s="284" t="s">
        <v>559</v>
      </c>
      <c r="G237" s="266"/>
      <c r="H237" s="22"/>
      <c r="I237" s="22"/>
    </row>
    <row r="238" spans="1:9" ht="15">
      <c r="A238" s="121" t="s">
        <v>55</v>
      </c>
      <c r="B238" s="298"/>
      <c r="C238" s="299" t="s">
        <v>130</v>
      </c>
      <c r="D238" s="299" t="s">
        <v>461</v>
      </c>
      <c r="E238" s="299"/>
      <c r="F238" s="300"/>
      <c r="G238" s="343">
        <f>G244+G248+G239</f>
        <v>61522.600000000006</v>
      </c>
      <c r="H238" s="22">
        <v>9483.6</v>
      </c>
      <c r="I238" s="22">
        <f>SUM(H238/G255*100)</f>
        <v>12.261124880247303</v>
      </c>
    </row>
    <row r="239" spans="1:9" s="108" customFormat="1" ht="15.75">
      <c r="A239" s="239" t="s">
        <v>680</v>
      </c>
      <c r="B239" s="319"/>
      <c r="C239" s="299" t="s">
        <v>130</v>
      </c>
      <c r="D239" s="299" t="s">
        <v>461</v>
      </c>
      <c r="E239" s="288" t="s">
        <v>682</v>
      </c>
      <c r="F239" s="285"/>
      <c r="G239" s="347">
        <f>SUM(G240)</f>
        <v>8000</v>
      </c>
      <c r="H239" s="22"/>
      <c r="I239" s="22"/>
    </row>
    <row r="240" spans="1:9" s="108" customFormat="1" ht="42.75">
      <c r="A240" s="234" t="s">
        <v>744</v>
      </c>
      <c r="B240" s="319"/>
      <c r="C240" s="299" t="s">
        <v>130</v>
      </c>
      <c r="D240" s="299" t="s">
        <v>461</v>
      </c>
      <c r="E240" s="288" t="s">
        <v>710</v>
      </c>
      <c r="F240" s="285"/>
      <c r="G240" s="347">
        <f>SUM(G241)</f>
        <v>8000</v>
      </c>
      <c r="H240" s="22"/>
      <c r="I240" s="22"/>
    </row>
    <row r="241" spans="1:9" s="108" customFormat="1" ht="15.75">
      <c r="A241" s="235" t="s">
        <v>745</v>
      </c>
      <c r="B241" s="320"/>
      <c r="C241" s="299" t="s">
        <v>130</v>
      </c>
      <c r="D241" s="299" t="s">
        <v>461</v>
      </c>
      <c r="E241" s="288" t="s">
        <v>746</v>
      </c>
      <c r="F241" s="284"/>
      <c r="G241" s="347">
        <f>SUM(G242:G243)</f>
        <v>8000</v>
      </c>
      <c r="H241" s="22"/>
      <c r="I241" s="22"/>
    </row>
    <row r="242" spans="1:9" s="108" customFormat="1" ht="15.75">
      <c r="A242" s="457" t="s">
        <v>499</v>
      </c>
      <c r="B242" s="320"/>
      <c r="C242" s="299" t="s">
        <v>130</v>
      </c>
      <c r="D242" s="299" t="s">
        <v>461</v>
      </c>
      <c r="E242" s="288" t="s">
        <v>746</v>
      </c>
      <c r="F242" s="284" t="s">
        <v>119</v>
      </c>
      <c r="G242" s="347">
        <v>6110.7</v>
      </c>
      <c r="H242" s="22"/>
      <c r="I242" s="22"/>
    </row>
    <row r="243" spans="1:9" s="108" customFormat="1" ht="28.5">
      <c r="A243" s="246" t="s">
        <v>659</v>
      </c>
      <c r="B243" s="320"/>
      <c r="C243" s="299" t="s">
        <v>130</v>
      </c>
      <c r="D243" s="299" t="s">
        <v>461</v>
      </c>
      <c r="E243" s="288" t="s">
        <v>746</v>
      </c>
      <c r="F243" s="284" t="s">
        <v>559</v>
      </c>
      <c r="G243" s="145">
        <v>1889.3</v>
      </c>
      <c r="H243" s="22"/>
      <c r="I243" s="22"/>
    </row>
    <row r="244" spans="1:9" ht="15">
      <c r="A244" s="121" t="s">
        <v>294</v>
      </c>
      <c r="B244" s="298"/>
      <c r="C244" s="299" t="s">
        <v>130</v>
      </c>
      <c r="D244" s="299" t="s">
        <v>461</v>
      </c>
      <c r="E244" s="299" t="s">
        <v>553</v>
      </c>
      <c r="F244" s="300"/>
      <c r="G244" s="343">
        <f>G245</f>
        <v>20341.2</v>
      </c>
      <c r="H244" s="22" t="e">
        <f>SUM(H245+H248+H255)</f>
        <v>#REF!</v>
      </c>
      <c r="I244" s="22" t="e">
        <f>SUM(H244/#REF!*100)</f>
        <v>#REF!</v>
      </c>
    </row>
    <row r="245" spans="1:9" ht="15">
      <c r="A245" s="121" t="s">
        <v>41</v>
      </c>
      <c r="B245" s="298"/>
      <c r="C245" s="299" t="s">
        <v>130</v>
      </c>
      <c r="D245" s="299" t="s">
        <v>461</v>
      </c>
      <c r="E245" s="299" t="s">
        <v>554</v>
      </c>
      <c r="F245" s="300"/>
      <c r="G245" s="343">
        <f>SUM(G246)+G247</f>
        <v>20341.2</v>
      </c>
      <c r="H245" s="22">
        <f>SUM(H246)</f>
        <v>0</v>
      </c>
      <c r="I245" s="22" t="e">
        <f>SUM(H245/#REF!*100)</f>
        <v>#REF!</v>
      </c>
    </row>
    <row r="246" spans="1:9" ht="15">
      <c r="A246" s="121" t="s">
        <v>499</v>
      </c>
      <c r="B246" s="298"/>
      <c r="C246" s="299" t="s">
        <v>130</v>
      </c>
      <c r="D246" s="299" t="s">
        <v>461</v>
      </c>
      <c r="E246" s="299" t="s">
        <v>554</v>
      </c>
      <c r="F246" s="300" t="s">
        <v>119</v>
      </c>
      <c r="G246" s="343">
        <f>4067.8+6462.4</f>
        <v>10530.2</v>
      </c>
      <c r="H246" s="22"/>
      <c r="I246" s="22" t="e">
        <f>SUM(H246/#REF!*100)</f>
        <v>#REF!</v>
      </c>
    </row>
    <row r="247" spans="1:9" ht="28.5">
      <c r="A247" s="125" t="s">
        <v>659</v>
      </c>
      <c r="B247" s="292"/>
      <c r="C247" s="299" t="s">
        <v>130</v>
      </c>
      <c r="D247" s="299" t="s">
        <v>461</v>
      </c>
      <c r="E247" s="299" t="s">
        <v>554</v>
      </c>
      <c r="F247" s="285" t="s">
        <v>559</v>
      </c>
      <c r="G247" s="343">
        <v>9811</v>
      </c>
      <c r="H247" s="22"/>
      <c r="I247" s="22"/>
    </row>
    <row r="248" spans="1:9" ht="15">
      <c r="A248" s="122" t="s">
        <v>748</v>
      </c>
      <c r="B248" s="282"/>
      <c r="C248" s="283" t="s">
        <v>130</v>
      </c>
      <c r="D248" s="283" t="s">
        <v>461</v>
      </c>
      <c r="E248" s="283" t="s">
        <v>128</v>
      </c>
      <c r="F248" s="284"/>
      <c r="G248" s="278">
        <f>SUM(G249)+G253+G251</f>
        <v>33181.4</v>
      </c>
      <c r="H248" s="22" t="e">
        <f>SUM(#REF!)</f>
        <v>#REF!</v>
      </c>
      <c r="I248" s="22" t="e">
        <f>SUM(H248/#REF!*100)</f>
        <v>#REF!</v>
      </c>
    </row>
    <row r="249" spans="1:9" ht="42.75">
      <c r="A249" s="181" t="s">
        <v>672</v>
      </c>
      <c r="B249" s="282"/>
      <c r="C249" s="283" t="s">
        <v>130</v>
      </c>
      <c r="D249" s="283" t="s">
        <v>461</v>
      </c>
      <c r="E249" s="283" t="s">
        <v>653</v>
      </c>
      <c r="F249" s="315"/>
      <c r="G249" s="278">
        <f>SUM(G250:G250)</f>
        <v>16.4</v>
      </c>
      <c r="H249" s="22"/>
      <c r="I249" s="22"/>
    </row>
    <row r="250" spans="1:9" ht="15">
      <c r="A250" s="121" t="s">
        <v>499</v>
      </c>
      <c r="B250" s="282"/>
      <c r="C250" s="283" t="s">
        <v>130</v>
      </c>
      <c r="D250" s="283" t="s">
        <v>461</v>
      </c>
      <c r="E250" s="283" t="s">
        <v>653</v>
      </c>
      <c r="F250" s="315" t="s">
        <v>119</v>
      </c>
      <c r="G250" s="278">
        <v>16.4</v>
      </c>
      <c r="H250" s="22"/>
      <c r="I250" s="22"/>
    </row>
    <row r="251" spans="1:9" ht="42.75">
      <c r="A251" s="121" t="s">
        <v>740</v>
      </c>
      <c r="B251" s="282"/>
      <c r="C251" s="283" t="s">
        <v>130</v>
      </c>
      <c r="D251" s="283" t="s">
        <v>461</v>
      </c>
      <c r="E251" s="283" t="s">
        <v>741</v>
      </c>
      <c r="F251" s="315"/>
      <c r="G251" s="278">
        <f>SUM(G252)</f>
        <v>33059</v>
      </c>
      <c r="H251" s="22"/>
      <c r="I251" s="22"/>
    </row>
    <row r="252" spans="1:9" ht="15">
      <c r="A252" s="121" t="s">
        <v>500</v>
      </c>
      <c r="B252" s="282"/>
      <c r="C252" s="283" t="s">
        <v>130</v>
      </c>
      <c r="D252" s="283" t="s">
        <v>461</v>
      </c>
      <c r="E252" s="283" t="s">
        <v>741</v>
      </c>
      <c r="F252" s="315" t="s">
        <v>175</v>
      </c>
      <c r="G252" s="278">
        <f>11059+22000</f>
        <v>33059</v>
      </c>
      <c r="H252" s="22"/>
      <c r="I252" s="22"/>
    </row>
    <row r="253" spans="1:9" ht="42.75">
      <c r="A253" s="121" t="s">
        <v>675</v>
      </c>
      <c r="B253" s="292"/>
      <c r="C253" s="283" t="s">
        <v>130</v>
      </c>
      <c r="D253" s="283" t="s">
        <v>461</v>
      </c>
      <c r="E253" s="288" t="s">
        <v>42</v>
      </c>
      <c r="F253" s="285"/>
      <c r="G253" s="343">
        <f>G254</f>
        <v>106</v>
      </c>
      <c r="H253" s="22"/>
      <c r="I253" s="22"/>
    </row>
    <row r="254" spans="1:9" ht="28.5">
      <c r="A254" s="121" t="s">
        <v>558</v>
      </c>
      <c r="B254" s="292"/>
      <c r="C254" s="283" t="s">
        <v>130</v>
      </c>
      <c r="D254" s="283" t="s">
        <v>461</v>
      </c>
      <c r="E254" s="288" t="s">
        <v>42</v>
      </c>
      <c r="F254" s="285" t="s">
        <v>559</v>
      </c>
      <c r="G254" s="343">
        <v>106</v>
      </c>
      <c r="H254" s="22"/>
      <c r="I254" s="22"/>
    </row>
    <row r="255" spans="1:9" ht="15">
      <c r="A255" s="121" t="s">
        <v>43</v>
      </c>
      <c r="B255" s="298"/>
      <c r="C255" s="299" t="s">
        <v>130</v>
      </c>
      <c r="D255" s="299" t="s">
        <v>105</v>
      </c>
      <c r="E255" s="299"/>
      <c r="F255" s="300"/>
      <c r="G255" s="343">
        <f>G256+G267</f>
        <v>77346.9</v>
      </c>
      <c r="H255" s="22" t="e">
        <f>SUM(#REF!)</f>
        <v>#REF!</v>
      </c>
      <c r="I255" s="22" t="e">
        <f>SUM(H255/G256*100)</f>
        <v>#REF!</v>
      </c>
    </row>
    <row r="256" spans="1:9" s="107" customFormat="1" ht="15">
      <c r="A256" s="121" t="s">
        <v>43</v>
      </c>
      <c r="B256" s="292"/>
      <c r="C256" s="299" t="s">
        <v>130</v>
      </c>
      <c r="D256" s="299" t="s">
        <v>105</v>
      </c>
      <c r="E256" s="288" t="s">
        <v>71</v>
      </c>
      <c r="F256" s="285"/>
      <c r="G256" s="343">
        <f>G257+G261+G265+G259</f>
        <v>76994.4</v>
      </c>
      <c r="H256" s="22" t="e">
        <f>SUM(H259+#REF!)+H257</f>
        <v>#REF!</v>
      </c>
      <c r="I256" s="22" t="e">
        <f>SUM(H256/G262*100)</f>
        <v>#REF!</v>
      </c>
    </row>
    <row r="257" spans="1:9" s="108" customFormat="1" ht="15.75">
      <c r="A257" s="123" t="s">
        <v>72</v>
      </c>
      <c r="B257" s="292"/>
      <c r="C257" s="299" t="s">
        <v>130</v>
      </c>
      <c r="D257" s="299" t="s">
        <v>105</v>
      </c>
      <c r="E257" s="288" t="s">
        <v>73</v>
      </c>
      <c r="F257" s="285"/>
      <c r="G257" s="343">
        <f>SUM(G258)</f>
        <v>55011.1</v>
      </c>
      <c r="H257" s="22">
        <f>SUM(H258)</f>
        <v>0</v>
      </c>
      <c r="I257" s="22" t="e">
        <f>SUM(H257/G263*100)</f>
        <v>#DIV/0!</v>
      </c>
    </row>
    <row r="258" spans="1:9" s="108" customFormat="1" ht="15.75">
      <c r="A258" s="121" t="s">
        <v>499</v>
      </c>
      <c r="B258" s="292"/>
      <c r="C258" s="299" t="s">
        <v>130</v>
      </c>
      <c r="D258" s="299" t="s">
        <v>105</v>
      </c>
      <c r="E258" s="288" t="s">
        <v>73</v>
      </c>
      <c r="F258" s="285" t="s">
        <v>119</v>
      </c>
      <c r="G258" s="343">
        <v>55011.1</v>
      </c>
      <c r="H258" s="22"/>
      <c r="I258" s="22" t="e">
        <f>SUM(H258/G264*100)</f>
        <v>#DIV/0!</v>
      </c>
    </row>
    <row r="259" spans="1:9" s="108" customFormat="1" ht="15.75">
      <c r="A259" s="125" t="s">
        <v>654</v>
      </c>
      <c r="B259" s="282"/>
      <c r="C259" s="311" t="s">
        <v>130</v>
      </c>
      <c r="D259" s="311" t="s">
        <v>105</v>
      </c>
      <c r="E259" s="283" t="s">
        <v>655</v>
      </c>
      <c r="F259" s="285"/>
      <c r="G259" s="343">
        <f>SUM(G260)</f>
        <v>664.9</v>
      </c>
      <c r="H259" s="22" t="e">
        <f>SUM(H260+H275+H287+H290)+H285</f>
        <v>#REF!</v>
      </c>
      <c r="I259" s="22" t="e">
        <f>SUM(H259/G275*100)</f>
        <v>#REF!</v>
      </c>
    </row>
    <row r="260" spans="1:9" s="108" customFormat="1" ht="15.75">
      <c r="A260" s="121" t="s">
        <v>499</v>
      </c>
      <c r="B260" s="292"/>
      <c r="C260" s="299" t="s">
        <v>130</v>
      </c>
      <c r="D260" s="299" t="s">
        <v>105</v>
      </c>
      <c r="E260" s="283" t="s">
        <v>655</v>
      </c>
      <c r="F260" s="285" t="s">
        <v>119</v>
      </c>
      <c r="G260" s="343">
        <v>664.9</v>
      </c>
      <c r="H260" s="22">
        <f>SUM(H262:H263)</f>
        <v>20816.7</v>
      </c>
      <c r="I260" s="22">
        <f>SUM(H260/G281*100)</f>
        <v>148.9247388753756</v>
      </c>
    </row>
    <row r="261" spans="1:9" s="108" customFormat="1" ht="28.5">
      <c r="A261" s="121" t="s">
        <v>604</v>
      </c>
      <c r="B261" s="292"/>
      <c r="C261" s="299" t="s">
        <v>130</v>
      </c>
      <c r="D261" s="299" t="s">
        <v>105</v>
      </c>
      <c r="E261" s="288" t="s">
        <v>40</v>
      </c>
      <c r="F261" s="285"/>
      <c r="G261" s="343">
        <f>G262</f>
        <v>21120</v>
      </c>
      <c r="H261" s="22"/>
      <c r="I261" s="22"/>
    </row>
    <row r="262" spans="1:9" s="108" customFormat="1" ht="15.75">
      <c r="A262" s="121" t="s">
        <v>499</v>
      </c>
      <c r="B262" s="292"/>
      <c r="C262" s="299" t="s">
        <v>130</v>
      </c>
      <c r="D262" s="299" t="s">
        <v>105</v>
      </c>
      <c r="E262" s="288" t="s">
        <v>40</v>
      </c>
      <c r="F262" s="285" t="s">
        <v>119</v>
      </c>
      <c r="G262" s="343">
        <f>21071.9+48.1</f>
        <v>21120</v>
      </c>
      <c r="H262" s="22">
        <v>20816.7</v>
      </c>
      <c r="I262" s="22" t="e">
        <f>SUM(H262/G285*100)</f>
        <v>#DIV/0!</v>
      </c>
    </row>
    <row r="263" spans="1:9" s="108" customFormat="1" ht="15.75" hidden="1">
      <c r="A263" s="121" t="s">
        <v>517</v>
      </c>
      <c r="B263" s="292"/>
      <c r="C263" s="299" t="s">
        <v>130</v>
      </c>
      <c r="D263" s="299" t="s">
        <v>105</v>
      </c>
      <c r="E263" s="288" t="s">
        <v>40</v>
      </c>
      <c r="F263" s="285" t="s">
        <v>518</v>
      </c>
      <c r="G263" s="343"/>
      <c r="H263" s="22">
        <f>SUM(H264)</f>
        <v>0</v>
      </c>
      <c r="I263" s="22" t="e">
        <f>SUM(H263/G286*100)</f>
        <v>#DIV/0!</v>
      </c>
    </row>
    <row r="264" spans="1:9" s="108" customFormat="1" ht="28.5" hidden="1">
      <c r="A264" s="121" t="s">
        <v>519</v>
      </c>
      <c r="B264" s="292"/>
      <c r="C264" s="299" t="s">
        <v>130</v>
      </c>
      <c r="D264" s="299" t="s">
        <v>105</v>
      </c>
      <c r="E264" s="288" t="s">
        <v>40</v>
      </c>
      <c r="F264" s="285" t="s">
        <v>520</v>
      </c>
      <c r="G264" s="343"/>
      <c r="H264" s="22"/>
      <c r="I264" s="22" t="e">
        <f>SUM(H264/G287*100)</f>
        <v>#DIV/0!</v>
      </c>
    </row>
    <row r="265" spans="1:9" s="108" customFormat="1" ht="42.75">
      <c r="A265" s="122" t="s">
        <v>602</v>
      </c>
      <c r="B265" s="301"/>
      <c r="C265" s="302" t="s">
        <v>130</v>
      </c>
      <c r="D265" s="302" t="s">
        <v>105</v>
      </c>
      <c r="E265" s="308" t="s">
        <v>603</v>
      </c>
      <c r="F265" s="303"/>
      <c r="G265" s="344">
        <f>SUM(G266)</f>
        <v>198.4</v>
      </c>
      <c r="H265" s="22"/>
      <c r="I265" s="22"/>
    </row>
    <row r="266" spans="1:9" s="108" customFormat="1" ht="15.75">
      <c r="A266" s="121" t="s">
        <v>499</v>
      </c>
      <c r="B266" s="292"/>
      <c r="C266" s="299" t="s">
        <v>130</v>
      </c>
      <c r="D266" s="299" t="s">
        <v>105</v>
      </c>
      <c r="E266" s="308" t="s">
        <v>603</v>
      </c>
      <c r="F266" s="285" t="s">
        <v>119</v>
      </c>
      <c r="G266" s="343">
        <v>198.4</v>
      </c>
      <c r="H266" s="22"/>
      <c r="I266" s="22"/>
    </row>
    <row r="267" spans="1:9" s="108" customFormat="1" ht="15.75">
      <c r="A267" s="122" t="s">
        <v>748</v>
      </c>
      <c r="B267" s="282"/>
      <c r="C267" s="311" t="s">
        <v>130</v>
      </c>
      <c r="D267" s="311" t="s">
        <v>105</v>
      </c>
      <c r="E267" s="283" t="s">
        <v>128</v>
      </c>
      <c r="F267" s="285"/>
      <c r="G267" s="343">
        <f>SUM(G268)+G270</f>
        <v>352.5</v>
      </c>
      <c r="H267" s="22"/>
      <c r="I267" s="22"/>
    </row>
    <row r="268" spans="1:9" s="108" customFormat="1" ht="42.75">
      <c r="A268" s="178" t="s">
        <v>673</v>
      </c>
      <c r="B268" s="316"/>
      <c r="C268" s="317" t="s">
        <v>130</v>
      </c>
      <c r="D268" s="317" t="s">
        <v>105</v>
      </c>
      <c r="E268" s="283" t="s">
        <v>656</v>
      </c>
      <c r="F268" s="285"/>
      <c r="G268" s="343">
        <f>SUM(G269)</f>
        <v>172.7</v>
      </c>
      <c r="H268" s="22"/>
      <c r="I268" s="22"/>
    </row>
    <row r="269" spans="1:9" s="108" customFormat="1" ht="15" customHeight="1">
      <c r="A269" s="121" t="s">
        <v>499</v>
      </c>
      <c r="B269" s="292"/>
      <c r="C269" s="317" t="s">
        <v>130</v>
      </c>
      <c r="D269" s="317" t="s">
        <v>105</v>
      </c>
      <c r="E269" s="283" t="s">
        <v>656</v>
      </c>
      <c r="F269" s="285" t="s">
        <v>119</v>
      </c>
      <c r="G269" s="343">
        <v>172.7</v>
      </c>
      <c r="H269" s="22"/>
      <c r="I269" s="22"/>
    </row>
    <row r="270" spans="1:9" s="108" customFormat="1" ht="30.75" customHeight="1">
      <c r="A270" s="121" t="s">
        <v>742</v>
      </c>
      <c r="B270" s="292"/>
      <c r="C270" s="317" t="s">
        <v>130</v>
      </c>
      <c r="D270" s="317" t="s">
        <v>105</v>
      </c>
      <c r="E270" s="283" t="s">
        <v>743</v>
      </c>
      <c r="F270" s="285"/>
      <c r="G270" s="343">
        <f>SUM(G271)</f>
        <v>179.8</v>
      </c>
      <c r="H270" s="22"/>
      <c r="I270" s="22"/>
    </row>
    <row r="271" spans="1:9" s="108" customFormat="1" ht="18" customHeight="1">
      <c r="A271" s="121" t="s">
        <v>499</v>
      </c>
      <c r="B271" s="292"/>
      <c r="C271" s="317" t="s">
        <v>130</v>
      </c>
      <c r="D271" s="317" t="s">
        <v>105</v>
      </c>
      <c r="E271" s="283" t="s">
        <v>743</v>
      </c>
      <c r="F271" s="285" t="s">
        <v>119</v>
      </c>
      <c r="G271" s="343">
        <v>179.8</v>
      </c>
      <c r="H271" s="22"/>
      <c r="I271" s="22"/>
    </row>
    <row r="272" spans="1:9" s="108" customFormat="1" ht="28.5" hidden="1">
      <c r="A272" s="178" t="s">
        <v>657</v>
      </c>
      <c r="B272" s="310"/>
      <c r="C272" s="283" t="s">
        <v>130</v>
      </c>
      <c r="D272" s="283" t="s">
        <v>461</v>
      </c>
      <c r="E272" s="311" t="s">
        <v>647</v>
      </c>
      <c r="F272" s="313"/>
      <c r="G272" s="278">
        <f>SUM(G273)</f>
        <v>0</v>
      </c>
      <c r="H272" s="22"/>
      <c r="I272" s="22"/>
    </row>
    <row r="273" spans="1:9" s="108" customFormat="1" ht="15.75" hidden="1">
      <c r="A273" s="121" t="s">
        <v>658</v>
      </c>
      <c r="B273" s="292"/>
      <c r="C273" s="283" t="s">
        <v>130</v>
      </c>
      <c r="D273" s="283" t="s">
        <v>461</v>
      </c>
      <c r="E273" s="311" t="s">
        <v>42</v>
      </c>
      <c r="F273" s="313"/>
      <c r="G273" s="278">
        <f>SUM(G274)</f>
        <v>0</v>
      </c>
      <c r="H273" s="22"/>
      <c r="I273" s="22"/>
    </row>
    <row r="274" spans="1:9" s="108" customFormat="1" ht="28.5" hidden="1">
      <c r="A274" s="125" t="s">
        <v>659</v>
      </c>
      <c r="B274" s="310"/>
      <c r="C274" s="283" t="s">
        <v>130</v>
      </c>
      <c r="D274" s="283" t="s">
        <v>461</v>
      </c>
      <c r="E274" s="311" t="s">
        <v>42</v>
      </c>
      <c r="F274" s="313" t="s">
        <v>559</v>
      </c>
      <c r="G274" s="278"/>
      <c r="H274" s="22"/>
      <c r="I274" s="22"/>
    </row>
    <row r="275" spans="1:9" s="108" customFormat="1" ht="15.75">
      <c r="A275" s="121" t="s">
        <v>64</v>
      </c>
      <c r="B275" s="318"/>
      <c r="C275" s="299" t="s">
        <v>130</v>
      </c>
      <c r="D275" s="299" t="s">
        <v>130</v>
      </c>
      <c r="E275" s="288"/>
      <c r="F275" s="285"/>
      <c r="G275" s="343">
        <f>G281+G276</f>
        <v>56463.8</v>
      </c>
      <c r="H275" s="22">
        <f>SUM(H284)</f>
        <v>43097.5</v>
      </c>
      <c r="I275" s="22">
        <f>SUM(H275/G288*100)</f>
        <v>1207.4834696850835</v>
      </c>
    </row>
    <row r="276" spans="1:9" s="108" customFormat="1" ht="15.75">
      <c r="A276" s="239" t="s">
        <v>680</v>
      </c>
      <c r="B276" s="319"/>
      <c r="C276" s="299" t="s">
        <v>130</v>
      </c>
      <c r="D276" s="299" t="s">
        <v>130</v>
      </c>
      <c r="E276" s="288" t="s">
        <v>682</v>
      </c>
      <c r="F276" s="285"/>
      <c r="G276" s="358">
        <f>SUM(G277)</f>
        <v>42485.8</v>
      </c>
      <c r="H276" s="22"/>
      <c r="I276" s="22"/>
    </row>
    <row r="277" spans="1:9" s="108" customFormat="1" ht="42.75">
      <c r="A277" s="234" t="s">
        <v>744</v>
      </c>
      <c r="B277" s="319"/>
      <c r="C277" s="299" t="s">
        <v>130</v>
      </c>
      <c r="D277" s="299" t="s">
        <v>130</v>
      </c>
      <c r="E277" s="288" t="s">
        <v>710</v>
      </c>
      <c r="F277" s="285"/>
      <c r="G277" s="358">
        <f>SUM(G278)</f>
        <v>42485.8</v>
      </c>
      <c r="H277" s="22"/>
      <c r="I277" s="22"/>
    </row>
    <row r="278" spans="1:9" s="108" customFormat="1" ht="15" customHeight="1">
      <c r="A278" s="235" t="s">
        <v>745</v>
      </c>
      <c r="B278" s="320"/>
      <c r="C278" s="299" t="s">
        <v>130</v>
      </c>
      <c r="D278" s="299" t="s">
        <v>130</v>
      </c>
      <c r="E278" s="288" t="s">
        <v>746</v>
      </c>
      <c r="F278" s="284"/>
      <c r="G278" s="358">
        <f>SUM(G279:G280)</f>
        <v>42485.8</v>
      </c>
      <c r="H278" s="22"/>
      <c r="I278" s="22"/>
    </row>
    <row r="279" spans="1:9" s="108" customFormat="1" ht="15.75" hidden="1">
      <c r="A279" s="457" t="s">
        <v>499</v>
      </c>
      <c r="B279" s="320"/>
      <c r="C279" s="299" t="s">
        <v>130</v>
      </c>
      <c r="D279" s="299" t="s">
        <v>130</v>
      </c>
      <c r="E279" s="288" t="s">
        <v>746</v>
      </c>
      <c r="F279" s="284" t="s">
        <v>119</v>
      </c>
      <c r="G279" s="358"/>
      <c r="H279" s="22"/>
      <c r="I279" s="22"/>
    </row>
    <row r="280" spans="1:9" s="108" customFormat="1" ht="28.5">
      <c r="A280" s="246" t="s">
        <v>659</v>
      </c>
      <c r="B280" s="320"/>
      <c r="C280" s="299" t="s">
        <v>130</v>
      </c>
      <c r="D280" s="299" t="s">
        <v>130</v>
      </c>
      <c r="E280" s="288" t="s">
        <v>746</v>
      </c>
      <c r="F280" s="284" t="s">
        <v>559</v>
      </c>
      <c r="G280" s="148">
        <v>42485.8</v>
      </c>
      <c r="H280" s="22"/>
      <c r="I280" s="22"/>
    </row>
    <row r="281" spans="1:9" s="94" customFormat="1" ht="15">
      <c r="A281" s="121" t="s">
        <v>550</v>
      </c>
      <c r="B281" s="292"/>
      <c r="C281" s="299" t="s">
        <v>130</v>
      </c>
      <c r="D281" s="299" t="s">
        <v>130</v>
      </c>
      <c r="E281" s="288" t="s">
        <v>128</v>
      </c>
      <c r="F281" s="285"/>
      <c r="G281" s="343">
        <f>G284+G286+G288+G290+G282</f>
        <v>13978</v>
      </c>
      <c r="H281" s="22"/>
      <c r="I281" s="22"/>
    </row>
    <row r="282" spans="1:9" s="94" customFormat="1" ht="28.5">
      <c r="A282" s="117" t="s">
        <v>674</v>
      </c>
      <c r="B282" s="282"/>
      <c r="C282" s="288" t="s">
        <v>130</v>
      </c>
      <c r="D282" s="288" t="s">
        <v>130</v>
      </c>
      <c r="E282" s="283" t="s">
        <v>660</v>
      </c>
      <c r="F282" s="285"/>
      <c r="G282" s="343">
        <f>SUM(G283)</f>
        <v>995.3</v>
      </c>
      <c r="H282" s="22"/>
      <c r="I282" s="22"/>
    </row>
    <row r="283" spans="1:9" s="94" customFormat="1" ht="28.5">
      <c r="A283" s="125" t="s">
        <v>659</v>
      </c>
      <c r="B283" s="292"/>
      <c r="C283" s="288" t="s">
        <v>130</v>
      </c>
      <c r="D283" s="288" t="s">
        <v>130</v>
      </c>
      <c r="E283" s="283" t="s">
        <v>660</v>
      </c>
      <c r="F283" s="285" t="s">
        <v>559</v>
      </c>
      <c r="G283" s="343">
        <v>995.3</v>
      </c>
      <c r="H283" s="22"/>
      <c r="I283" s="22"/>
    </row>
    <row r="284" spans="1:9" s="108" customFormat="1" ht="28.5" hidden="1">
      <c r="A284" s="123" t="s">
        <v>555</v>
      </c>
      <c r="B284" s="292"/>
      <c r="C284" s="299" t="s">
        <v>130</v>
      </c>
      <c r="D284" s="299" t="s">
        <v>130</v>
      </c>
      <c r="E284" s="288" t="s">
        <v>13</v>
      </c>
      <c r="F284" s="285"/>
      <c r="G284" s="343">
        <f>G285</f>
        <v>0</v>
      </c>
      <c r="H284" s="22">
        <v>43097.5</v>
      </c>
      <c r="I284" s="22">
        <f>SUM(H284/G290*100)</f>
        <v>457.8265257343177</v>
      </c>
    </row>
    <row r="285" spans="1:9" ht="28.5" hidden="1">
      <c r="A285" s="121" t="s">
        <v>523</v>
      </c>
      <c r="B285" s="292"/>
      <c r="C285" s="299" t="s">
        <v>130</v>
      </c>
      <c r="D285" s="299" t="s">
        <v>130</v>
      </c>
      <c r="E285" s="288" t="s">
        <v>13</v>
      </c>
      <c r="F285" s="285" t="s">
        <v>512</v>
      </c>
      <c r="G285" s="343"/>
      <c r="H285" s="22">
        <f>SUM(H286)</f>
        <v>482.9</v>
      </c>
      <c r="I285" s="22">
        <f>SUM(H285/G291*100)</f>
        <v>9.262491608324542</v>
      </c>
    </row>
    <row r="286" spans="1:9" ht="28.5" hidden="1">
      <c r="A286" s="123" t="s">
        <v>556</v>
      </c>
      <c r="B286" s="292"/>
      <c r="C286" s="299" t="s">
        <v>557</v>
      </c>
      <c r="D286" s="299" t="s">
        <v>130</v>
      </c>
      <c r="E286" s="288" t="s">
        <v>14</v>
      </c>
      <c r="F286" s="285"/>
      <c r="G286" s="343">
        <f>G287</f>
        <v>0</v>
      </c>
      <c r="H286" s="22">
        <v>482.9</v>
      </c>
      <c r="I286" s="22" t="e">
        <f>SUM(H286/#REF!*100)</f>
        <v>#REF!</v>
      </c>
    </row>
    <row r="287" spans="1:9" ht="28.5" hidden="1">
      <c r="A287" s="121" t="s">
        <v>558</v>
      </c>
      <c r="B287" s="292"/>
      <c r="C287" s="299" t="s">
        <v>557</v>
      </c>
      <c r="D287" s="299" t="s">
        <v>130</v>
      </c>
      <c r="E287" s="288" t="s">
        <v>14</v>
      </c>
      <c r="F287" s="285" t="s">
        <v>559</v>
      </c>
      <c r="G287" s="343"/>
      <c r="H287" s="22">
        <f>SUM(H289)</f>
        <v>489.8</v>
      </c>
      <c r="I287" s="22" t="e">
        <f>SUM(H287/#REF!*100)</f>
        <v>#REF!</v>
      </c>
    </row>
    <row r="288" spans="1:9" ht="42.75">
      <c r="A288" s="121" t="s">
        <v>675</v>
      </c>
      <c r="B288" s="292"/>
      <c r="C288" s="299" t="s">
        <v>130</v>
      </c>
      <c r="D288" s="299" t="s">
        <v>130</v>
      </c>
      <c r="E288" s="288" t="s">
        <v>42</v>
      </c>
      <c r="F288" s="285"/>
      <c r="G288" s="343">
        <f>G289</f>
        <v>3569.2</v>
      </c>
      <c r="H288" s="22"/>
      <c r="I288" s="22"/>
    </row>
    <row r="289" spans="1:9" s="107" customFormat="1" ht="28.5">
      <c r="A289" s="121" t="s">
        <v>558</v>
      </c>
      <c r="B289" s="292"/>
      <c r="C289" s="299" t="s">
        <v>130</v>
      </c>
      <c r="D289" s="299" t="s">
        <v>130</v>
      </c>
      <c r="E289" s="288" t="s">
        <v>42</v>
      </c>
      <c r="F289" s="285" t="s">
        <v>559</v>
      </c>
      <c r="G289" s="343">
        <v>3569.2</v>
      </c>
      <c r="H289" s="22">
        <v>489.8</v>
      </c>
      <c r="I289" s="22" t="e">
        <f>SUM(H289/#REF!*100)</f>
        <v>#REF!</v>
      </c>
    </row>
    <row r="290" spans="1:9" s="107" customFormat="1" ht="28.5">
      <c r="A290" s="123" t="s">
        <v>670</v>
      </c>
      <c r="B290" s="292"/>
      <c r="C290" s="299" t="s">
        <v>130</v>
      </c>
      <c r="D290" s="299" t="s">
        <v>130</v>
      </c>
      <c r="E290" s="288" t="s">
        <v>54</v>
      </c>
      <c r="F290" s="285"/>
      <c r="G290" s="343">
        <f>G291+G292</f>
        <v>9413.5</v>
      </c>
      <c r="H290" s="22" t="e">
        <f>SUM(#REF!)</f>
        <v>#REF!</v>
      </c>
      <c r="I290" s="22" t="e">
        <f>SUM(H290/#REF!*100)</f>
        <v>#REF!</v>
      </c>
    </row>
    <row r="291" spans="1:9" s="107" customFormat="1" ht="27.75" customHeight="1">
      <c r="A291" s="121" t="s">
        <v>558</v>
      </c>
      <c r="B291" s="292"/>
      <c r="C291" s="299" t="s">
        <v>130</v>
      </c>
      <c r="D291" s="299" t="s">
        <v>130</v>
      </c>
      <c r="E291" s="288" t="s">
        <v>54</v>
      </c>
      <c r="F291" s="285" t="s">
        <v>559</v>
      </c>
      <c r="G291" s="343">
        <v>5213.5</v>
      </c>
      <c r="H291" s="22"/>
      <c r="I291" s="22"/>
    </row>
    <row r="292" spans="1:9" ht="28.5">
      <c r="A292" s="121" t="s">
        <v>523</v>
      </c>
      <c r="B292" s="282"/>
      <c r="C292" s="288" t="s">
        <v>130</v>
      </c>
      <c r="D292" s="288" t="s">
        <v>130</v>
      </c>
      <c r="E292" s="283" t="s">
        <v>54</v>
      </c>
      <c r="F292" s="285" t="s">
        <v>512</v>
      </c>
      <c r="G292" s="266">
        <v>4200</v>
      </c>
      <c r="H292" s="22" t="e">
        <f>SUM(H293+H297)</f>
        <v>#REF!</v>
      </c>
      <c r="I292" s="22" t="e">
        <f>SUM(H292/G299*100)</f>
        <v>#REF!</v>
      </c>
    </row>
    <row r="293" spans="1:11" ht="15">
      <c r="A293" s="117" t="s">
        <v>67</v>
      </c>
      <c r="B293" s="282"/>
      <c r="C293" s="283" t="s">
        <v>390</v>
      </c>
      <c r="D293" s="283"/>
      <c r="E293" s="283"/>
      <c r="F293" s="284"/>
      <c r="G293" s="266">
        <f>SUM(G295)+G300</f>
        <v>6051</v>
      </c>
      <c r="H293" s="22">
        <f>SUM(H295)</f>
        <v>0</v>
      </c>
      <c r="I293" s="22">
        <f>SUM(H293/G300*100)</f>
        <v>0</v>
      </c>
      <c r="K293" s="93">
        <v>6232.4</v>
      </c>
    </row>
    <row r="294" spans="1:9" ht="15">
      <c r="A294" s="180" t="s">
        <v>636</v>
      </c>
      <c r="B294" s="282"/>
      <c r="C294" s="299" t="s">
        <v>390</v>
      </c>
      <c r="D294" s="299" t="s">
        <v>105</v>
      </c>
      <c r="E294" s="283"/>
      <c r="F294" s="284"/>
      <c r="G294" s="266">
        <f>SUM(G295)</f>
        <v>5187.8</v>
      </c>
      <c r="H294" s="22"/>
      <c r="I294" s="22"/>
    </row>
    <row r="295" spans="1:9" ht="15">
      <c r="A295" s="121" t="s">
        <v>68</v>
      </c>
      <c r="B295" s="298"/>
      <c r="C295" s="299" t="s">
        <v>390</v>
      </c>
      <c r="D295" s="299" t="s">
        <v>105</v>
      </c>
      <c r="E295" s="299" t="s">
        <v>560</v>
      </c>
      <c r="F295" s="300"/>
      <c r="G295" s="343">
        <f>SUM(G296)</f>
        <v>5187.8</v>
      </c>
      <c r="H295" s="22">
        <f>SUM(H296)</f>
        <v>0</v>
      </c>
      <c r="I295" s="22">
        <f>SUM(H295/G301*100)</f>
        <v>0</v>
      </c>
    </row>
    <row r="296" spans="1:9" ht="28.5">
      <c r="A296" s="121" t="s">
        <v>56</v>
      </c>
      <c r="B296" s="298"/>
      <c r="C296" s="299" t="s">
        <v>390</v>
      </c>
      <c r="D296" s="299" t="s">
        <v>105</v>
      </c>
      <c r="E296" s="299" t="s">
        <v>561</v>
      </c>
      <c r="F296" s="300"/>
      <c r="G296" s="343">
        <f>SUM(G297:G299)</f>
        <v>5187.8</v>
      </c>
      <c r="H296" s="22"/>
      <c r="I296" s="22">
        <f>SUM(H296/G302*100)</f>
        <v>0</v>
      </c>
    </row>
    <row r="297" spans="1:9" ht="28.5">
      <c r="A297" s="121" t="s">
        <v>494</v>
      </c>
      <c r="B297" s="298"/>
      <c r="C297" s="299" t="s">
        <v>390</v>
      </c>
      <c r="D297" s="299" t="s">
        <v>105</v>
      </c>
      <c r="E297" s="299" t="s">
        <v>561</v>
      </c>
      <c r="F297" s="300" t="s">
        <v>495</v>
      </c>
      <c r="G297" s="343">
        <v>4384.8</v>
      </c>
      <c r="H297" s="22" t="e">
        <f>SUM(H301+#REF!)</f>
        <v>#REF!</v>
      </c>
      <c r="I297" s="22" t="e">
        <f>SUM(H297/G304*100)</f>
        <v>#REF!</v>
      </c>
    </row>
    <row r="298" spans="1:9" ht="15">
      <c r="A298" s="121" t="s">
        <v>499</v>
      </c>
      <c r="B298" s="298"/>
      <c r="C298" s="299" t="s">
        <v>390</v>
      </c>
      <c r="D298" s="299" t="s">
        <v>105</v>
      </c>
      <c r="E298" s="299" t="s">
        <v>561</v>
      </c>
      <c r="F298" s="300" t="s">
        <v>119</v>
      </c>
      <c r="G298" s="343">
        <v>732</v>
      </c>
      <c r="H298" s="22"/>
      <c r="I298" s="22" t="e">
        <f>SUM(H298/#REF!*100)</f>
        <v>#REF!</v>
      </c>
    </row>
    <row r="299" spans="1:9" ht="15">
      <c r="A299" s="121" t="s">
        <v>500</v>
      </c>
      <c r="B299" s="298"/>
      <c r="C299" s="299" t="s">
        <v>390</v>
      </c>
      <c r="D299" s="299" t="s">
        <v>105</v>
      </c>
      <c r="E299" s="299" t="s">
        <v>561</v>
      </c>
      <c r="F299" s="300" t="s">
        <v>175</v>
      </c>
      <c r="G299" s="343">
        <v>71</v>
      </c>
      <c r="H299" s="109"/>
      <c r="I299" s="22" t="e">
        <f>SUM(H299/#REF!*100)</f>
        <v>#REF!</v>
      </c>
    </row>
    <row r="300" spans="1:9" ht="15">
      <c r="A300" s="121" t="s">
        <v>69</v>
      </c>
      <c r="B300" s="298"/>
      <c r="C300" s="299" t="s">
        <v>390</v>
      </c>
      <c r="D300" s="299" t="s">
        <v>130</v>
      </c>
      <c r="E300" s="321"/>
      <c r="F300" s="300"/>
      <c r="G300" s="343">
        <f>G302</f>
        <v>863.2</v>
      </c>
      <c r="H300" s="22"/>
      <c r="I300" s="22" t="e">
        <f>SUM(H300/#REF!*100)</f>
        <v>#REF!</v>
      </c>
    </row>
    <row r="301" spans="1:9" ht="15">
      <c r="A301" s="121" t="s">
        <v>550</v>
      </c>
      <c r="B301" s="298"/>
      <c r="C301" s="299" t="s">
        <v>390</v>
      </c>
      <c r="D301" s="299" t="s">
        <v>130</v>
      </c>
      <c r="E301" s="288" t="s">
        <v>128</v>
      </c>
      <c r="F301" s="300"/>
      <c r="G301" s="343">
        <f>SUM(G302)</f>
        <v>863.2</v>
      </c>
      <c r="H301" s="22">
        <f>SUM(H302:H304)</f>
        <v>0</v>
      </c>
      <c r="I301" s="22" t="e">
        <f>SUM(H301/#REF!*100)</f>
        <v>#REF!</v>
      </c>
    </row>
    <row r="302" spans="1:9" ht="15">
      <c r="A302" s="121" t="s">
        <v>640</v>
      </c>
      <c r="B302" s="304"/>
      <c r="C302" s="299" t="s">
        <v>390</v>
      </c>
      <c r="D302" s="299" t="s">
        <v>130</v>
      </c>
      <c r="E302" s="299" t="s">
        <v>70</v>
      </c>
      <c r="F302" s="300"/>
      <c r="G302" s="343">
        <f>SUM(G303:G304)</f>
        <v>863.2</v>
      </c>
      <c r="H302" s="22"/>
      <c r="I302" s="22" t="e">
        <f>SUM(H302/#REF!*100)</f>
        <v>#REF!</v>
      </c>
    </row>
    <row r="303" spans="1:9" ht="28.5">
      <c r="A303" s="121" t="s">
        <v>494</v>
      </c>
      <c r="B303" s="304"/>
      <c r="C303" s="299" t="s">
        <v>390</v>
      </c>
      <c r="D303" s="299" t="s">
        <v>130</v>
      </c>
      <c r="E303" s="299" t="s">
        <v>70</v>
      </c>
      <c r="F303" s="300" t="s">
        <v>495</v>
      </c>
      <c r="G303" s="343">
        <v>148.1</v>
      </c>
      <c r="H303" s="22"/>
      <c r="I303" s="22"/>
    </row>
    <row r="304" spans="1:9" ht="15">
      <c r="A304" s="121" t="s">
        <v>499</v>
      </c>
      <c r="B304" s="298"/>
      <c r="C304" s="299" t="s">
        <v>390</v>
      </c>
      <c r="D304" s="299" t="s">
        <v>130</v>
      </c>
      <c r="E304" s="299" t="s">
        <v>70</v>
      </c>
      <c r="F304" s="300" t="s">
        <v>119</v>
      </c>
      <c r="G304" s="343">
        <v>715.1</v>
      </c>
      <c r="H304" s="22"/>
      <c r="I304" s="22"/>
    </row>
    <row r="305" spans="1:11" ht="15">
      <c r="A305" s="121" t="s">
        <v>115</v>
      </c>
      <c r="B305" s="298"/>
      <c r="C305" s="299" t="s">
        <v>116</v>
      </c>
      <c r="D305" s="299"/>
      <c r="E305" s="299"/>
      <c r="F305" s="300"/>
      <c r="G305" s="343">
        <f>G306</f>
        <v>31731.1</v>
      </c>
      <c r="H305" s="22">
        <f>SUM(H306)</f>
        <v>0</v>
      </c>
      <c r="I305" s="22" t="e">
        <f>SUM(H305/#REF!*100)</f>
        <v>#REF!</v>
      </c>
      <c r="K305" s="93">
        <v>31718.8</v>
      </c>
    </row>
    <row r="306" spans="1:9" ht="15">
      <c r="A306" s="121" t="s">
        <v>230</v>
      </c>
      <c r="B306" s="298"/>
      <c r="C306" s="299" t="s">
        <v>116</v>
      </c>
      <c r="D306" s="299" t="s">
        <v>299</v>
      </c>
      <c r="E306" s="299"/>
      <c r="F306" s="300"/>
      <c r="G306" s="343">
        <f>G308</f>
        <v>31731.1</v>
      </c>
      <c r="H306" s="22"/>
      <c r="I306" s="22" t="e">
        <f>SUM(H306/#REF!*100)</f>
        <v>#REF!</v>
      </c>
    </row>
    <row r="307" spans="1:9" ht="15">
      <c r="A307" s="121" t="s">
        <v>550</v>
      </c>
      <c r="B307" s="298"/>
      <c r="C307" s="299" t="s">
        <v>116</v>
      </c>
      <c r="D307" s="299" t="s">
        <v>299</v>
      </c>
      <c r="E307" s="288" t="s">
        <v>128</v>
      </c>
      <c r="F307" s="300"/>
      <c r="G307" s="343">
        <f>SUM(G308)</f>
        <v>31731.1</v>
      </c>
      <c r="H307" s="22"/>
      <c r="I307" s="22"/>
    </row>
    <row r="308" spans="1:9" ht="28.5">
      <c r="A308" s="123" t="s">
        <v>670</v>
      </c>
      <c r="B308" s="298"/>
      <c r="C308" s="299" t="s">
        <v>116</v>
      </c>
      <c r="D308" s="299" t="s">
        <v>299</v>
      </c>
      <c r="E308" s="299" t="s">
        <v>54</v>
      </c>
      <c r="F308" s="300"/>
      <c r="G308" s="343">
        <f>SUM(G309:G310)</f>
        <v>31731.1</v>
      </c>
      <c r="H308" s="22"/>
      <c r="I308" s="22"/>
    </row>
    <row r="309" spans="1:9" s="94" customFormat="1" ht="28.5">
      <c r="A309" s="121" t="s">
        <v>565</v>
      </c>
      <c r="B309" s="298"/>
      <c r="C309" s="299" t="s">
        <v>116</v>
      </c>
      <c r="D309" s="299" t="s">
        <v>299</v>
      </c>
      <c r="E309" s="299" t="s">
        <v>562</v>
      </c>
      <c r="F309" s="300" t="s">
        <v>559</v>
      </c>
      <c r="G309" s="343">
        <v>31708.6</v>
      </c>
      <c r="H309" s="22" t="e">
        <v>#REF!</v>
      </c>
      <c r="I309" s="22" t="e">
        <v>#REF!</v>
      </c>
    </row>
    <row r="310" spans="1:9" s="94" customFormat="1" ht="28.5">
      <c r="A310" s="121" t="s">
        <v>523</v>
      </c>
      <c r="B310" s="298"/>
      <c r="C310" s="299" t="s">
        <v>116</v>
      </c>
      <c r="D310" s="299" t="s">
        <v>299</v>
      </c>
      <c r="E310" s="299" t="s">
        <v>562</v>
      </c>
      <c r="F310" s="300" t="s">
        <v>512</v>
      </c>
      <c r="G310" s="343">
        <v>22.5</v>
      </c>
      <c r="H310" s="22"/>
      <c r="I310" s="22"/>
    </row>
    <row r="311" spans="1:11" ht="15">
      <c r="A311" s="117" t="s">
        <v>187</v>
      </c>
      <c r="B311" s="282"/>
      <c r="C311" s="283" t="s">
        <v>5</v>
      </c>
      <c r="D311" s="283"/>
      <c r="E311" s="283"/>
      <c r="F311" s="284"/>
      <c r="G311" s="266">
        <f>SUM(G325)+G312</f>
        <v>42846</v>
      </c>
      <c r="H311" s="22" t="e">
        <f>SUM(#REF!)</f>
        <v>#REF!</v>
      </c>
      <c r="I311" s="22" t="e">
        <f>SUM(H311/G327*100)</f>
        <v>#REF!</v>
      </c>
      <c r="K311" s="93">
        <v>53510.7</v>
      </c>
    </row>
    <row r="312" spans="1:9" ht="15">
      <c r="A312" s="117" t="s">
        <v>25</v>
      </c>
      <c r="B312" s="282"/>
      <c r="C312" s="283" t="s">
        <v>5</v>
      </c>
      <c r="D312" s="283" t="s">
        <v>105</v>
      </c>
      <c r="E312" s="283"/>
      <c r="F312" s="284"/>
      <c r="G312" s="266">
        <f>SUM(G313+G317+G321)</f>
        <v>6880.4</v>
      </c>
      <c r="H312" s="22"/>
      <c r="I312" s="22"/>
    </row>
    <row r="313" spans="1:9" ht="15">
      <c r="A313" s="275" t="s">
        <v>703</v>
      </c>
      <c r="B313" s="282"/>
      <c r="C313" s="283" t="s">
        <v>5</v>
      </c>
      <c r="D313" s="283" t="s">
        <v>105</v>
      </c>
      <c r="E313" s="283" t="s">
        <v>704</v>
      </c>
      <c r="F313" s="284"/>
      <c r="G313" s="266">
        <f>SUM(G314)</f>
        <v>1798.2</v>
      </c>
      <c r="H313" s="22"/>
      <c r="I313" s="22"/>
    </row>
    <row r="314" spans="1:9" ht="15">
      <c r="A314" s="117" t="s">
        <v>705</v>
      </c>
      <c r="B314" s="282"/>
      <c r="C314" s="283" t="s">
        <v>5</v>
      </c>
      <c r="D314" s="283" t="s">
        <v>105</v>
      </c>
      <c r="E314" s="283" t="s">
        <v>706</v>
      </c>
      <c r="F314" s="284"/>
      <c r="G314" s="266">
        <f>SUM(G315)</f>
        <v>1798.2</v>
      </c>
      <c r="H314" s="22"/>
      <c r="I314" s="22"/>
    </row>
    <row r="315" spans="1:9" ht="28.5">
      <c r="A315" s="117" t="s">
        <v>707</v>
      </c>
      <c r="B315" s="282"/>
      <c r="C315" s="283" t="s">
        <v>5</v>
      </c>
      <c r="D315" s="283" t="s">
        <v>105</v>
      </c>
      <c r="E315" s="283" t="s">
        <v>708</v>
      </c>
      <c r="F315" s="284"/>
      <c r="G315" s="266">
        <f>SUM(G316)</f>
        <v>1798.2</v>
      </c>
      <c r="H315" s="22"/>
      <c r="I315" s="22"/>
    </row>
    <row r="316" spans="1:9" ht="15">
      <c r="A316" s="183" t="s">
        <v>504</v>
      </c>
      <c r="B316" s="282"/>
      <c r="C316" s="283" t="s">
        <v>5</v>
      </c>
      <c r="D316" s="283" t="s">
        <v>105</v>
      </c>
      <c r="E316" s="283" t="s">
        <v>708</v>
      </c>
      <c r="F316" s="284" t="s">
        <v>505</v>
      </c>
      <c r="G316" s="266">
        <f>1733.4+64.8</f>
        <v>1798.2</v>
      </c>
      <c r="H316" s="22"/>
      <c r="I316" s="22"/>
    </row>
    <row r="317" spans="1:9" ht="15">
      <c r="A317" s="180" t="s">
        <v>3</v>
      </c>
      <c r="B317" s="322"/>
      <c r="C317" s="311" t="s">
        <v>5</v>
      </c>
      <c r="D317" s="311" t="s">
        <v>105</v>
      </c>
      <c r="E317" s="311" t="s">
        <v>682</v>
      </c>
      <c r="F317" s="323"/>
      <c r="G317" s="277">
        <f>SUM(G318)</f>
        <v>3082.2</v>
      </c>
      <c r="H317" s="22"/>
      <c r="I317" s="22"/>
    </row>
    <row r="318" spans="1:9" ht="42.75">
      <c r="A318" s="182" t="s">
        <v>709</v>
      </c>
      <c r="B318" s="324"/>
      <c r="C318" s="311" t="s">
        <v>5</v>
      </c>
      <c r="D318" s="311" t="s">
        <v>105</v>
      </c>
      <c r="E318" s="311" t="s">
        <v>710</v>
      </c>
      <c r="F318" s="323"/>
      <c r="G318" s="277">
        <f>SUM(G319)</f>
        <v>3082.2</v>
      </c>
      <c r="H318" s="22"/>
      <c r="I318" s="22"/>
    </row>
    <row r="319" spans="1:9" ht="28.5">
      <c r="A319" s="180" t="s">
        <v>650</v>
      </c>
      <c r="B319" s="324"/>
      <c r="C319" s="311" t="s">
        <v>5</v>
      </c>
      <c r="D319" s="311" t="s">
        <v>105</v>
      </c>
      <c r="E319" s="311" t="s">
        <v>711</v>
      </c>
      <c r="F319" s="323"/>
      <c r="G319" s="277">
        <f>SUM(G320)</f>
        <v>3082.2</v>
      </c>
      <c r="H319" s="22"/>
      <c r="I319" s="22"/>
    </row>
    <row r="320" spans="1:9" ht="15">
      <c r="A320" s="183" t="s">
        <v>504</v>
      </c>
      <c r="B320" s="324"/>
      <c r="C320" s="311" t="s">
        <v>5</v>
      </c>
      <c r="D320" s="311" t="s">
        <v>105</v>
      </c>
      <c r="E320" s="311" t="s">
        <v>711</v>
      </c>
      <c r="F320" s="323" t="s">
        <v>505</v>
      </c>
      <c r="G320" s="277">
        <f>2972.7+109.5</f>
        <v>3082.2</v>
      </c>
      <c r="H320" s="22"/>
      <c r="I320" s="22"/>
    </row>
    <row r="321" spans="1:9" ht="15">
      <c r="A321" s="182" t="s">
        <v>127</v>
      </c>
      <c r="B321" s="310"/>
      <c r="C321" s="311" t="s">
        <v>5</v>
      </c>
      <c r="D321" s="311" t="s">
        <v>105</v>
      </c>
      <c r="E321" s="311" t="s">
        <v>128</v>
      </c>
      <c r="F321" s="313"/>
      <c r="G321" s="177">
        <f>SUM(G322)</f>
        <v>2000</v>
      </c>
      <c r="H321" s="22"/>
      <c r="I321" s="22"/>
    </row>
    <row r="322" spans="1:9" ht="35.25" customHeight="1">
      <c r="A322" s="184" t="s">
        <v>676</v>
      </c>
      <c r="B322" s="316"/>
      <c r="C322" s="311" t="s">
        <v>5</v>
      </c>
      <c r="D322" s="311" t="s">
        <v>105</v>
      </c>
      <c r="E322" s="317" t="s">
        <v>647</v>
      </c>
      <c r="F322" s="325"/>
      <c r="G322" s="177">
        <f>SUM(G323)</f>
        <v>2000</v>
      </c>
      <c r="H322" s="22"/>
      <c r="I322" s="22"/>
    </row>
    <row r="323" spans="1:9" ht="28.5">
      <c r="A323" s="171" t="s">
        <v>677</v>
      </c>
      <c r="B323" s="310"/>
      <c r="C323" s="311" t="s">
        <v>5</v>
      </c>
      <c r="D323" s="311" t="s">
        <v>105</v>
      </c>
      <c r="E323" s="317" t="s">
        <v>652</v>
      </c>
      <c r="F323" s="325"/>
      <c r="G323" s="278">
        <f>SUM(G324:G324)</f>
        <v>2000</v>
      </c>
      <c r="H323" s="22"/>
      <c r="I323" s="22"/>
    </row>
    <row r="324" spans="1:9" ht="15">
      <c r="A324" s="183" t="s">
        <v>504</v>
      </c>
      <c r="B324" s="324"/>
      <c r="C324" s="311" t="s">
        <v>5</v>
      </c>
      <c r="D324" s="311" t="s">
        <v>105</v>
      </c>
      <c r="E324" s="317" t="s">
        <v>652</v>
      </c>
      <c r="F324" s="323" t="s">
        <v>505</v>
      </c>
      <c r="G324" s="277">
        <v>2000</v>
      </c>
      <c r="H324" s="22"/>
      <c r="I324" s="22"/>
    </row>
    <row r="325" spans="1:9" s="94" customFormat="1" ht="15">
      <c r="A325" s="121" t="s">
        <v>157</v>
      </c>
      <c r="B325" s="298"/>
      <c r="C325" s="299" t="s">
        <v>5</v>
      </c>
      <c r="D325" s="299" t="s">
        <v>121</v>
      </c>
      <c r="E325" s="299"/>
      <c r="F325" s="300"/>
      <c r="G325" s="343">
        <f>G326</f>
        <v>35965.6</v>
      </c>
      <c r="H325" s="22"/>
      <c r="I325" s="22">
        <f>SUM(H325/G332*100)</f>
        <v>0</v>
      </c>
    </row>
    <row r="326" spans="1:9" s="94" customFormat="1" ht="15">
      <c r="A326" s="117" t="s">
        <v>26</v>
      </c>
      <c r="B326" s="282"/>
      <c r="C326" s="299" t="s">
        <v>5</v>
      </c>
      <c r="D326" s="299" t="s">
        <v>121</v>
      </c>
      <c r="E326" s="283" t="s">
        <v>27</v>
      </c>
      <c r="F326" s="284"/>
      <c r="G326" s="343">
        <f>SUM(G327)+G334</f>
        <v>35965.6</v>
      </c>
      <c r="H326" s="22"/>
      <c r="I326" s="22"/>
    </row>
    <row r="327" spans="1:9" ht="42.75">
      <c r="A327" s="121" t="s">
        <v>563</v>
      </c>
      <c r="B327" s="298"/>
      <c r="C327" s="299" t="s">
        <v>5</v>
      </c>
      <c r="D327" s="299" t="s">
        <v>121</v>
      </c>
      <c r="E327" s="299" t="s">
        <v>206</v>
      </c>
      <c r="F327" s="300"/>
      <c r="G327" s="343">
        <f>G332+G328</f>
        <v>35965.6</v>
      </c>
      <c r="H327" s="22">
        <f>SUM(H328)</f>
        <v>5628.5</v>
      </c>
      <c r="I327" s="22">
        <f>SUM(H327/G333*100)</f>
        <v>49.41919169747044</v>
      </c>
    </row>
    <row r="328" spans="1:9" ht="57">
      <c r="A328" s="121" t="s">
        <v>637</v>
      </c>
      <c r="B328" s="298"/>
      <c r="C328" s="299" t="s">
        <v>5</v>
      </c>
      <c r="D328" s="299" t="s">
        <v>121</v>
      </c>
      <c r="E328" s="299" t="s">
        <v>564</v>
      </c>
      <c r="F328" s="300"/>
      <c r="G328" s="343">
        <f>SUM(G329)</f>
        <v>24576.3</v>
      </c>
      <c r="H328" s="22">
        <f>SUM(H329)</f>
        <v>5628.5</v>
      </c>
      <c r="I328" s="22" t="e">
        <f>SUM(H328/#REF!*100)</f>
        <v>#REF!</v>
      </c>
    </row>
    <row r="329" spans="1:9" ht="28.5">
      <c r="A329" s="121" t="s">
        <v>565</v>
      </c>
      <c r="B329" s="298"/>
      <c r="C329" s="299" t="s">
        <v>5</v>
      </c>
      <c r="D329" s="299" t="s">
        <v>121</v>
      </c>
      <c r="E329" s="299" t="s">
        <v>564</v>
      </c>
      <c r="F329" s="300" t="s">
        <v>559</v>
      </c>
      <c r="G329" s="343">
        <v>24576.3</v>
      </c>
      <c r="H329" s="22">
        <v>5628.5</v>
      </c>
      <c r="I329" s="22" t="e">
        <f>SUM(H329/#REF!*100)</f>
        <v>#REF!</v>
      </c>
    </row>
    <row r="330" spans="1:9" s="94" customFormat="1" ht="15" hidden="1">
      <c r="A330" s="121" t="s">
        <v>65</v>
      </c>
      <c r="B330" s="298"/>
      <c r="C330" s="299" t="s">
        <v>5</v>
      </c>
      <c r="D330" s="299" t="s">
        <v>121</v>
      </c>
      <c r="E330" s="299" t="s">
        <v>564</v>
      </c>
      <c r="F330" s="300" t="s">
        <v>566</v>
      </c>
      <c r="G330" s="343"/>
      <c r="H330" s="22">
        <f>SUM(H331)</f>
        <v>0</v>
      </c>
      <c r="I330" s="22" t="e">
        <f>SUM(H330/#REF!*100)</f>
        <v>#REF!</v>
      </c>
    </row>
    <row r="331" spans="1:9" ht="28.5" hidden="1">
      <c r="A331" s="121" t="s">
        <v>567</v>
      </c>
      <c r="B331" s="298"/>
      <c r="C331" s="299" t="s">
        <v>5</v>
      </c>
      <c r="D331" s="299" t="s">
        <v>121</v>
      </c>
      <c r="E331" s="299" t="s">
        <v>564</v>
      </c>
      <c r="F331" s="300" t="s">
        <v>568</v>
      </c>
      <c r="G331" s="343"/>
      <c r="H331" s="22"/>
      <c r="I331" s="22" t="e">
        <f>SUM(H331/#REF!*100)</f>
        <v>#REF!</v>
      </c>
    </row>
    <row r="332" spans="1:9" ht="42.75">
      <c r="A332" s="121" t="s">
        <v>638</v>
      </c>
      <c r="B332" s="298"/>
      <c r="C332" s="299" t="s">
        <v>5</v>
      </c>
      <c r="D332" s="299" t="s">
        <v>121</v>
      </c>
      <c r="E332" s="299" t="s">
        <v>465</v>
      </c>
      <c r="F332" s="300"/>
      <c r="G332" s="343">
        <f>SUM(G333)</f>
        <v>11389.3</v>
      </c>
      <c r="H332" s="22" t="e">
        <f>SUM(H333)</f>
        <v>#REF!</v>
      </c>
      <c r="I332" s="22" t="e">
        <f>SUM(H332/#REF!*100)</f>
        <v>#REF!</v>
      </c>
    </row>
    <row r="333" spans="1:9" ht="28.5">
      <c r="A333" s="121" t="s">
        <v>565</v>
      </c>
      <c r="B333" s="298"/>
      <c r="C333" s="299" t="s">
        <v>5</v>
      </c>
      <c r="D333" s="299" t="s">
        <v>121</v>
      </c>
      <c r="E333" s="299" t="s">
        <v>465</v>
      </c>
      <c r="F333" s="300" t="s">
        <v>559</v>
      </c>
      <c r="G333" s="343">
        <v>11389.3</v>
      </c>
      <c r="H333" s="22" t="e">
        <f>SUM(#REF!)+#REF!</f>
        <v>#REF!</v>
      </c>
      <c r="I333" s="22" t="e">
        <f>SUM(H333/#REF!*100)</f>
        <v>#REF!</v>
      </c>
    </row>
    <row r="334" spans="1:9" ht="42.75" hidden="1">
      <c r="A334" s="121" t="s">
        <v>752</v>
      </c>
      <c r="B334" s="298"/>
      <c r="C334" s="299" t="s">
        <v>5</v>
      </c>
      <c r="D334" s="299" t="s">
        <v>121</v>
      </c>
      <c r="E334" s="299" t="s">
        <v>753</v>
      </c>
      <c r="F334" s="300"/>
      <c r="G334" s="343">
        <f>SUM(G335)</f>
        <v>0</v>
      </c>
      <c r="H334" s="22"/>
      <c r="I334" s="22"/>
    </row>
    <row r="335" spans="1:9" ht="28.5" hidden="1">
      <c r="A335" s="121" t="s">
        <v>565</v>
      </c>
      <c r="B335" s="298"/>
      <c r="C335" s="299" t="s">
        <v>5</v>
      </c>
      <c r="D335" s="299" t="s">
        <v>121</v>
      </c>
      <c r="E335" s="299" t="s">
        <v>753</v>
      </c>
      <c r="F335" s="300" t="s">
        <v>559</v>
      </c>
      <c r="G335" s="343"/>
      <c r="H335" s="22"/>
      <c r="I335" s="22"/>
    </row>
    <row r="336" spans="1:9" ht="15">
      <c r="A336" s="117" t="s">
        <v>244</v>
      </c>
      <c r="B336" s="282"/>
      <c r="C336" s="288" t="s">
        <v>418</v>
      </c>
      <c r="D336" s="288"/>
      <c r="E336" s="288"/>
      <c r="F336" s="285"/>
      <c r="G336" s="267">
        <f>SUM(G337)</f>
        <v>419.6</v>
      </c>
      <c r="H336" s="22" t="e">
        <f>SUM(H337+H344+H356+#REF!)</f>
        <v>#REF!</v>
      </c>
      <c r="I336" s="22" t="e">
        <f>SUM(H336/G342*100)</f>
        <v>#REF!</v>
      </c>
    </row>
    <row r="337" spans="1:9" ht="15">
      <c r="A337" s="117" t="s">
        <v>238</v>
      </c>
      <c r="B337" s="282"/>
      <c r="C337" s="283" t="s">
        <v>418</v>
      </c>
      <c r="D337" s="283" t="s">
        <v>130</v>
      </c>
      <c r="E337" s="288"/>
      <c r="F337" s="285"/>
      <c r="G337" s="266">
        <f>SUM(G338)</f>
        <v>419.6</v>
      </c>
      <c r="H337" s="22">
        <f>SUM(H338)</f>
        <v>9708.8</v>
      </c>
      <c r="I337" s="22">
        <f>SUM(H337/G343*100)</f>
        <v>51.083891063686494</v>
      </c>
    </row>
    <row r="338" spans="1:9" ht="15">
      <c r="A338" s="122" t="s">
        <v>127</v>
      </c>
      <c r="B338" s="292"/>
      <c r="C338" s="283" t="s">
        <v>418</v>
      </c>
      <c r="D338" s="283" t="s">
        <v>130</v>
      </c>
      <c r="E338" s="288" t="s">
        <v>128</v>
      </c>
      <c r="F338" s="285"/>
      <c r="G338" s="266">
        <f>SUM(G339)</f>
        <v>419.6</v>
      </c>
      <c r="H338" s="22">
        <f>SUM(H339)</f>
        <v>9708.8</v>
      </c>
      <c r="I338" s="22">
        <f>SUM(H338/G344*100)</f>
        <v>51.083891063686494</v>
      </c>
    </row>
    <row r="339" spans="1:9" ht="28.5">
      <c r="A339" s="125" t="s">
        <v>145</v>
      </c>
      <c r="B339" s="282"/>
      <c r="C339" s="283" t="s">
        <v>418</v>
      </c>
      <c r="D339" s="283" t="s">
        <v>130</v>
      </c>
      <c r="E339" s="288" t="s">
        <v>54</v>
      </c>
      <c r="F339" s="285"/>
      <c r="G339" s="266">
        <f>SUM(G340)</f>
        <v>419.6</v>
      </c>
      <c r="H339" s="22">
        <f>SUM(H340+H342)</f>
        <v>9708.8</v>
      </c>
      <c r="I339" s="22">
        <f>SUM(H339/G345*100)</f>
        <v>365.9831121833534</v>
      </c>
    </row>
    <row r="340" spans="1:9" s="110" customFormat="1" ht="28.5">
      <c r="A340" s="121" t="s">
        <v>565</v>
      </c>
      <c r="B340" s="282"/>
      <c r="C340" s="283" t="s">
        <v>418</v>
      </c>
      <c r="D340" s="283" t="s">
        <v>130</v>
      </c>
      <c r="E340" s="288" t="s">
        <v>54</v>
      </c>
      <c r="F340" s="285" t="s">
        <v>559</v>
      </c>
      <c r="G340" s="266">
        <v>419.6</v>
      </c>
      <c r="H340" s="22">
        <v>122.5</v>
      </c>
      <c r="I340" s="22">
        <f>SUM(H340/G346*100)</f>
        <v>4.63050463050463</v>
      </c>
    </row>
    <row r="341" spans="1:9" s="110" customFormat="1" ht="21.75" customHeight="1">
      <c r="A341" s="120" t="s">
        <v>258</v>
      </c>
      <c r="B341" s="289" t="s">
        <v>259</v>
      </c>
      <c r="C341" s="290"/>
      <c r="D341" s="290"/>
      <c r="E341" s="290"/>
      <c r="F341" s="291"/>
      <c r="G341" s="268">
        <f>SUM(G342+G377+G381)+G366+G370</f>
        <v>51571.100000000006</v>
      </c>
      <c r="H341" s="22"/>
      <c r="I341" s="22"/>
    </row>
    <row r="342" spans="1:9" s="110" customFormat="1" ht="15">
      <c r="A342" s="117" t="s">
        <v>458</v>
      </c>
      <c r="B342" s="282"/>
      <c r="C342" s="283" t="s">
        <v>459</v>
      </c>
      <c r="D342" s="283"/>
      <c r="E342" s="283"/>
      <c r="F342" s="284"/>
      <c r="G342" s="266">
        <f>SUM(G343+G351+G354)</f>
        <v>23112.9</v>
      </c>
      <c r="H342" s="22">
        <f>SUM(H343)</f>
        <v>9586.3</v>
      </c>
      <c r="I342" s="22">
        <f>SUM(H342/G348*100)</f>
        <v>58.6217650799863</v>
      </c>
    </row>
    <row r="343" spans="1:9" ht="28.5">
      <c r="A343" s="117" t="s">
        <v>389</v>
      </c>
      <c r="B343" s="282"/>
      <c r="C343" s="283" t="s">
        <v>459</v>
      </c>
      <c r="D343" s="283" t="s">
        <v>390</v>
      </c>
      <c r="E343" s="283"/>
      <c r="F343" s="284"/>
      <c r="G343" s="266">
        <f>SUM(G344)</f>
        <v>19005.6</v>
      </c>
      <c r="H343" s="22">
        <v>9586.3</v>
      </c>
      <c r="I343" s="22">
        <f>SUM(H343/G349*100)</f>
        <v>59.956344441108776</v>
      </c>
    </row>
    <row r="344" spans="1:9" ht="28.5">
      <c r="A344" s="117" t="s">
        <v>98</v>
      </c>
      <c r="B344" s="282"/>
      <c r="C344" s="283" t="s">
        <v>459</v>
      </c>
      <c r="D344" s="283" t="s">
        <v>390</v>
      </c>
      <c r="E344" s="283" t="s">
        <v>99</v>
      </c>
      <c r="F344" s="284"/>
      <c r="G344" s="266">
        <f>SUM(G345)+G348</f>
        <v>19005.6</v>
      </c>
      <c r="H344" s="22" t="e">
        <f>SUM(H345)</f>
        <v>#REF!</v>
      </c>
      <c r="I344" s="22" t="e">
        <f aca="true" t="shared" si="5" ref="I344:I349">SUM(H344/G351*100)</f>
        <v>#REF!</v>
      </c>
    </row>
    <row r="345" spans="1:9" ht="15">
      <c r="A345" s="117" t="s">
        <v>106</v>
      </c>
      <c r="B345" s="282"/>
      <c r="C345" s="283" t="s">
        <v>459</v>
      </c>
      <c r="D345" s="283" t="s">
        <v>390</v>
      </c>
      <c r="E345" s="283" t="s">
        <v>108</v>
      </c>
      <c r="F345" s="284"/>
      <c r="G345" s="266">
        <f>SUM(G346+G347)</f>
        <v>2652.8</v>
      </c>
      <c r="H345" s="22" t="e">
        <f>SUM(#REF!)</f>
        <v>#REF!</v>
      </c>
      <c r="I345" s="22" t="e">
        <f t="shared" si="5"/>
        <v>#REF!</v>
      </c>
    </row>
    <row r="346" spans="1:9" ht="28.5">
      <c r="A346" s="117" t="s">
        <v>494</v>
      </c>
      <c r="B346" s="282"/>
      <c r="C346" s="283" t="s">
        <v>107</v>
      </c>
      <c r="D346" s="283" t="s">
        <v>390</v>
      </c>
      <c r="E346" s="283" t="s">
        <v>108</v>
      </c>
      <c r="F346" s="286" t="s">
        <v>495</v>
      </c>
      <c r="G346" s="266">
        <v>2645.5</v>
      </c>
      <c r="H346" s="22" t="e">
        <f>SUM(#REF!)</f>
        <v>#REF!</v>
      </c>
      <c r="I346" s="22" t="e">
        <f t="shared" si="5"/>
        <v>#REF!</v>
      </c>
    </row>
    <row r="347" spans="1:9" s="96" customFormat="1" ht="15">
      <c r="A347" s="117" t="s">
        <v>499</v>
      </c>
      <c r="B347" s="282"/>
      <c r="C347" s="283" t="s">
        <v>459</v>
      </c>
      <c r="D347" s="283" t="s">
        <v>390</v>
      </c>
      <c r="E347" s="283" t="s">
        <v>108</v>
      </c>
      <c r="F347" s="284" t="s">
        <v>119</v>
      </c>
      <c r="G347" s="267">
        <v>7.3</v>
      </c>
      <c r="H347" s="87" t="e">
        <f>SUM(H348+#REF!+H450+#REF!)</f>
        <v>#REF!</v>
      </c>
      <c r="I347" s="22" t="e">
        <f t="shared" si="5"/>
        <v>#REF!</v>
      </c>
    </row>
    <row r="348" spans="1:9" s="107" customFormat="1" ht="28.5">
      <c r="A348" s="117" t="s">
        <v>391</v>
      </c>
      <c r="B348" s="282"/>
      <c r="C348" s="283" t="s">
        <v>107</v>
      </c>
      <c r="D348" s="283" t="s">
        <v>390</v>
      </c>
      <c r="E348" s="283" t="s">
        <v>392</v>
      </c>
      <c r="F348" s="284"/>
      <c r="G348" s="266">
        <f>SUM(G349:G350)</f>
        <v>16352.8</v>
      </c>
      <c r="H348" s="22" t="e">
        <f>SUM(H352+H378)+H349</f>
        <v>#REF!</v>
      </c>
      <c r="I348" s="22" t="e">
        <f t="shared" si="5"/>
        <v>#REF!</v>
      </c>
    </row>
    <row r="349" spans="1:9" ht="28.5">
      <c r="A349" s="117" t="s">
        <v>494</v>
      </c>
      <c r="B349" s="282"/>
      <c r="C349" s="283" t="s">
        <v>107</v>
      </c>
      <c r="D349" s="283" t="s">
        <v>390</v>
      </c>
      <c r="E349" s="283" t="s">
        <v>392</v>
      </c>
      <c r="F349" s="286" t="s">
        <v>495</v>
      </c>
      <c r="G349" s="266">
        <v>15988.8</v>
      </c>
      <c r="H349" s="22">
        <f>SUM(H351)</f>
        <v>5048</v>
      </c>
      <c r="I349" s="22">
        <f t="shared" si="5"/>
        <v>3575.070821529745</v>
      </c>
    </row>
    <row r="350" spans="1:9" ht="15">
      <c r="A350" s="117" t="s">
        <v>499</v>
      </c>
      <c r="B350" s="282"/>
      <c r="C350" s="283" t="s">
        <v>107</v>
      </c>
      <c r="D350" s="283" t="s">
        <v>390</v>
      </c>
      <c r="E350" s="283" t="s">
        <v>392</v>
      </c>
      <c r="F350" s="286" t="s">
        <v>119</v>
      </c>
      <c r="G350" s="266">
        <v>364</v>
      </c>
      <c r="H350" s="22"/>
      <c r="I350" s="22"/>
    </row>
    <row r="351" spans="1:9" ht="15">
      <c r="A351" s="117" t="s">
        <v>406</v>
      </c>
      <c r="B351" s="282"/>
      <c r="C351" s="283" t="s">
        <v>459</v>
      </c>
      <c r="D351" s="283" t="s">
        <v>418</v>
      </c>
      <c r="E351" s="283"/>
      <c r="F351" s="284"/>
      <c r="G351" s="266">
        <f>SUM(G352)</f>
        <v>70.89999999999999</v>
      </c>
      <c r="H351" s="22">
        <v>5048</v>
      </c>
      <c r="I351" s="22">
        <f>SUM(H351/G357*100)</f>
        <v>3629.0438533429187</v>
      </c>
    </row>
    <row r="352" spans="1:9" ht="15">
      <c r="A352" s="117" t="s">
        <v>386</v>
      </c>
      <c r="B352" s="282"/>
      <c r="C352" s="283" t="s">
        <v>459</v>
      </c>
      <c r="D352" s="283" t="s">
        <v>418</v>
      </c>
      <c r="E352" s="283" t="s">
        <v>506</v>
      </c>
      <c r="F352" s="284"/>
      <c r="G352" s="266">
        <f>SUM(G353)</f>
        <v>70.89999999999999</v>
      </c>
      <c r="H352" s="22" t="e">
        <f>SUM(H353)+#REF!+H377</f>
        <v>#REF!</v>
      </c>
      <c r="I352" s="22" t="e">
        <f>SUM(H352/G358*100)</f>
        <v>#REF!</v>
      </c>
    </row>
    <row r="353" spans="1:9" ht="15">
      <c r="A353" s="117" t="s">
        <v>500</v>
      </c>
      <c r="B353" s="282"/>
      <c r="C353" s="283" t="s">
        <v>459</v>
      </c>
      <c r="D353" s="283" t="s">
        <v>418</v>
      </c>
      <c r="E353" s="283" t="s">
        <v>506</v>
      </c>
      <c r="F353" s="284" t="s">
        <v>175</v>
      </c>
      <c r="G353" s="266">
        <f>71.3-0.4</f>
        <v>70.89999999999999</v>
      </c>
      <c r="H353" s="22"/>
      <c r="I353" s="22"/>
    </row>
    <row r="354" spans="1:9" ht="15">
      <c r="A354" s="117" t="s">
        <v>111</v>
      </c>
      <c r="B354" s="282"/>
      <c r="C354" s="283" t="s">
        <v>459</v>
      </c>
      <c r="D354" s="283" t="s">
        <v>235</v>
      </c>
      <c r="E354" s="283"/>
      <c r="F354" s="285"/>
      <c r="G354" s="266">
        <f>SUM(G355)</f>
        <v>4036.4</v>
      </c>
      <c r="H354" s="22">
        <f>SUM(H355)</f>
        <v>0</v>
      </c>
      <c r="I354" s="22">
        <f>SUM(H354/G360*100)</f>
        <v>0</v>
      </c>
    </row>
    <row r="355" spans="1:9" ht="28.5">
      <c r="A355" s="117" t="s">
        <v>496</v>
      </c>
      <c r="B355" s="282"/>
      <c r="C355" s="283" t="s">
        <v>459</v>
      </c>
      <c r="D355" s="283" t="s">
        <v>235</v>
      </c>
      <c r="E355" s="283" t="s">
        <v>497</v>
      </c>
      <c r="F355" s="285"/>
      <c r="G355" s="267">
        <f>SUM(G356+G359+G361)</f>
        <v>4036.4</v>
      </c>
      <c r="H355" s="22"/>
      <c r="I355" s="22"/>
    </row>
    <row r="356" spans="1:9" ht="15">
      <c r="A356" s="117" t="s">
        <v>485</v>
      </c>
      <c r="B356" s="282"/>
      <c r="C356" s="283" t="s">
        <v>459</v>
      </c>
      <c r="D356" s="283" t="s">
        <v>235</v>
      </c>
      <c r="E356" s="283" t="s">
        <v>498</v>
      </c>
      <c r="F356" s="284"/>
      <c r="G356" s="267">
        <f>SUM(G357:G358)</f>
        <v>141.2</v>
      </c>
      <c r="H356" s="22" t="e">
        <f>SUM(H357+#REF!)</f>
        <v>#REF!</v>
      </c>
      <c r="I356" s="22" t="e">
        <f>SUM(H356/G362*100)</f>
        <v>#REF!</v>
      </c>
    </row>
    <row r="357" spans="1:9" ht="15">
      <c r="A357" s="117" t="s">
        <v>499</v>
      </c>
      <c r="B357" s="282"/>
      <c r="C357" s="283" t="s">
        <v>459</v>
      </c>
      <c r="D357" s="283" t="s">
        <v>235</v>
      </c>
      <c r="E357" s="283" t="s">
        <v>498</v>
      </c>
      <c r="F357" s="284" t="s">
        <v>119</v>
      </c>
      <c r="G357" s="267">
        <v>139.1</v>
      </c>
      <c r="H357" s="22" t="e">
        <f>SUM(#REF!+H362+#REF!)</f>
        <v>#REF!</v>
      </c>
      <c r="I357" s="22" t="e">
        <f>SUM(H357/G363*100)</f>
        <v>#REF!</v>
      </c>
    </row>
    <row r="358" spans="1:9" ht="15">
      <c r="A358" s="117" t="s">
        <v>500</v>
      </c>
      <c r="B358" s="282"/>
      <c r="C358" s="283" t="s">
        <v>459</v>
      </c>
      <c r="D358" s="283" t="s">
        <v>235</v>
      </c>
      <c r="E358" s="283" t="s">
        <v>498</v>
      </c>
      <c r="F358" s="284" t="s">
        <v>175</v>
      </c>
      <c r="G358" s="267">
        <v>2.1</v>
      </c>
      <c r="H358" s="22"/>
      <c r="I358" s="22"/>
    </row>
    <row r="359" spans="1:9" s="111" customFormat="1" ht="28.5">
      <c r="A359" s="117" t="s">
        <v>486</v>
      </c>
      <c r="B359" s="282"/>
      <c r="C359" s="283" t="s">
        <v>459</v>
      </c>
      <c r="D359" s="283" t="s">
        <v>235</v>
      </c>
      <c r="E359" s="283" t="s">
        <v>501</v>
      </c>
      <c r="F359" s="284"/>
      <c r="G359" s="267">
        <f>SUM(G360)</f>
        <v>185.3</v>
      </c>
      <c r="H359" s="22" t="e">
        <f>SUM(#REF!+H362+#REF!+#REF!+#REF!)</f>
        <v>#REF!</v>
      </c>
      <c r="I359" s="22" t="e">
        <f>SUM(H359/G377*100)</f>
        <v>#REF!</v>
      </c>
    </row>
    <row r="360" spans="1:9" ht="15">
      <c r="A360" s="117" t="s">
        <v>499</v>
      </c>
      <c r="B360" s="282"/>
      <c r="C360" s="283" t="s">
        <v>459</v>
      </c>
      <c r="D360" s="283" t="s">
        <v>235</v>
      </c>
      <c r="E360" s="283" t="s">
        <v>501</v>
      </c>
      <c r="F360" s="284" t="s">
        <v>119</v>
      </c>
      <c r="G360" s="267">
        <v>185.3</v>
      </c>
      <c r="H360" s="22" t="e">
        <f>SUM(#REF!)</f>
        <v>#REF!</v>
      </c>
      <c r="I360" s="22" t="e">
        <f aca="true" t="shared" si="6" ref="I360:I365">SUM(H360/G379*100)</f>
        <v>#REF!</v>
      </c>
    </row>
    <row r="361" spans="1:9" ht="28.5">
      <c r="A361" s="118" t="s">
        <v>502</v>
      </c>
      <c r="B361" s="282"/>
      <c r="C361" s="283" t="s">
        <v>459</v>
      </c>
      <c r="D361" s="283" t="s">
        <v>235</v>
      </c>
      <c r="E361" s="283" t="s">
        <v>503</v>
      </c>
      <c r="F361" s="286"/>
      <c r="G361" s="267">
        <f>SUM(G362+G363+G365)</f>
        <v>3709.9</v>
      </c>
      <c r="H361" s="22"/>
      <c r="I361" s="22">
        <f t="shared" si="6"/>
        <v>0</v>
      </c>
    </row>
    <row r="362" spans="1:9" ht="15">
      <c r="A362" s="117" t="s">
        <v>499</v>
      </c>
      <c r="B362" s="282"/>
      <c r="C362" s="283" t="s">
        <v>459</v>
      </c>
      <c r="D362" s="283" t="s">
        <v>235</v>
      </c>
      <c r="E362" s="283" t="s">
        <v>503</v>
      </c>
      <c r="F362" s="286" t="s">
        <v>119</v>
      </c>
      <c r="G362" s="266">
        <v>3709.9</v>
      </c>
      <c r="H362" s="22">
        <f>SUM(H363)</f>
        <v>0</v>
      </c>
      <c r="I362" s="22">
        <f t="shared" si="6"/>
        <v>0</v>
      </c>
    </row>
    <row r="363" spans="1:9" ht="14.25" customHeight="1" hidden="1">
      <c r="A363" s="117" t="s">
        <v>500</v>
      </c>
      <c r="B363" s="282"/>
      <c r="C363" s="283" t="s">
        <v>459</v>
      </c>
      <c r="D363" s="283" t="s">
        <v>235</v>
      </c>
      <c r="E363" s="283" t="s">
        <v>503</v>
      </c>
      <c r="F363" s="286" t="s">
        <v>175</v>
      </c>
      <c r="G363" s="266"/>
      <c r="H363" s="22">
        <f>SUM(H364)</f>
        <v>0</v>
      </c>
      <c r="I363" s="22">
        <f t="shared" si="6"/>
        <v>0</v>
      </c>
    </row>
    <row r="364" spans="1:9" ht="15" hidden="1">
      <c r="A364" s="118" t="s">
        <v>510</v>
      </c>
      <c r="B364" s="282"/>
      <c r="C364" s="283" t="s">
        <v>459</v>
      </c>
      <c r="D364" s="283" t="s">
        <v>235</v>
      </c>
      <c r="E364" s="283" t="s">
        <v>511</v>
      </c>
      <c r="F364" s="284"/>
      <c r="G364" s="266">
        <f>SUM(G365)</f>
        <v>0</v>
      </c>
      <c r="H364" s="22">
        <f>SUM(H365)</f>
        <v>0</v>
      </c>
      <c r="I364" s="22">
        <f t="shared" si="6"/>
        <v>0</v>
      </c>
    </row>
    <row r="365" spans="1:9" ht="15" hidden="1">
      <c r="A365" s="117" t="s">
        <v>500</v>
      </c>
      <c r="B365" s="282"/>
      <c r="C365" s="283" t="s">
        <v>459</v>
      </c>
      <c r="D365" s="283" t="s">
        <v>235</v>
      </c>
      <c r="E365" s="283" t="s">
        <v>511</v>
      </c>
      <c r="F365" s="284" t="s">
        <v>175</v>
      </c>
      <c r="G365" s="266"/>
      <c r="H365" s="22">
        <f>SUM(H377)</f>
        <v>0</v>
      </c>
      <c r="I365" s="22">
        <f t="shared" si="6"/>
        <v>0</v>
      </c>
    </row>
    <row r="366" spans="1:9" ht="15" hidden="1">
      <c r="A366" s="117" t="s">
        <v>120</v>
      </c>
      <c r="B366" s="282"/>
      <c r="C366" s="299" t="s">
        <v>121</v>
      </c>
      <c r="D366" s="283"/>
      <c r="E366" s="283"/>
      <c r="F366" s="284"/>
      <c r="G366" s="266">
        <f>SUM(G367)</f>
        <v>0</v>
      </c>
      <c r="H366" s="22">
        <v>50612.1</v>
      </c>
      <c r="I366" s="22" t="e">
        <f>SUM(H366/#REF!*100)</f>
        <v>#REF!</v>
      </c>
    </row>
    <row r="367" spans="1:9" ht="15" hidden="1">
      <c r="A367" s="121" t="s">
        <v>417</v>
      </c>
      <c r="B367" s="298"/>
      <c r="C367" s="299" t="s">
        <v>121</v>
      </c>
      <c r="D367" s="299" t="s">
        <v>407</v>
      </c>
      <c r="E367" s="283"/>
      <c r="F367" s="285"/>
      <c r="G367" s="266">
        <f>SUM(G368)</f>
        <v>0</v>
      </c>
      <c r="H367" s="22">
        <v>5387.8</v>
      </c>
      <c r="I367" s="22" t="e">
        <f>SUM(H367/#REF!*100)</f>
        <v>#REF!</v>
      </c>
    </row>
    <row r="368" spans="1:9" ht="15" hidden="1">
      <c r="A368" s="118" t="s">
        <v>510</v>
      </c>
      <c r="B368" s="282"/>
      <c r="C368" s="299" t="s">
        <v>121</v>
      </c>
      <c r="D368" s="299" t="s">
        <v>407</v>
      </c>
      <c r="E368" s="283" t="s">
        <v>511</v>
      </c>
      <c r="F368" s="284"/>
      <c r="G368" s="266">
        <f>SUM(G369)</f>
        <v>0</v>
      </c>
      <c r="H368" s="22"/>
      <c r="I368" s="22"/>
    </row>
    <row r="369" spans="1:9" ht="15" hidden="1">
      <c r="A369" s="117" t="s">
        <v>500</v>
      </c>
      <c r="B369" s="282"/>
      <c r="C369" s="299" t="s">
        <v>121</v>
      </c>
      <c r="D369" s="299" t="s">
        <v>407</v>
      </c>
      <c r="E369" s="283" t="s">
        <v>511</v>
      </c>
      <c r="F369" s="284" t="s">
        <v>175</v>
      </c>
      <c r="G369" s="266"/>
      <c r="H369" s="22"/>
      <c r="I369" s="22"/>
    </row>
    <row r="370" spans="1:9" ht="15" hidden="1">
      <c r="A370" s="121" t="s">
        <v>423</v>
      </c>
      <c r="B370" s="292"/>
      <c r="C370" s="288" t="s">
        <v>130</v>
      </c>
      <c r="D370" s="288"/>
      <c r="E370" s="288"/>
      <c r="F370" s="286"/>
      <c r="G370" s="269">
        <f>SUM(G371)+G374</f>
        <v>0</v>
      </c>
      <c r="H370" s="22"/>
      <c r="I370" s="22"/>
    </row>
    <row r="371" spans="1:9" ht="15" hidden="1">
      <c r="A371" s="121" t="s">
        <v>55</v>
      </c>
      <c r="B371" s="298"/>
      <c r="C371" s="299" t="s">
        <v>130</v>
      </c>
      <c r="D371" s="299" t="s">
        <v>461</v>
      </c>
      <c r="E371" s="299"/>
      <c r="F371" s="300"/>
      <c r="G371" s="343">
        <f>G372</f>
        <v>0</v>
      </c>
      <c r="H371" s="22">
        <v>9483.6</v>
      </c>
      <c r="I371" s="22">
        <f>SUM(H371/G379*100)</f>
        <v>1698.9609458975276</v>
      </c>
    </row>
    <row r="372" spans="1:9" ht="15" hidden="1">
      <c r="A372" s="118" t="s">
        <v>510</v>
      </c>
      <c r="B372" s="282"/>
      <c r="C372" s="299" t="s">
        <v>130</v>
      </c>
      <c r="D372" s="299" t="s">
        <v>461</v>
      </c>
      <c r="E372" s="283" t="s">
        <v>511</v>
      </c>
      <c r="F372" s="284"/>
      <c r="G372" s="343">
        <f>G373</f>
        <v>0</v>
      </c>
      <c r="H372" s="22"/>
      <c r="I372" s="22"/>
    </row>
    <row r="373" spans="1:9" ht="15" hidden="1">
      <c r="A373" s="117" t="s">
        <v>500</v>
      </c>
      <c r="B373" s="282"/>
      <c r="C373" s="299" t="s">
        <v>130</v>
      </c>
      <c r="D373" s="299" t="s">
        <v>461</v>
      </c>
      <c r="E373" s="283" t="s">
        <v>511</v>
      </c>
      <c r="F373" s="284" t="s">
        <v>175</v>
      </c>
      <c r="G373" s="266"/>
      <c r="H373" s="22"/>
      <c r="I373" s="22"/>
    </row>
    <row r="374" spans="1:9" ht="15" hidden="1">
      <c r="A374" s="121" t="s">
        <v>64</v>
      </c>
      <c r="B374" s="292"/>
      <c r="C374" s="299" t="s">
        <v>130</v>
      </c>
      <c r="D374" s="299" t="s">
        <v>130</v>
      </c>
      <c r="E374" s="288"/>
      <c r="F374" s="285"/>
      <c r="G374" s="343">
        <f>G375</f>
        <v>0</v>
      </c>
      <c r="H374" s="22"/>
      <c r="I374" s="22"/>
    </row>
    <row r="375" spans="1:9" ht="15" hidden="1">
      <c r="A375" s="118" t="s">
        <v>510</v>
      </c>
      <c r="B375" s="282"/>
      <c r="C375" s="299" t="s">
        <v>130</v>
      </c>
      <c r="D375" s="299" t="s">
        <v>130</v>
      </c>
      <c r="E375" s="283" t="s">
        <v>511</v>
      </c>
      <c r="F375" s="284"/>
      <c r="G375" s="343">
        <f>G376</f>
        <v>0</v>
      </c>
      <c r="H375" s="22"/>
      <c r="I375" s="22"/>
    </row>
    <row r="376" spans="1:9" ht="15" hidden="1">
      <c r="A376" s="117" t="s">
        <v>500</v>
      </c>
      <c r="B376" s="282"/>
      <c r="C376" s="299" t="s">
        <v>130</v>
      </c>
      <c r="D376" s="299" t="s">
        <v>130</v>
      </c>
      <c r="E376" s="283" t="s">
        <v>511</v>
      </c>
      <c r="F376" s="284" t="s">
        <v>175</v>
      </c>
      <c r="G376" s="266"/>
      <c r="H376" s="22"/>
      <c r="I376" s="22"/>
    </row>
    <row r="377" spans="1:9" ht="15">
      <c r="A377" s="117" t="s">
        <v>187</v>
      </c>
      <c r="B377" s="282"/>
      <c r="C377" s="283" t="s">
        <v>5</v>
      </c>
      <c r="D377" s="283" t="s">
        <v>188</v>
      </c>
      <c r="E377" s="283"/>
      <c r="F377" s="284"/>
      <c r="G377" s="266">
        <f>SUM(G378)</f>
        <v>558.2</v>
      </c>
      <c r="H377" s="22">
        <f>SUM(H378)</f>
        <v>0</v>
      </c>
      <c r="I377" s="22">
        <f>SUM(H377/G385*100)</f>
        <v>0</v>
      </c>
    </row>
    <row r="378" spans="1:9" ht="15">
      <c r="A378" s="117" t="s">
        <v>165</v>
      </c>
      <c r="B378" s="282"/>
      <c r="C378" s="283" t="s">
        <v>5</v>
      </c>
      <c r="D378" s="283" t="s">
        <v>390</v>
      </c>
      <c r="E378" s="283"/>
      <c r="F378" s="284"/>
      <c r="G378" s="266">
        <f>SUM(G379)</f>
        <v>558.2</v>
      </c>
      <c r="H378" s="22"/>
      <c r="I378" s="22" t="e">
        <f>SUM(H378/#REF!*100)</f>
        <v>#REF!</v>
      </c>
    </row>
    <row r="379" spans="1:9" ht="28.5">
      <c r="A379" s="118" t="s">
        <v>619</v>
      </c>
      <c r="B379" s="282"/>
      <c r="C379" s="283" t="s">
        <v>5</v>
      </c>
      <c r="D379" s="283" t="s">
        <v>390</v>
      </c>
      <c r="E379" s="283" t="s">
        <v>618</v>
      </c>
      <c r="F379" s="284"/>
      <c r="G379" s="266">
        <f>SUM(G380)</f>
        <v>558.2</v>
      </c>
      <c r="H379" s="85" t="e">
        <f>SUM(#REF!+#REF!)+#REF!+#REF!</f>
        <v>#REF!</v>
      </c>
      <c r="I379" s="85" t="e">
        <f>SUM(H379/G386*100)</f>
        <v>#REF!</v>
      </c>
    </row>
    <row r="380" spans="1:11" ht="15">
      <c r="A380" s="117" t="s">
        <v>500</v>
      </c>
      <c r="B380" s="282"/>
      <c r="C380" s="283" t="s">
        <v>5</v>
      </c>
      <c r="D380" s="283" t="s">
        <v>390</v>
      </c>
      <c r="E380" s="283" t="s">
        <v>618</v>
      </c>
      <c r="F380" s="284" t="s">
        <v>175</v>
      </c>
      <c r="G380" s="266">
        <f>713.1-154.9</f>
        <v>558.2</v>
      </c>
      <c r="H380" s="22" t="e">
        <f>SUM(H381)</f>
        <v>#REF!</v>
      </c>
      <c r="I380" s="22" t="e">
        <f>SUM(H380/#REF!*100)</f>
        <v>#REF!</v>
      </c>
      <c r="K380" s="93">
        <f>2500-783.6-471.1-625.2</f>
        <v>620.1000000000001</v>
      </c>
    </row>
    <row r="381" spans="1:9" ht="15">
      <c r="A381" s="117" t="s">
        <v>401</v>
      </c>
      <c r="B381" s="282"/>
      <c r="C381" s="283" t="s">
        <v>235</v>
      </c>
      <c r="D381" s="283" t="s">
        <v>188</v>
      </c>
      <c r="E381" s="283"/>
      <c r="F381" s="284"/>
      <c r="G381" s="266">
        <f>SUM(G382)</f>
        <v>27900</v>
      </c>
      <c r="H381" s="22" t="e">
        <f>SUM(H382+H384)</f>
        <v>#REF!</v>
      </c>
      <c r="I381" s="22" t="e">
        <f>SUM(H381/#REF!*100)</f>
        <v>#REF!</v>
      </c>
    </row>
    <row r="382" spans="1:9" ht="15">
      <c r="A382" s="117" t="s">
        <v>236</v>
      </c>
      <c r="B382" s="282"/>
      <c r="C382" s="283" t="s">
        <v>235</v>
      </c>
      <c r="D382" s="283" t="s">
        <v>459</v>
      </c>
      <c r="E382" s="283"/>
      <c r="F382" s="284"/>
      <c r="G382" s="266">
        <f>SUM(G383)</f>
        <v>27900</v>
      </c>
      <c r="H382" s="22">
        <f>SUM(H383)</f>
        <v>8068.7</v>
      </c>
      <c r="I382" s="22" t="e">
        <f>SUM(H382/#REF!*100)</f>
        <v>#REF!</v>
      </c>
    </row>
    <row r="383" spans="1:9" ht="15">
      <c r="A383" s="117" t="s">
        <v>402</v>
      </c>
      <c r="B383" s="282"/>
      <c r="C383" s="283" t="s">
        <v>235</v>
      </c>
      <c r="D383" s="283" t="s">
        <v>459</v>
      </c>
      <c r="E383" s="283" t="s">
        <v>403</v>
      </c>
      <c r="F383" s="286"/>
      <c r="G383" s="266">
        <f>SUM(G385)</f>
        <v>27900</v>
      </c>
      <c r="H383" s="22">
        <v>8068.7</v>
      </c>
      <c r="I383" s="22" t="e">
        <f>SUM(H383/#REF!*100)</f>
        <v>#REF!</v>
      </c>
    </row>
    <row r="384" spans="1:9" ht="15">
      <c r="A384" s="117" t="s">
        <v>404</v>
      </c>
      <c r="B384" s="282"/>
      <c r="C384" s="283" t="s">
        <v>235</v>
      </c>
      <c r="D384" s="283" t="s">
        <v>459</v>
      </c>
      <c r="E384" s="283" t="s">
        <v>405</v>
      </c>
      <c r="F384" s="286"/>
      <c r="G384" s="266">
        <f>SUM(G385)</f>
        <v>27900</v>
      </c>
      <c r="H384" s="22" t="e">
        <f>SUM(H385)+#REF!+#REF!</f>
        <v>#REF!</v>
      </c>
      <c r="I384" s="22" t="e">
        <f>SUM(H384/#REF!*100)</f>
        <v>#REF!</v>
      </c>
    </row>
    <row r="385" spans="1:9" ht="15">
      <c r="A385" s="117" t="s">
        <v>507</v>
      </c>
      <c r="B385" s="282"/>
      <c r="C385" s="283" t="s">
        <v>235</v>
      </c>
      <c r="D385" s="283" t="s">
        <v>459</v>
      </c>
      <c r="E385" s="283" t="s">
        <v>405</v>
      </c>
      <c r="F385" s="286" t="s">
        <v>174</v>
      </c>
      <c r="G385" s="266">
        <f>30000-2500+400</f>
        <v>27900</v>
      </c>
      <c r="H385" s="22" t="e">
        <f>SUM(H386+#REF!)</f>
        <v>#REF!</v>
      </c>
      <c r="I385" s="22" t="e">
        <f>SUM(H385/#REF!*100)</f>
        <v>#REF!</v>
      </c>
    </row>
    <row r="386" spans="1:9" ht="30">
      <c r="A386" s="120" t="s">
        <v>260</v>
      </c>
      <c r="B386" s="289" t="s">
        <v>261</v>
      </c>
      <c r="C386" s="290"/>
      <c r="D386" s="290"/>
      <c r="E386" s="290"/>
      <c r="F386" s="291"/>
      <c r="G386" s="268">
        <f>SUM(G387+G405+G437)</f>
        <v>903314.3999999998</v>
      </c>
      <c r="H386" s="22" t="e">
        <f>SUM(H387:H387+#REF!+#REF!+#REF!)+#REF!</f>
        <v>#REF!</v>
      </c>
      <c r="I386" s="22" t="e">
        <f>SUM(H386/#REF!*100)</f>
        <v>#REF!</v>
      </c>
    </row>
    <row r="387" spans="1:9" ht="15">
      <c r="A387" s="117" t="s">
        <v>120</v>
      </c>
      <c r="B387" s="282"/>
      <c r="C387" s="299" t="s">
        <v>121</v>
      </c>
      <c r="D387" s="283"/>
      <c r="E387" s="283"/>
      <c r="F387" s="284"/>
      <c r="G387" s="266">
        <f>SUM(G395+G388)</f>
        <v>16221.9</v>
      </c>
      <c r="H387" s="22">
        <v>50612.1</v>
      </c>
      <c r="I387" s="22" t="e">
        <f>SUM(H387/#REF!*100)</f>
        <v>#REF!</v>
      </c>
    </row>
    <row r="388" spans="1:9" ht="15">
      <c r="A388" s="180" t="s">
        <v>122</v>
      </c>
      <c r="B388" s="316"/>
      <c r="C388" s="312" t="s">
        <v>121</v>
      </c>
      <c r="D388" s="312" t="s">
        <v>123</v>
      </c>
      <c r="E388" s="312"/>
      <c r="F388" s="325"/>
      <c r="G388" s="266">
        <f>SUM(G391)+G393</f>
        <v>8238.8</v>
      </c>
      <c r="H388" s="22"/>
      <c r="I388" s="22"/>
    </row>
    <row r="389" spans="1:9" ht="15">
      <c r="A389" s="121" t="s">
        <v>540</v>
      </c>
      <c r="B389" s="298"/>
      <c r="C389" s="299" t="s">
        <v>121</v>
      </c>
      <c r="D389" s="299" t="s">
        <v>123</v>
      </c>
      <c r="E389" s="299" t="s">
        <v>541</v>
      </c>
      <c r="F389" s="300"/>
      <c r="G389" s="343">
        <f>G390</f>
        <v>8238.8</v>
      </c>
      <c r="H389" s="22"/>
      <c r="I389" s="22"/>
    </row>
    <row r="390" spans="1:9" ht="15">
      <c r="A390" s="121" t="s">
        <v>542</v>
      </c>
      <c r="B390" s="298"/>
      <c r="C390" s="299" t="s">
        <v>121</v>
      </c>
      <c r="D390" s="299" t="s">
        <v>123</v>
      </c>
      <c r="E390" s="299" t="s">
        <v>543</v>
      </c>
      <c r="F390" s="300"/>
      <c r="G390" s="343">
        <f>SUM(G391)+G393</f>
        <v>8238.8</v>
      </c>
      <c r="H390" s="22"/>
      <c r="I390" s="22"/>
    </row>
    <row r="391" spans="1:9" ht="15">
      <c r="A391" s="180" t="s">
        <v>6</v>
      </c>
      <c r="B391" s="316"/>
      <c r="C391" s="312" t="s">
        <v>121</v>
      </c>
      <c r="D391" s="312" t="s">
        <v>123</v>
      </c>
      <c r="E391" s="311" t="s">
        <v>544</v>
      </c>
      <c r="F391" s="313"/>
      <c r="G391" s="266">
        <f>SUM(G392)</f>
        <v>4205.1</v>
      </c>
      <c r="H391" s="22"/>
      <c r="I391" s="22"/>
    </row>
    <row r="392" spans="1:9" ht="15">
      <c r="A392" s="117" t="s">
        <v>500</v>
      </c>
      <c r="B392" s="282"/>
      <c r="C392" s="312" t="s">
        <v>121</v>
      </c>
      <c r="D392" s="312" t="s">
        <v>123</v>
      </c>
      <c r="E392" s="311" t="s">
        <v>544</v>
      </c>
      <c r="F392" s="313" t="s">
        <v>175</v>
      </c>
      <c r="G392" s="266">
        <v>4205.1</v>
      </c>
      <c r="H392" s="22"/>
      <c r="I392" s="22"/>
    </row>
    <row r="393" spans="1:9" ht="57">
      <c r="A393" s="117" t="s">
        <v>734</v>
      </c>
      <c r="B393" s="282"/>
      <c r="C393" s="312" t="s">
        <v>121</v>
      </c>
      <c r="D393" s="312" t="s">
        <v>123</v>
      </c>
      <c r="E393" s="311" t="s">
        <v>735</v>
      </c>
      <c r="F393" s="313"/>
      <c r="G393" s="266">
        <f>SUM(G394)</f>
        <v>4033.7</v>
      </c>
      <c r="H393" s="22">
        <v>5387.8</v>
      </c>
      <c r="I393" s="22" t="e">
        <f>SUM(H393/#REF!*100)</f>
        <v>#REF!</v>
      </c>
    </row>
    <row r="394" spans="1:9" ht="15">
      <c r="A394" s="117" t="s">
        <v>500</v>
      </c>
      <c r="B394" s="282"/>
      <c r="C394" s="312" t="s">
        <v>121</v>
      </c>
      <c r="D394" s="312" t="s">
        <v>123</v>
      </c>
      <c r="E394" s="311" t="s">
        <v>735</v>
      </c>
      <c r="F394" s="313" t="s">
        <v>175</v>
      </c>
      <c r="G394" s="266">
        <f>1541.7+2492</f>
        <v>4033.7</v>
      </c>
      <c r="H394" s="22" t="e">
        <f>SUM(H395)</f>
        <v>#REF!</v>
      </c>
      <c r="I394" s="22" t="e">
        <f>SUM(H394/#REF!*100)</f>
        <v>#REF!</v>
      </c>
    </row>
    <row r="395" spans="1:9" ht="15">
      <c r="A395" s="121" t="s">
        <v>417</v>
      </c>
      <c r="B395" s="298"/>
      <c r="C395" s="299" t="s">
        <v>121</v>
      </c>
      <c r="D395" s="299" t="s">
        <v>407</v>
      </c>
      <c r="E395" s="283"/>
      <c r="F395" s="285"/>
      <c r="G395" s="266">
        <f>SUM(G396)</f>
        <v>7983.1</v>
      </c>
      <c r="H395" s="22" t="e">
        <f>SUM(H396)</f>
        <v>#REF!</v>
      </c>
      <c r="I395" s="22" t="e">
        <f>SUM(H395/#REF!*100)</f>
        <v>#REF!</v>
      </c>
    </row>
    <row r="396" spans="1:9" ht="15">
      <c r="A396" s="121" t="s">
        <v>419</v>
      </c>
      <c r="B396" s="282"/>
      <c r="C396" s="299" t="s">
        <v>121</v>
      </c>
      <c r="D396" s="299" t="s">
        <v>407</v>
      </c>
      <c r="E396" s="288" t="s">
        <v>420</v>
      </c>
      <c r="F396" s="285"/>
      <c r="G396" s="266">
        <f>SUM(G399)+G397</f>
        <v>7983.1</v>
      </c>
      <c r="H396" s="22" t="e">
        <f>SUM(#REF!+#REF!)</f>
        <v>#REF!</v>
      </c>
      <c r="I396" s="22" t="e">
        <f>SUM(H396/#REF!*100)</f>
        <v>#REF!</v>
      </c>
    </row>
    <row r="397" spans="1:9" ht="42.75">
      <c r="A397" s="121" t="s">
        <v>1046</v>
      </c>
      <c r="B397" s="282"/>
      <c r="C397" s="299" t="s">
        <v>121</v>
      </c>
      <c r="D397" s="299" t="s">
        <v>407</v>
      </c>
      <c r="E397" s="288" t="s">
        <v>1047</v>
      </c>
      <c r="F397" s="285"/>
      <c r="G397" s="266">
        <f>SUM(G398)</f>
        <v>3200</v>
      </c>
      <c r="H397" s="22"/>
      <c r="I397" s="22"/>
    </row>
    <row r="398" spans="1:9" ht="28.5">
      <c r="A398" s="121" t="s">
        <v>523</v>
      </c>
      <c r="B398" s="282"/>
      <c r="C398" s="299" t="s">
        <v>121</v>
      </c>
      <c r="D398" s="299" t="s">
        <v>407</v>
      </c>
      <c r="E398" s="288" t="s">
        <v>1047</v>
      </c>
      <c r="F398" s="285" t="s">
        <v>512</v>
      </c>
      <c r="G398" s="266">
        <v>3200</v>
      </c>
      <c r="H398" s="22"/>
      <c r="I398" s="22"/>
    </row>
    <row r="399" spans="1:9" ht="15">
      <c r="A399" s="121" t="s">
        <v>15</v>
      </c>
      <c r="B399" s="298"/>
      <c r="C399" s="299" t="s">
        <v>121</v>
      </c>
      <c r="D399" s="299" t="s">
        <v>407</v>
      </c>
      <c r="E399" s="299" t="s">
        <v>616</v>
      </c>
      <c r="F399" s="300"/>
      <c r="G399" s="343">
        <f>SUM(G400)+G402</f>
        <v>4783.1</v>
      </c>
      <c r="H399" s="22">
        <v>1711.3</v>
      </c>
      <c r="I399" s="22" t="e">
        <f>SUM(H399/#REF!*100)</f>
        <v>#REF!</v>
      </c>
    </row>
    <row r="400" spans="1:9" ht="28.5">
      <c r="A400" s="121" t="s">
        <v>204</v>
      </c>
      <c r="B400" s="298"/>
      <c r="C400" s="299" t="s">
        <v>121</v>
      </c>
      <c r="D400" s="299" t="s">
        <v>407</v>
      </c>
      <c r="E400" s="299" t="s">
        <v>617</v>
      </c>
      <c r="F400" s="300"/>
      <c r="G400" s="343">
        <f>G401</f>
        <v>4708.1</v>
      </c>
      <c r="H400" s="22">
        <v>53118.9</v>
      </c>
      <c r="I400" s="22" t="e">
        <f>SUM(H400/G412*100)</f>
        <v>#DIV/0!</v>
      </c>
    </row>
    <row r="401" spans="1:9" ht="27.75" customHeight="1">
      <c r="A401" s="121" t="s">
        <v>523</v>
      </c>
      <c r="B401" s="298"/>
      <c r="C401" s="299" t="s">
        <v>121</v>
      </c>
      <c r="D401" s="299" t="s">
        <v>407</v>
      </c>
      <c r="E401" s="299" t="s">
        <v>617</v>
      </c>
      <c r="F401" s="300" t="s">
        <v>512</v>
      </c>
      <c r="G401" s="343">
        <v>4708.1</v>
      </c>
      <c r="H401" s="22">
        <v>27.5</v>
      </c>
      <c r="I401" s="22" t="e">
        <f>SUM(H401/G417*100)</f>
        <v>#DIV/0!</v>
      </c>
    </row>
    <row r="402" spans="1:9" ht="15">
      <c r="A402" s="121" t="s">
        <v>153</v>
      </c>
      <c r="B402" s="298"/>
      <c r="C402" s="299" t="s">
        <v>121</v>
      </c>
      <c r="D402" s="299" t="s">
        <v>407</v>
      </c>
      <c r="E402" s="299" t="s">
        <v>736</v>
      </c>
      <c r="F402" s="300"/>
      <c r="G402" s="343">
        <f>SUM(G403)</f>
        <v>75</v>
      </c>
      <c r="H402" s="22"/>
      <c r="I402" s="22"/>
    </row>
    <row r="403" spans="1:9" ht="15">
      <c r="A403" s="180" t="s">
        <v>153</v>
      </c>
      <c r="B403" s="298"/>
      <c r="C403" s="299" t="s">
        <v>121</v>
      </c>
      <c r="D403" s="299" t="s">
        <v>407</v>
      </c>
      <c r="E403" s="299" t="s">
        <v>737</v>
      </c>
      <c r="F403" s="300"/>
      <c r="G403" s="343">
        <f>SUM(G404)</f>
        <v>75</v>
      </c>
      <c r="H403" s="22"/>
      <c r="I403" s="22"/>
    </row>
    <row r="404" spans="1:9" ht="28.5">
      <c r="A404" s="122" t="s">
        <v>523</v>
      </c>
      <c r="B404" s="298"/>
      <c r="C404" s="299" t="s">
        <v>121</v>
      </c>
      <c r="D404" s="299" t="s">
        <v>407</v>
      </c>
      <c r="E404" s="299" t="s">
        <v>737</v>
      </c>
      <c r="F404" s="300" t="s">
        <v>512</v>
      </c>
      <c r="G404" s="343">
        <v>75</v>
      </c>
      <c r="H404" s="22"/>
      <c r="I404" s="22"/>
    </row>
    <row r="405" spans="1:9" ht="15">
      <c r="A405" s="117" t="s">
        <v>115</v>
      </c>
      <c r="B405" s="282"/>
      <c r="C405" s="283" t="s">
        <v>116</v>
      </c>
      <c r="D405" s="283"/>
      <c r="E405" s="283"/>
      <c r="F405" s="284"/>
      <c r="G405" s="266">
        <f>SUM(G406+G426)+G433</f>
        <v>64313.7</v>
      </c>
      <c r="H405" s="22">
        <f>SUM(H406)</f>
        <v>25635</v>
      </c>
      <c r="I405" s="22">
        <f>SUM(H405/G418*100)</f>
        <v>40.019232960798796</v>
      </c>
    </row>
    <row r="406" spans="1:9" ht="15">
      <c r="A406" s="117" t="s">
        <v>342</v>
      </c>
      <c r="B406" s="282"/>
      <c r="C406" s="288" t="s">
        <v>116</v>
      </c>
      <c r="D406" s="288" t="s">
        <v>461</v>
      </c>
      <c r="E406" s="283"/>
      <c r="F406" s="284"/>
      <c r="G406" s="266">
        <f>SUM(G407+G410+G413+G423)</f>
        <v>64306.7</v>
      </c>
      <c r="H406" s="22">
        <v>25635</v>
      </c>
      <c r="I406" s="22">
        <f>SUM(H406/G419*100)</f>
        <v>59.42983523782366</v>
      </c>
    </row>
    <row r="407" spans="1:9" ht="15" hidden="1">
      <c r="A407" s="117" t="s">
        <v>343</v>
      </c>
      <c r="B407" s="289"/>
      <c r="C407" s="288" t="s">
        <v>116</v>
      </c>
      <c r="D407" s="288" t="s">
        <v>461</v>
      </c>
      <c r="E407" s="288" t="s">
        <v>344</v>
      </c>
      <c r="F407" s="285"/>
      <c r="G407" s="266">
        <f>SUM(G408)</f>
        <v>0</v>
      </c>
      <c r="H407" s="22" t="e">
        <f>SUM(H408)</f>
        <v>#REF!</v>
      </c>
      <c r="I407" s="22" t="e">
        <f aca="true" t="shared" si="7" ref="I407:I414">SUM(H407/G423*100)</f>
        <v>#REF!</v>
      </c>
    </row>
    <row r="408" spans="1:9" ht="28.5" hidden="1">
      <c r="A408" s="117" t="s">
        <v>56</v>
      </c>
      <c r="B408" s="289"/>
      <c r="C408" s="288" t="s">
        <v>116</v>
      </c>
      <c r="D408" s="288" t="s">
        <v>461</v>
      </c>
      <c r="E408" s="288" t="s">
        <v>345</v>
      </c>
      <c r="F408" s="285"/>
      <c r="G408" s="266">
        <f>SUM(G409)</f>
        <v>0</v>
      </c>
      <c r="H408" s="22" t="e">
        <f>SUM(#REF!+H411+H413)</f>
        <v>#REF!</v>
      </c>
      <c r="I408" s="22" t="e">
        <f t="shared" si="7"/>
        <v>#REF!</v>
      </c>
    </row>
    <row r="409" spans="1:9" ht="15" hidden="1">
      <c r="A409" s="122" t="s">
        <v>57</v>
      </c>
      <c r="B409" s="326"/>
      <c r="C409" s="288" t="s">
        <v>116</v>
      </c>
      <c r="D409" s="288" t="s">
        <v>461</v>
      </c>
      <c r="E409" s="288" t="s">
        <v>345</v>
      </c>
      <c r="F409" s="286" t="s">
        <v>246</v>
      </c>
      <c r="G409" s="266"/>
      <c r="H409" s="22">
        <v>25635</v>
      </c>
      <c r="I409" s="22" t="e">
        <f t="shared" si="7"/>
        <v>#DIV/0!</v>
      </c>
    </row>
    <row r="410" spans="1:9" ht="15" hidden="1">
      <c r="A410" s="117" t="s">
        <v>319</v>
      </c>
      <c r="B410" s="282"/>
      <c r="C410" s="288" t="s">
        <v>116</v>
      </c>
      <c r="D410" s="288" t="s">
        <v>461</v>
      </c>
      <c r="E410" s="288" t="s">
        <v>320</v>
      </c>
      <c r="F410" s="285"/>
      <c r="G410" s="266">
        <f>SUM(G411)</f>
        <v>0</v>
      </c>
      <c r="H410" s="22">
        <f>SUM(H424+H411)</f>
        <v>0</v>
      </c>
      <c r="I410" s="22" t="e">
        <f t="shared" si="7"/>
        <v>#DIV/0!</v>
      </c>
    </row>
    <row r="411" spans="1:9" ht="28.5" hidden="1">
      <c r="A411" s="117" t="s">
        <v>56</v>
      </c>
      <c r="B411" s="289"/>
      <c r="C411" s="288" t="s">
        <v>116</v>
      </c>
      <c r="D411" s="288" t="s">
        <v>461</v>
      </c>
      <c r="E411" s="288" t="s">
        <v>321</v>
      </c>
      <c r="F411" s="285"/>
      <c r="G411" s="266">
        <f>SUM(G412)</f>
        <v>0</v>
      </c>
      <c r="H411" s="22">
        <f>SUM(H412)</f>
        <v>0</v>
      </c>
      <c r="I411" s="22" t="e">
        <f t="shared" si="7"/>
        <v>#DIV/0!</v>
      </c>
    </row>
    <row r="412" spans="1:9" ht="15" hidden="1">
      <c r="A412" s="122" t="s">
        <v>57</v>
      </c>
      <c r="B412" s="326"/>
      <c r="C412" s="288" t="s">
        <v>116</v>
      </c>
      <c r="D412" s="288" t="s">
        <v>461</v>
      </c>
      <c r="E412" s="288" t="s">
        <v>321</v>
      </c>
      <c r="F412" s="286" t="s">
        <v>246</v>
      </c>
      <c r="G412" s="266"/>
      <c r="H412" s="22">
        <f>SUM(H413)</f>
        <v>0</v>
      </c>
      <c r="I412" s="22" t="e">
        <f t="shared" si="7"/>
        <v>#DIV/0!</v>
      </c>
    </row>
    <row r="413" spans="1:9" ht="15">
      <c r="A413" s="117" t="s">
        <v>322</v>
      </c>
      <c r="B413" s="282"/>
      <c r="C413" s="288" t="s">
        <v>116</v>
      </c>
      <c r="D413" s="288" t="s">
        <v>461</v>
      </c>
      <c r="E413" s="288" t="s">
        <v>323</v>
      </c>
      <c r="F413" s="284"/>
      <c r="G413" s="266">
        <f>SUM(G414)</f>
        <v>64306.7</v>
      </c>
      <c r="H413" s="22"/>
      <c r="I413" s="22" t="e">
        <f t="shared" si="7"/>
        <v>#DIV/0!</v>
      </c>
    </row>
    <row r="414" spans="1:9" ht="28.5">
      <c r="A414" s="117" t="s">
        <v>56</v>
      </c>
      <c r="B414" s="282"/>
      <c r="C414" s="288" t="s">
        <v>116</v>
      </c>
      <c r="D414" s="288" t="s">
        <v>461</v>
      </c>
      <c r="E414" s="288" t="s">
        <v>324</v>
      </c>
      <c r="F414" s="284"/>
      <c r="G414" s="266">
        <f>SUM(G418+G416+G415)</f>
        <v>64306.7</v>
      </c>
      <c r="H414" s="22" t="e">
        <f>SUM(#REF!)</f>
        <v>#REF!</v>
      </c>
      <c r="I414" s="22" t="e">
        <f t="shared" si="7"/>
        <v>#REF!</v>
      </c>
    </row>
    <row r="415" spans="1:9" ht="14.25" customHeight="1">
      <c r="A415" s="117" t="s">
        <v>499</v>
      </c>
      <c r="B415" s="282"/>
      <c r="C415" s="288" t="s">
        <v>116</v>
      </c>
      <c r="D415" s="288" t="s">
        <v>461</v>
      </c>
      <c r="E415" s="283" t="s">
        <v>324</v>
      </c>
      <c r="F415" s="285" t="s">
        <v>119</v>
      </c>
      <c r="G415" s="266">
        <v>250</v>
      </c>
      <c r="H415" s="22"/>
      <c r="I415" s="22"/>
    </row>
    <row r="416" spans="1:9" ht="42.75" hidden="1">
      <c r="A416" s="122" t="s">
        <v>62</v>
      </c>
      <c r="B416" s="326"/>
      <c r="C416" s="288" t="s">
        <v>116</v>
      </c>
      <c r="D416" s="288" t="s">
        <v>461</v>
      </c>
      <c r="E416" s="288" t="s">
        <v>325</v>
      </c>
      <c r="F416" s="286"/>
      <c r="G416" s="266">
        <f>SUM(G417)</f>
        <v>0</v>
      </c>
      <c r="H416" s="22"/>
      <c r="I416" s="22"/>
    </row>
    <row r="417" spans="1:9" ht="15" hidden="1">
      <c r="A417" s="122" t="s">
        <v>57</v>
      </c>
      <c r="B417" s="326"/>
      <c r="C417" s="288" t="s">
        <v>116</v>
      </c>
      <c r="D417" s="288" t="s">
        <v>461</v>
      </c>
      <c r="E417" s="288" t="s">
        <v>325</v>
      </c>
      <c r="F417" s="286" t="s">
        <v>246</v>
      </c>
      <c r="G417" s="266"/>
      <c r="H417" s="22" t="e">
        <f>SUM(H424+H428+#REF!+#REF!+H421)</f>
        <v>#REF!</v>
      </c>
      <c r="I417" s="22" t="e">
        <f>SUM(H417/#REF!*100)</f>
        <v>#REF!</v>
      </c>
    </row>
    <row r="418" spans="1:9" ht="57">
      <c r="A418" s="117" t="s">
        <v>466</v>
      </c>
      <c r="B418" s="282"/>
      <c r="C418" s="288" t="s">
        <v>116</v>
      </c>
      <c r="D418" s="288" t="s">
        <v>461</v>
      </c>
      <c r="E418" s="288" t="s">
        <v>328</v>
      </c>
      <c r="F418" s="284"/>
      <c r="G418" s="266">
        <f>SUM(G419:G422)</f>
        <v>64056.7</v>
      </c>
      <c r="H418" s="22"/>
      <c r="I418" s="22"/>
    </row>
    <row r="419" spans="1:9" ht="28.5">
      <c r="A419" s="117" t="s">
        <v>494</v>
      </c>
      <c r="B419" s="282"/>
      <c r="C419" s="288" t="s">
        <v>116</v>
      </c>
      <c r="D419" s="288" t="s">
        <v>461</v>
      </c>
      <c r="E419" s="288" t="s">
        <v>328</v>
      </c>
      <c r="F419" s="284" t="s">
        <v>495</v>
      </c>
      <c r="G419" s="266">
        <v>43134.9</v>
      </c>
      <c r="H419" s="22"/>
      <c r="I419" s="22"/>
    </row>
    <row r="420" spans="1:9" ht="14.25" customHeight="1">
      <c r="A420" s="117" t="s">
        <v>499</v>
      </c>
      <c r="B420" s="282"/>
      <c r="C420" s="288" t="s">
        <v>116</v>
      </c>
      <c r="D420" s="288" t="s">
        <v>461</v>
      </c>
      <c r="E420" s="288" t="s">
        <v>328</v>
      </c>
      <c r="F420" s="284" t="s">
        <v>119</v>
      </c>
      <c r="G420" s="266">
        <v>20207.8</v>
      </c>
      <c r="H420" s="22"/>
      <c r="I420" s="22"/>
    </row>
    <row r="421" spans="1:9" ht="15">
      <c r="A421" s="117" t="s">
        <v>504</v>
      </c>
      <c r="B421" s="282"/>
      <c r="C421" s="288" t="s">
        <v>116</v>
      </c>
      <c r="D421" s="288" t="s">
        <v>461</v>
      </c>
      <c r="E421" s="288" t="s">
        <v>328</v>
      </c>
      <c r="F421" s="284" t="s">
        <v>505</v>
      </c>
      <c r="G421" s="266">
        <v>26.9</v>
      </c>
      <c r="H421" s="22">
        <f>SUM(H422)</f>
        <v>17823.6</v>
      </c>
      <c r="I421" s="22" t="e">
        <f>SUM(H421/#REF!*100)</f>
        <v>#REF!</v>
      </c>
    </row>
    <row r="422" spans="1:9" ht="15">
      <c r="A422" s="117" t="s">
        <v>500</v>
      </c>
      <c r="B422" s="282"/>
      <c r="C422" s="288" t="s">
        <v>116</v>
      </c>
      <c r="D422" s="288" t="s">
        <v>461</v>
      </c>
      <c r="E422" s="288" t="s">
        <v>328</v>
      </c>
      <c r="F422" s="284" t="s">
        <v>175</v>
      </c>
      <c r="G422" s="266">
        <v>687.1</v>
      </c>
      <c r="H422" s="22">
        <f>SUM(H423+H424+H426)</f>
        <v>17823.6</v>
      </c>
      <c r="I422" s="22" t="e">
        <f>SUM(H422/#REF!*100)</f>
        <v>#REF!</v>
      </c>
    </row>
    <row r="423" spans="1:9" ht="15" hidden="1">
      <c r="A423" s="117" t="s">
        <v>329</v>
      </c>
      <c r="B423" s="292"/>
      <c r="C423" s="288" t="s">
        <v>116</v>
      </c>
      <c r="D423" s="288" t="s">
        <v>461</v>
      </c>
      <c r="E423" s="288" t="s">
        <v>330</v>
      </c>
      <c r="F423" s="285"/>
      <c r="G423" s="266">
        <f>SUM(G424)</f>
        <v>0</v>
      </c>
      <c r="H423" s="22">
        <v>17823.6</v>
      </c>
      <c r="I423" s="22" t="e">
        <f>SUM(H423/#REF!*100)</f>
        <v>#REF!</v>
      </c>
    </row>
    <row r="424" spans="1:9" ht="28.5" hidden="1">
      <c r="A424" s="117" t="s">
        <v>56</v>
      </c>
      <c r="B424" s="289"/>
      <c r="C424" s="288" t="s">
        <v>116</v>
      </c>
      <c r="D424" s="288" t="s">
        <v>461</v>
      </c>
      <c r="E424" s="288" t="s">
        <v>331</v>
      </c>
      <c r="F424" s="285"/>
      <c r="G424" s="266">
        <f>SUM(G425)</f>
        <v>0</v>
      </c>
      <c r="H424" s="22">
        <f>SUM(H425)</f>
        <v>0</v>
      </c>
      <c r="I424" s="22" t="e">
        <f>SUM(H424/#REF!*100)</f>
        <v>#REF!</v>
      </c>
    </row>
    <row r="425" spans="1:9" ht="15" hidden="1">
      <c r="A425" s="122" t="s">
        <v>57</v>
      </c>
      <c r="B425" s="282"/>
      <c r="C425" s="288" t="s">
        <v>116</v>
      </c>
      <c r="D425" s="288" t="s">
        <v>461</v>
      </c>
      <c r="E425" s="288" t="s">
        <v>331</v>
      </c>
      <c r="F425" s="284" t="s">
        <v>246</v>
      </c>
      <c r="G425" s="266"/>
      <c r="H425" s="22">
        <f>SUM(H426)</f>
        <v>0</v>
      </c>
      <c r="I425" s="22" t="e">
        <f>SUM(H425/#REF!*100)</f>
        <v>#REF!</v>
      </c>
    </row>
    <row r="426" spans="1:9" s="111" customFormat="1" ht="15" hidden="1">
      <c r="A426" s="117" t="s">
        <v>117</v>
      </c>
      <c r="B426" s="282"/>
      <c r="C426" s="283" t="s">
        <v>116</v>
      </c>
      <c r="D426" s="283" t="s">
        <v>116</v>
      </c>
      <c r="E426" s="288"/>
      <c r="F426" s="284"/>
      <c r="G426" s="266">
        <f>SUM(G427+G430)</f>
        <v>0</v>
      </c>
      <c r="H426" s="22"/>
      <c r="I426" s="22" t="e">
        <f>SUM(H426/#REF!*100)</f>
        <v>#REF!</v>
      </c>
    </row>
    <row r="427" spans="1:9" s="111" customFormat="1" ht="15" hidden="1">
      <c r="A427" s="121" t="s">
        <v>224</v>
      </c>
      <c r="B427" s="292"/>
      <c r="C427" s="288" t="s">
        <v>116</v>
      </c>
      <c r="D427" s="288" t="s">
        <v>116</v>
      </c>
      <c r="E427" s="288" t="s">
        <v>225</v>
      </c>
      <c r="F427" s="285"/>
      <c r="G427" s="266">
        <f>SUM(G428)</f>
        <v>0</v>
      </c>
      <c r="H427" s="22">
        <f>SUM(H428)</f>
        <v>119.8</v>
      </c>
      <c r="I427" s="22" t="e">
        <f>SUM(H427/#REF!*100)</f>
        <v>#REF!</v>
      </c>
    </row>
    <row r="428" spans="1:9" s="111" customFormat="1" ht="28.5" hidden="1">
      <c r="A428" s="117" t="s">
        <v>56</v>
      </c>
      <c r="B428" s="292"/>
      <c r="C428" s="288" t="s">
        <v>116</v>
      </c>
      <c r="D428" s="288" t="s">
        <v>116</v>
      </c>
      <c r="E428" s="288" t="s">
        <v>228</v>
      </c>
      <c r="F428" s="285"/>
      <c r="G428" s="266">
        <f>SUM(G429)</f>
        <v>0</v>
      </c>
      <c r="H428" s="22">
        <f>SUM(H429)</f>
        <v>119.8</v>
      </c>
      <c r="I428" s="22" t="e">
        <f>SUM(H428/#REF!*100)</f>
        <v>#REF!</v>
      </c>
    </row>
    <row r="429" spans="1:9" s="111" customFormat="1" ht="15" hidden="1">
      <c r="A429" s="122" t="s">
        <v>57</v>
      </c>
      <c r="B429" s="292"/>
      <c r="C429" s="288" t="s">
        <v>116</v>
      </c>
      <c r="D429" s="288" t="s">
        <v>116</v>
      </c>
      <c r="E429" s="288" t="s">
        <v>228</v>
      </c>
      <c r="F429" s="285" t="s">
        <v>246</v>
      </c>
      <c r="G429" s="266"/>
      <c r="H429" s="22">
        <v>119.8</v>
      </c>
      <c r="I429" s="22" t="e">
        <f>SUM(H429/#REF!*100)</f>
        <v>#REF!</v>
      </c>
    </row>
    <row r="430" spans="1:9" ht="15" hidden="1">
      <c r="A430" s="122" t="s">
        <v>127</v>
      </c>
      <c r="B430" s="327"/>
      <c r="C430" s="288" t="s">
        <v>116</v>
      </c>
      <c r="D430" s="288" t="s">
        <v>116</v>
      </c>
      <c r="E430" s="288" t="s">
        <v>128</v>
      </c>
      <c r="F430" s="286"/>
      <c r="G430" s="266">
        <f>SUM(G431)</f>
        <v>0</v>
      </c>
      <c r="H430" s="22" t="e">
        <f>SUM(#REF!+H440)</f>
        <v>#REF!</v>
      </c>
      <c r="I430" s="22" t="e">
        <f>SUM(H430/#REF!*100)</f>
        <v>#REF!</v>
      </c>
    </row>
    <row r="431" spans="1:9" ht="42.75" hidden="1">
      <c r="A431" s="125" t="s">
        <v>368</v>
      </c>
      <c r="B431" s="327"/>
      <c r="C431" s="288" t="s">
        <v>116</v>
      </c>
      <c r="D431" s="288" t="s">
        <v>116</v>
      </c>
      <c r="E431" s="288" t="s">
        <v>367</v>
      </c>
      <c r="F431" s="286"/>
      <c r="G431" s="266">
        <f>SUM(G432)</f>
        <v>0</v>
      </c>
      <c r="H431" s="22"/>
      <c r="I431" s="22"/>
    </row>
    <row r="432" spans="1:9" ht="15" hidden="1">
      <c r="A432" s="122" t="s">
        <v>222</v>
      </c>
      <c r="B432" s="327"/>
      <c r="C432" s="288" t="s">
        <v>116</v>
      </c>
      <c r="D432" s="288" t="s">
        <v>116</v>
      </c>
      <c r="E432" s="288" t="s">
        <v>367</v>
      </c>
      <c r="F432" s="286" t="s">
        <v>223</v>
      </c>
      <c r="G432" s="266"/>
      <c r="H432" s="22"/>
      <c r="I432" s="22"/>
    </row>
    <row r="433" spans="1:9" ht="15">
      <c r="A433" s="122" t="s">
        <v>230</v>
      </c>
      <c r="B433" s="327"/>
      <c r="C433" s="288" t="s">
        <v>116</v>
      </c>
      <c r="D433" s="288" t="s">
        <v>299</v>
      </c>
      <c r="E433" s="288"/>
      <c r="F433" s="286"/>
      <c r="G433" s="266">
        <f>SUM(G434)</f>
        <v>7</v>
      </c>
      <c r="H433" s="22"/>
      <c r="I433" s="22"/>
    </row>
    <row r="434" spans="1:9" ht="15">
      <c r="A434" s="122" t="s">
        <v>680</v>
      </c>
      <c r="B434" s="327"/>
      <c r="C434" s="288" t="s">
        <v>116</v>
      </c>
      <c r="D434" s="288" t="s">
        <v>299</v>
      </c>
      <c r="E434" s="288" t="s">
        <v>682</v>
      </c>
      <c r="F434" s="286"/>
      <c r="G434" s="266">
        <f>SUM(G435)</f>
        <v>7</v>
      </c>
      <c r="H434" s="22"/>
      <c r="I434" s="22"/>
    </row>
    <row r="435" spans="1:9" ht="28.5">
      <c r="A435" s="122" t="s">
        <v>681</v>
      </c>
      <c r="B435" s="327"/>
      <c r="C435" s="288" t="s">
        <v>116</v>
      </c>
      <c r="D435" s="288" t="s">
        <v>299</v>
      </c>
      <c r="E435" s="288" t="s">
        <v>683</v>
      </c>
      <c r="F435" s="286"/>
      <c r="G435" s="266">
        <f>SUM(G436)</f>
        <v>7</v>
      </c>
      <c r="H435" s="22" t="e">
        <f>SUM(H436+H438)</f>
        <v>#REF!</v>
      </c>
      <c r="I435" s="22" t="e">
        <f>SUM(H435/G448*100)</f>
        <v>#REF!</v>
      </c>
    </row>
    <row r="436" spans="1:9" ht="28.5">
      <c r="A436" s="117" t="s">
        <v>494</v>
      </c>
      <c r="B436" s="327"/>
      <c r="C436" s="288" t="s">
        <v>116</v>
      </c>
      <c r="D436" s="288" t="s">
        <v>299</v>
      </c>
      <c r="E436" s="288" t="s">
        <v>683</v>
      </c>
      <c r="F436" s="286" t="s">
        <v>495</v>
      </c>
      <c r="G436" s="266">
        <v>7</v>
      </c>
      <c r="H436" s="22" t="e">
        <f>SUM(#REF!)</f>
        <v>#REF!</v>
      </c>
      <c r="I436" s="22" t="e">
        <f>SUM(H436/G449*100)</f>
        <v>#REF!</v>
      </c>
    </row>
    <row r="437" spans="1:9" ht="15">
      <c r="A437" s="117" t="s">
        <v>187</v>
      </c>
      <c r="B437" s="282"/>
      <c r="C437" s="283" t="s">
        <v>5</v>
      </c>
      <c r="D437" s="283"/>
      <c r="E437" s="283"/>
      <c r="F437" s="284"/>
      <c r="G437" s="266">
        <f>SUM(G438+G442+G456+G527+G539)</f>
        <v>822778.7999999998</v>
      </c>
      <c r="H437" s="22"/>
      <c r="I437" s="22"/>
    </row>
    <row r="438" spans="1:9" ht="15">
      <c r="A438" s="117" t="s">
        <v>189</v>
      </c>
      <c r="B438" s="282"/>
      <c r="C438" s="283" t="s">
        <v>5</v>
      </c>
      <c r="D438" s="283" t="s">
        <v>459</v>
      </c>
      <c r="E438" s="283"/>
      <c r="F438" s="284"/>
      <c r="G438" s="266">
        <f>SUM(G439)</f>
        <v>4209.9</v>
      </c>
      <c r="H438" s="22">
        <f>SUM(H439)</f>
        <v>16618.3</v>
      </c>
      <c r="I438" s="22">
        <f>SUM(H438/G452*100)</f>
        <v>32.56434172933951</v>
      </c>
    </row>
    <row r="439" spans="1:9" ht="15">
      <c r="A439" s="117" t="s">
        <v>190</v>
      </c>
      <c r="B439" s="282"/>
      <c r="C439" s="283" t="s">
        <v>5</v>
      </c>
      <c r="D439" s="283" t="s">
        <v>459</v>
      </c>
      <c r="E439" s="283" t="s">
        <v>191</v>
      </c>
      <c r="F439" s="284"/>
      <c r="G439" s="266">
        <f>SUM(G440)</f>
        <v>4209.9</v>
      </c>
      <c r="H439" s="22">
        <v>16618.3</v>
      </c>
      <c r="I439" s="22" t="e">
        <f>SUM(H439/#REF!*100)</f>
        <v>#REF!</v>
      </c>
    </row>
    <row r="440" spans="1:9" ht="28.5">
      <c r="A440" s="117" t="s">
        <v>192</v>
      </c>
      <c r="B440" s="282"/>
      <c r="C440" s="283" t="s">
        <v>5</v>
      </c>
      <c r="D440" s="283" t="s">
        <v>459</v>
      </c>
      <c r="E440" s="283" t="s">
        <v>193</v>
      </c>
      <c r="F440" s="284"/>
      <c r="G440" s="266">
        <f>SUM(G441)</f>
        <v>4209.9</v>
      </c>
      <c r="H440" s="22" t="e">
        <f>SUM(H444+H504+H508+H441)</f>
        <v>#REF!</v>
      </c>
      <c r="I440" s="22" t="e">
        <f>SUM(H440/G456*100)</f>
        <v>#REF!</v>
      </c>
    </row>
    <row r="441" spans="1:9" ht="15">
      <c r="A441" s="117" t="s">
        <v>504</v>
      </c>
      <c r="B441" s="282"/>
      <c r="C441" s="283" t="s">
        <v>5</v>
      </c>
      <c r="D441" s="283" t="s">
        <v>459</v>
      </c>
      <c r="E441" s="283" t="s">
        <v>193</v>
      </c>
      <c r="F441" s="284" t="s">
        <v>505</v>
      </c>
      <c r="G441" s="266">
        <v>4209.9</v>
      </c>
      <c r="H441" s="22">
        <f>SUM(H443)</f>
        <v>200</v>
      </c>
      <c r="I441" s="22" t="e">
        <f>SUM(H441/G457*100)</f>
        <v>#DIV/0!</v>
      </c>
    </row>
    <row r="442" spans="1:9" ht="14.25" customHeight="1">
      <c r="A442" s="117" t="s">
        <v>194</v>
      </c>
      <c r="B442" s="282"/>
      <c r="C442" s="288" t="s">
        <v>5</v>
      </c>
      <c r="D442" s="288" t="s">
        <v>461</v>
      </c>
      <c r="E442" s="283"/>
      <c r="F442" s="284"/>
      <c r="G442" s="266">
        <f>SUM(G443+G448)</f>
        <v>53323.6</v>
      </c>
      <c r="H442" s="22">
        <f>SUM(H443)</f>
        <v>200</v>
      </c>
      <c r="I442" s="22" t="e">
        <f>SUM(H442/G458*100)</f>
        <v>#DIV/0!</v>
      </c>
    </row>
    <row r="443" spans="1:9" ht="15" hidden="1">
      <c r="A443" s="126" t="s">
        <v>74</v>
      </c>
      <c r="B443" s="282"/>
      <c r="C443" s="288" t="s">
        <v>5</v>
      </c>
      <c r="D443" s="288" t="s">
        <v>461</v>
      </c>
      <c r="E443" s="288" t="s">
        <v>75</v>
      </c>
      <c r="F443" s="285"/>
      <c r="G443" s="266"/>
      <c r="H443" s="22">
        <v>200</v>
      </c>
      <c r="I443" s="22" t="e">
        <f>SUM(H443/G459*100)</f>
        <v>#DIV/0!</v>
      </c>
    </row>
    <row r="444" spans="1:9" ht="28.5" hidden="1">
      <c r="A444" s="126" t="s">
        <v>17</v>
      </c>
      <c r="B444" s="282"/>
      <c r="C444" s="288" t="s">
        <v>5</v>
      </c>
      <c r="D444" s="288" t="s">
        <v>461</v>
      </c>
      <c r="E444" s="288" t="s">
        <v>18</v>
      </c>
      <c r="F444" s="285"/>
      <c r="G444" s="266">
        <f>SUM(G445+G446)</f>
        <v>0</v>
      </c>
      <c r="H444" s="22" t="e">
        <f>SUM(H445+H447+H449+H455+H457+#REF!+#REF!+#REF!+#REF!+H475+#REF!+#REF!+#REF!+#REF!+#REF!+#REF!+#REF!+#REF!+#REF!+#REF!+H452)</f>
        <v>#REF!</v>
      </c>
      <c r="I444" s="22" t="e">
        <f>SUM(H444/G460*100)</f>
        <v>#REF!</v>
      </c>
    </row>
    <row r="445" spans="1:9" ht="24" customHeight="1" hidden="1">
      <c r="A445" s="121" t="s">
        <v>245</v>
      </c>
      <c r="B445" s="282"/>
      <c r="C445" s="288" t="s">
        <v>5</v>
      </c>
      <c r="D445" s="288" t="s">
        <v>461</v>
      </c>
      <c r="E445" s="288" t="s">
        <v>18</v>
      </c>
      <c r="F445" s="285" t="s">
        <v>246</v>
      </c>
      <c r="G445" s="266"/>
      <c r="H445" s="22">
        <f>SUM(H446:H446)</f>
        <v>0</v>
      </c>
      <c r="I445" s="22" t="e">
        <f>SUM(H445/#REF!*100)</f>
        <v>#REF!</v>
      </c>
    </row>
    <row r="446" spans="1:9" ht="28.5" hidden="1">
      <c r="A446" s="126" t="s">
        <v>19</v>
      </c>
      <c r="B446" s="282"/>
      <c r="C446" s="288" t="s">
        <v>5</v>
      </c>
      <c r="D446" s="288" t="s">
        <v>461</v>
      </c>
      <c r="E446" s="288" t="s">
        <v>20</v>
      </c>
      <c r="F446" s="285"/>
      <c r="G446" s="266">
        <f>SUM(G447)</f>
        <v>0</v>
      </c>
      <c r="H446" s="22"/>
      <c r="I446" s="22" t="e">
        <f>SUM(H446/#REF!*100)</f>
        <v>#REF!</v>
      </c>
    </row>
    <row r="447" spans="1:9" ht="15" hidden="1">
      <c r="A447" s="121" t="s">
        <v>245</v>
      </c>
      <c r="B447" s="282"/>
      <c r="C447" s="288" t="s">
        <v>5</v>
      </c>
      <c r="D447" s="288" t="s">
        <v>461</v>
      </c>
      <c r="E447" s="288" t="s">
        <v>20</v>
      </c>
      <c r="F447" s="285" t="s">
        <v>246</v>
      </c>
      <c r="G447" s="266"/>
      <c r="H447" s="22">
        <f>SUM(H448:H448)</f>
        <v>0</v>
      </c>
      <c r="I447" s="22" t="e">
        <f>SUM(H447/#REF!*100)</f>
        <v>#REF!</v>
      </c>
    </row>
    <row r="448" spans="1:9" ht="15">
      <c r="A448" s="126" t="s">
        <v>74</v>
      </c>
      <c r="B448" s="282"/>
      <c r="C448" s="288" t="s">
        <v>5</v>
      </c>
      <c r="D448" s="288" t="s">
        <v>461</v>
      </c>
      <c r="E448" s="288" t="s">
        <v>21</v>
      </c>
      <c r="F448" s="285"/>
      <c r="G448" s="266">
        <f>SUM(G449+G452)</f>
        <v>53323.6</v>
      </c>
      <c r="H448" s="22"/>
      <c r="I448" s="22" t="e">
        <f>SUM(H448/#REF!*100)</f>
        <v>#REF!</v>
      </c>
    </row>
    <row r="449" spans="1:9" ht="28.5">
      <c r="A449" s="121" t="s">
        <v>56</v>
      </c>
      <c r="B449" s="282"/>
      <c r="C449" s="288" t="s">
        <v>5</v>
      </c>
      <c r="D449" s="288" t="s">
        <v>461</v>
      </c>
      <c r="E449" s="288" t="s">
        <v>22</v>
      </c>
      <c r="F449" s="285"/>
      <c r="G449" s="266">
        <f>SUM(G450:G451)</f>
        <v>2291.4</v>
      </c>
      <c r="H449" s="22" t="e">
        <f>SUM(#REF!)</f>
        <v>#REF!</v>
      </c>
      <c r="I449" s="22" t="e">
        <f>SUM(H449/#REF!*100)</f>
        <v>#REF!</v>
      </c>
    </row>
    <row r="450" spans="1:9" ht="28.5">
      <c r="A450" s="117" t="s">
        <v>494</v>
      </c>
      <c r="B450" s="282"/>
      <c r="C450" s="288" t="s">
        <v>5</v>
      </c>
      <c r="D450" s="288" t="s">
        <v>461</v>
      </c>
      <c r="E450" s="288" t="s">
        <v>22</v>
      </c>
      <c r="F450" s="284" t="s">
        <v>495</v>
      </c>
      <c r="G450" s="266">
        <v>907.7</v>
      </c>
      <c r="H450" s="22">
        <v>634.3</v>
      </c>
      <c r="I450" s="22" t="e">
        <f>SUM(H450/#REF!*100)</f>
        <v>#REF!</v>
      </c>
    </row>
    <row r="451" spans="1:9" ht="15">
      <c r="A451" s="117" t="s">
        <v>499</v>
      </c>
      <c r="B451" s="282"/>
      <c r="C451" s="288" t="s">
        <v>5</v>
      </c>
      <c r="D451" s="288" t="s">
        <v>461</v>
      </c>
      <c r="E451" s="288" t="s">
        <v>22</v>
      </c>
      <c r="F451" s="284" t="s">
        <v>119</v>
      </c>
      <c r="G451" s="266">
        <v>1383.7</v>
      </c>
      <c r="H451" s="22"/>
      <c r="I451" s="22"/>
    </row>
    <row r="452" spans="1:9" ht="28.5">
      <c r="A452" s="121" t="s">
        <v>23</v>
      </c>
      <c r="B452" s="282"/>
      <c r="C452" s="288" t="s">
        <v>5</v>
      </c>
      <c r="D452" s="288" t="s">
        <v>461</v>
      </c>
      <c r="E452" s="288" t="s">
        <v>24</v>
      </c>
      <c r="F452" s="285"/>
      <c r="G452" s="266">
        <f>SUM(G453:G455)</f>
        <v>51032.2</v>
      </c>
      <c r="H452" s="22">
        <f>SUM(H453)</f>
        <v>542.8</v>
      </c>
      <c r="I452" s="22" t="e">
        <f>SUM(H452/#REF!*100)</f>
        <v>#REF!</v>
      </c>
    </row>
    <row r="453" spans="1:9" ht="28.5">
      <c r="A453" s="117" t="s">
        <v>494</v>
      </c>
      <c r="B453" s="282"/>
      <c r="C453" s="288" t="s">
        <v>5</v>
      </c>
      <c r="D453" s="288" t="s">
        <v>461</v>
      </c>
      <c r="E453" s="288" t="s">
        <v>24</v>
      </c>
      <c r="F453" s="284" t="s">
        <v>495</v>
      </c>
      <c r="G453" s="266">
        <v>42217.2</v>
      </c>
      <c r="H453" s="22">
        <v>542.8</v>
      </c>
      <c r="I453" s="22" t="e">
        <f>SUM(H453/#REF!*100)</f>
        <v>#REF!</v>
      </c>
    </row>
    <row r="454" spans="1:9" ht="15">
      <c r="A454" s="117" t="s">
        <v>499</v>
      </c>
      <c r="B454" s="282"/>
      <c r="C454" s="288" t="s">
        <v>5</v>
      </c>
      <c r="D454" s="288" t="s">
        <v>461</v>
      </c>
      <c r="E454" s="288" t="s">
        <v>24</v>
      </c>
      <c r="F454" s="284" t="s">
        <v>119</v>
      </c>
      <c r="G454" s="266">
        <v>8522.3</v>
      </c>
      <c r="H454" s="22">
        <v>542.8</v>
      </c>
      <c r="I454" s="22" t="e">
        <f>SUM(H454/#REF!*100)</f>
        <v>#REF!</v>
      </c>
    </row>
    <row r="455" spans="1:9" s="108" customFormat="1" ht="15.75">
      <c r="A455" s="117" t="s">
        <v>500</v>
      </c>
      <c r="B455" s="282"/>
      <c r="C455" s="288" t="s">
        <v>5</v>
      </c>
      <c r="D455" s="288" t="s">
        <v>461</v>
      </c>
      <c r="E455" s="288" t="s">
        <v>24</v>
      </c>
      <c r="F455" s="284" t="s">
        <v>175</v>
      </c>
      <c r="G455" s="266">
        <v>292.7</v>
      </c>
      <c r="H455" s="22">
        <f>SUM(H456)</f>
        <v>1313.1</v>
      </c>
      <c r="I455" s="22" t="e">
        <f>SUM(H455/#REF!*100)</f>
        <v>#REF!</v>
      </c>
    </row>
    <row r="456" spans="1:9" s="108" customFormat="1" ht="15" customHeight="1">
      <c r="A456" s="117" t="s">
        <v>25</v>
      </c>
      <c r="B456" s="282"/>
      <c r="C456" s="283" t="s">
        <v>5</v>
      </c>
      <c r="D456" s="283" t="s">
        <v>105</v>
      </c>
      <c r="E456" s="283"/>
      <c r="F456" s="284"/>
      <c r="G456" s="266">
        <f>SUM(G460+G520+G524)</f>
        <v>700422.8999999999</v>
      </c>
      <c r="H456" s="22">
        <v>1313.1</v>
      </c>
      <c r="I456" s="22" t="e">
        <f>SUM(H456/#REF!*100)</f>
        <v>#REF!</v>
      </c>
    </row>
    <row r="457" spans="1:9" s="108" customFormat="1" ht="15.75" hidden="1">
      <c r="A457" s="117" t="s">
        <v>406</v>
      </c>
      <c r="B457" s="282"/>
      <c r="C457" s="283" t="s">
        <v>5</v>
      </c>
      <c r="D457" s="283" t="s">
        <v>105</v>
      </c>
      <c r="E457" s="283" t="s">
        <v>408</v>
      </c>
      <c r="F457" s="284"/>
      <c r="G457" s="266">
        <f>SUM(G459)</f>
        <v>0</v>
      </c>
      <c r="H457" s="22">
        <f>SUM(H458)</f>
        <v>6301</v>
      </c>
      <c r="I457" s="22" t="e">
        <f>SUM(H457/#REF!*100)</f>
        <v>#REF!</v>
      </c>
    </row>
    <row r="458" spans="1:9" s="108" customFormat="1" ht="15.75" hidden="1">
      <c r="A458" s="117" t="s">
        <v>386</v>
      </c>
      <c r="B458" s="282"/>
      <c r="C458" s="283" t="s">
        <v>5</v>
      </c>
      <c r="D458" s="283" t="s">
        <v>105</v>
      </c>
      <c r="E458" s="283" t="s">
        <v>387</v>
      </c>
      <c r="F458" s="284"/>
      <c r="G458" s="266">
        <f>SUM(G459)</f>
        <v>0</v>
      </c>
      <c r="H458" s="22">
        <v>6301</v>
      </c>
      <c r="I458" s="22" t="e">
        <f>SUM(H458/#REF!*100)</f>
        <v>#REF!</v>
      </c>
    </row>
    <row r="459" spans="1:9" ht="15" hidden="1">
      <c r="A459" s="117" t="s">
        <v>295</v>
      </c>
      <c r="B459" s="292"/>
      <c r="C459" s="283" t="s">
        <v>5</v>
      </c>
      <c r="D459" s="283" t="s">
        <v>105</v>
      </c>
      <c r="E459" s="283" t="s">
        <v>387</v>
      </c>
      <c r="F459" s="285" t="s">
        <v>296</v>
      </c>
      <c r="G459" s="266"/>
      <c r="H459" s="22">
        <f>SUM(H461)</f>
        <v>8082.5</v>
      </c>
      <c r="I459" s="22">
        <f>SUM(H459/G486*100)</f>
        <v>5.360800263181632</v>
      </c>
    </row>
    <row r="460" spans="1:9" ht="15">
      <c r="A460" s="117" t="s">
        <v>26</v>
      </c>
      <c r="B460" s="282"/>
      <c r="C460" s="283" t="s">
        <v>5</v>
      </c>
      <c r="D460" s="283" t="s">
        <v>105</v>
      </c>
      <c r="E460" s="283" t="s">
        <v>27</v>
      </c>
      <c r="F460" s="284"/>
      <c r="G460" s="266">
        <f>SUM(G461+G464+G467+G470+G473+G476)+G517</f>
        <v>699174.6</v>
      </c>
      <c r="H460" s="22"/>
      <c r="I460" s="22"/>
    </row>
    <row r="461" spans="1:9" ht="28.5">
      <c r="A461" s="117" t="s">
        <v>285</v>
      </c>
      <c r="B461" s="282"/>
      <c r="C461" s="288" t="s">
        <v>5</v>
      </c>
      <c r="D461" s="288" t="s">
        <v>105</v>
      </c>
      <c r="E461" s="288" t="s">
        <v>286</v>
      </c>
      <c r="F461" s="285"/>
      <c r="G461" s="266">
        <f>SUM(G462:G463)</f>
        <v>124977.8</v>
      </c>
      <c r="H461" s="22">
        <v>8082.5</v>
      </c>
      <c r="I461" s="22">
        <f>SUM(H461/G488*100)</f>
        <v>5.5917770954721995</v>
      </c>
    </row>
    <row r="462" spans="1:9" ht="15">
      <c r="A462" s="117" t="s">
        <v>499</v>
      </c>
      <c r="B462" s="282"/>
      <c r="C462" s="288" t="s">
        <v>5</v>
      </c>
      <c r="D462" s="288" t="s">
        <v>105</v>
      </c>
      <c r="E462" s="288" t="s">
        <v>286</v>
      </c>
      <c r="F462" s="285" t="s">
        <v>119</v>
      </c>
      <c r="G462" s="266">
        <v>2460</v>
      </c>
      <c r="H462" s="22">
        <f>SUM(H464)</f>
        <v>70381.4</v>
      </c>
      <c r="I462" s="22">
        <f>SUM(H462/G489*100)</f>
        <v>4599.189701365744</v>
      </c>
    </row>
    <row r="463" spans="1:9" ht="15">
      <c r="A463" s="117" t="s">
        <v>504</v>
      </c>
      <c r="B463" s="282"/>
      <c r="C463" s="288" t="s">
        <v>5</v>
      </c>
      <c r="D463" s="288" t="s">
        <v>105</v>
      </c>
      <c r="E463" s="288" t="s">
        <v>286</v>
      </c>
      <c r="F463" s="285" t="s">
        <v>505</v>
      </c>
      <c r="G463" s="266">
        <v>122517.8</v>
      </c>
      <c r="H463" s="22"/>
      <c r="I463" s="22"/>
    </row>
    <row r="464" spans="1:9" ht="15">
      <c r="A464" s="117" t="s">
        <v>284</v>
      </c>
      <c r="B464" s="282"/>
      <c r="C464" s="288" t="s">
        <v>5</v>
      </c>
      <c r="D464" s="288" t="s">
        <v>105</v>
      </c>
      <c r="E464" s="288" t="s">
        <v>570</v>
      </c>
      <c r="F464" s="285"/>
      <c r="G464" s="266">
        <f>SUM(G465:G466)</f>
        <v>95024.6</v>
      </c>
      <c r="H464" s="22">
        <v>70381.4</v>
      </c>
      <c r="I464" s="22">
        <f>SUM(H464/G491*100)</f>
        <v>4670.60853407658</v>
      </c>
    </row>
    <row r="465" spans="1:9" ht="15">
      <c r="A465" s="117" t="s">
        <v>499</v>
      </c>
      <c r="B465" s="282"/>
      <c r="C465" s="288" t="s">
        <v>5</v>
      </c>
      <c r="D465" s="288" t="s">
        <v>105</v>
      </c>
      <c r="E465" s="288" t="s">
        <v>570</v>
      </c>
      <c r="F465" s="285" t="s">
        <v>119</v>
      </c>
      <c r="G465" s="266">
        <v>1443.5</v>
      </c>
      <c r="H465" s="22"/>
      <c r="I465" s="22"/>
    </row>
    <row r="466" spans="1:9" ht="15">
      <c r="A466" s="117" t="s">
        <v>504</v>
      </c>
      <c r="B466" s="292"/>
      <c r="C466" s="288" t="s">
        <v>5</v>
      </c>
      <c r="D466" s="288" t="s">
        <v>105</v>
      </c>
      <c r="E466" s="288" t="s">
        <v>570</v>
      </c>
      <c r="F466" s="285" t="s">
        <v>505</v>
      </c>
      <c r="G466" s="266">
        <v>93581.1</v>
      </c>
      <c r="H466" s="22"/>
      <c r="I466" s="22"/>
    </row>
    <row r="467" spans="1:9" ht="42.75">
      <c r="A467" s="118" t="s">
        <v>283</v>
      </c>
      <c r="B467" s="282"/>
      <c r="C467" s="288" t="s">
        <v>5</v>
      </c>
      <c r="D467" s="288" t="s">
        <v>105</v>
      </c>
      <c r="E467" s="288" t="s">
        <v>571</v>
      </c>
      <c r="F467" s="285"/>
      <c r="G467" s="266">
        <f>SUM(G468:G469)</f>
        <v>77.10000000000001</v>
      </c>
      <c r="H467" s="22"/>
      <c r="I467" s="22"/>
    </row>
    <row r="468" spans="1:9" ht="24" customHeight="1">
      <c r="A468" s="117" t="s">
        <v>499</v>
      </c>
      <c r="B468" s="282"/>
      <c r="C468" s="288" t="s">
        <v>5</v>
      </c>
      <c r="D468" s="288" t="s">
        <v>105</v>
      </c>
      <c r="E468" s="288" t="s">
        <v>571</v>
      </c>
      <c r="F468" s="285" t="s">
        <v>119</v>
      </c>
      <c r="G468" s="266">
        <v>1.2</v>
      </c>
      <c r="H468" s="22"/>
      <c r="I468" s="22"/>
    </row>
    <row r="469" spans="1:9" ht="21" customHeight="1">
      <c r="A469" s="117" t="s">
        <v>504</v>
      </c>
      <c r="B469" s="282"/>
      <c r="C469" s="288" t="s">
        <v>5</v>
      </c>
      <c r="D469" s="288" t="s">
        <v>105</v>
      </c>
      <c r="E469" s="288" t="s">
        <v>571</v>
      </c>
      <c r="F469" s="285" t="s">
        <v>505</v>
      </c>
      <c r="G469" s="266">
        <v>75.9</v>
      </c>
      <c r="H469" s="22"/>
      <c r="I469" s="22"/>
    </row>
    <row r="470" spans="1:9" ht="60" customHeight="1">
      <c r="A470" s="159" t="s">
        <v>573</v>
      </c>
      <c r="B470" s="301"/>
      <c r="C470" s="302" t="s">
        <v>5</v>
      </c>
      <c r="D470" s="302" t="s">
        <v>105</v>
      </c>
      <c r="E470" s="302" t="s">
        <v>572</v>
      </c>
      <c r="F470" s="303"/>
      <c r="G470" s="271">
        <f>SUM(G471:G472)</f>
        <v>78774.5</v>
      </c>
      <c r="H470" s="22"/>
      <c r="I470" s="22"/>
    </row>
    <row r="471" spans="1:9" ht="15" hidden="1">
      <c r="A471" s="117" t="s">
        <v>499</v>
      </c>
      <c r="B471" s="282"/>
      <c r="C471" s="288" t="s">
        <v>5</v>
      </c>
      <c r="D471" s="288" t="s">
        <v>105</v>
      </c>
      <c r="E471" s="302" t="s">
        <v>572</v>
      </c>
      <c r="F471" s="285" t="s">
        <v>119</v>
      </c>
      <c r="G471" s="271"/>
      <c r="H471" s="22">
        <f>SUM(H472)</f>
        <v>1365.8</v>
      </c>
      <c r="I471" s="22">
        <f>SUM(H471/G497*100)</f>
        <v>1.1876996819003196</v>
      </c>
    </row>
    <row r="472" spans="1:9" ht="15">
      <c r="A472" s="122" t="s">
        <v>504</v>
      </c>
      <c r="B472" s="301"/>
      <c r="C472" s="302" t="s">
        <v>5</v>
      </c>
      <c r="D472" s="302" t="s">
        <v>105</v>
      </c>
      <c r="E472" s="302" t="s">
        <v>572</v>
      </c>
      <c r="F472" s="303" t="s">
        <v>505</v>
      </c>
      <c r="G472" s="271">
        <v>78774.5</v>
      </c>
      <c r="H472" s="22">
        <v>1365.8</v>
      </c>
      <c r="I472" s="22">
        <f>SUM(H472/G498*100)</f>
        <v>154.44984733687664</v>
      </c>
    </row>
    <row r="473" spans="1:9" ht="15">
      <c r="A473" s="122" t="s">
        <v>220</v>
      </c>
      <c r="B473" s="301"/>
      <c r="C473" s="302" t="s">
        <v>5</v>
      </c>
      <c r="D473" s="302" t="s">
        <v>105</v>
      </c>
      <c r="E473" s="302" t="s">
        <v>574</v>
      </c>
      <c r="F473" s="303"/>
      <c r="G473" s="271">
        <f>G474+G475</f>
        <v>7188</v>
      </c>
      <c r="H473" s="22">
        <f>SUM(H474)</f>
        <v>1324.9</v>
      </c>
      <c r="I473" s="22">
        <f>SUM(H473/G500*100)</f>
        <v>159.2810771820149</v>
      </c>
    </row>
    <row r="474" spans="1:9" ht="15">
      <c r="A474" s="122" t="s">
        <v>504</v>
      </c>
      <c r="B474" s="301"/>
      <c r="C474" s="302" t="s">
        <v>5</v>
      </c>
      <c r="D474" s="302" t="s">
        <v>105</v>
      </c>
      <c r="E474" s="302" t="s">
        <v>574</v>
      </c>
      <c r="F474" s="303" t="s">
        <v>505</v>
      </c>
      <c r="G474" s="271">
        <v>3288</v>
      </c>
      <c r="H474" s="22">
        <v>1324.9</v>
      </c>
      <c r="I474" s="22">
        <f>SUM(H474/G501*100)</f>
        <v>685.0568769389865</v>
      </c>
    </row>
    <row r="475" spans="1:9" ht="28.5">
      <c r="A475" s="122" t="s">
        <v>591</v>
      </c>
      <c r="B475" s="301"/>
      <c r="C475" s="302" t="s">
        <v>5</v>
      </c>
      <c r="D475" s="302" t="s">
        <v>105</v>
      </c>
      <c r="E475" s="302" t="s">
        <v>574</v>
      </c>
      <c r="F475" s="303" t="s">
        <v>512</v>
      </c>
      <c r="G475" s="271">
        <v>3900</v>
      </c>
      <c r="H475" s="22">
        <f>SUM(H477)</f>
        <v>0</v>
      </c>
      <c r="I475" s="22">
        <f>SUM(H475/G503*100)</f>
        <v>0</v>
      </c>
    </row>
    <row r="476" spans="1:9" ht="15">
      <c r="A476" s="122" t="s">
        <v>288</v>
      </c>
      <c r="B476" s="301"/>
      <c r="C476" s="302" t="s">
        <v>5</v>
      </c>
      <c r="D476" s="302" t="s">
        <v>105</v>
      </c>
      <c r="E476" s="302" t="s">
        <v>576</v>
      </c>
      <c r="F476" s="303"/>
      <c r="G476" s="271">
        <f>G477+G480+G483+G486+G489+G492+G495+G498+G501+G504+G507+G510+G514</f>
        <v>393132.6</v>
      </c>
      <c r="H476" s="22"/>
      <c r="I476" s="22"/>
    </row>
    <row r="477" spans="1:9" ht="42.75">
      <c r="A477" s="122" t="s">
        <v>467</v>
      </c>
      <c r="B477" s="301"/>
      <c r="C477" s="302" t="s">
        <v>5</v>
      </c>
      <c r="D477" s="302" t="s">
        <v>105</v>
      </c>
      <c r="E477" s="302" t="s">
        <v>577</v>
      </c>
      <c r="F477" s="303"/>
      <c r="G477" s="271">
        <f>SUM(G478:G479)</f>
        <v>1150.8</v>
      </c>
      <c r="H477" s="22"/>
      <c r="I477" s="22">
        <f>SUM(H477/G504*100)</f>
        <v>0</v>
      </c>
    </row>
    <row r="478" spans="1:9" ht="15">
      <c r="A478" s="117" t="s">
        <v>499</v>
      </c>
      <c r="B478" s="282"/>
      <c r="C478" s="288" t="s">
        <v>5</v>
      </c>
      <c r="D478" s="288" t="s">
        <v>105</v>
      </c>
      <c r="E478" s="302" t="s">
        <v>577</v>
      </c>
      <c r="F478" s="285" t="s">
        <v>119</v>
      </c>
      <c r="G478" s="271">
        <v>17</v>
      </c>
      <c r="H478" s="22">
        <f>SUM(H480)</f>
        <v>5141.4</v>
      </c>
      <c r="I478" s="22">
        <f>SUM(H478/G506*100)</f>
        <v>72.11546553707184</v>
      </c>
    </row>
    <row r="479" spans="1:9" ht="15">
      <c r="A479" s="122" t="s">
        <v>504</v>
      </c>
      <c r="B479" s="301"/>
      <c r="C479" s="302" t="s">
        <v>5</v>
      </c>
      <c r="D479" s="302" t="s">
        <v>105</v>
      </c>
      <c r="E479" s="302" t="s">
        <v>577</v>
      </c>
      <c r="F479" s="303" t="s">
        <v>505</v>
      </c>
      <c r="G479" s="271">
        <v>1133.8</v>
      </c>
      <c r="H479" s="22"/>
      <c r="I479" s="22"/>
    </row>
    <row r="480" spans="1:9" ht="28.5">
      <c r="A480" s="128" t="s">
        <v>468</v>
      </c>
      <c r="B480" s="301"/>
      <c r="C480" s="302" t="s">
        <v>5</v>
      </c>
      <c r="D480" s="302" t="s">
        <v>105</v>
      </c>
      <c r="E480" s="302" t="s">
        <v>578</v>
      </c>
      <c r="F480" s="303"/>
      <c r="G480" s="271">
        <f>SUM(G481:G482)</f>
        <v>38518.899999999994</v>
      </c>
      <c r="H480" s="22">
        <v>5141.4</v>
      </c>
      <c r="I480" s="22">
        <f>SUM(H480/G507*100)</f>
        <v>82.16774276034009</v>
      </c>
    </row>
    <row r="481" spans="1:9" ht="15">
      <c r="A481" s="117" t="s">
        <v>499</v>
      </c>
      <c r="B481" s="282"/>
      <c r="C481" s="288" t="s">
        <v>5</v>
      </c>
      <c r="D481" s="288" t="s">
        <v>105</v>
      </c>
      <c r="E481" s="302" t="s">
        <v>578</v>
      </c>
      <c r="F481" s="285" t="s">
        <v>119</v>
      </c>
      <c r="G481" s="271">
        <v>545.7</v>
      </c>
      <c r="H481" s="22"/>
      <c r="I481" s="22"/>
    </row>
    <row r="482" spans="1:9" ht="15">
      <c r="A482" s="122" t="s">
        <v>504</v>
      </c>
      <c r="B482" s="301"/>
      <c r="C482" s="302" t="s">
        <v>5</v>
      </c>
      <c r="D482" s="302" t="s">
        <v>105</v>
      </c>
      <c r="E482" s="302" t="s">
        <v>578</v>
      </c>
      <c r="F482" s="303" t="s">
        <v>505</v>
      </c>
      <c r="G482" s="271">
        <v>37973.2</v>
      </c>
      <c r="H482" s="22"/>
      <c r="I482" s="22"/>
    </row>
    <row r="483" spans="1:9" ht="57">
      <c r="A483" s="160" t="s">
        <v>469</v>
      </c>
      <c r="B483" s="301"/>
      <c r="C483" s="302" t="s">
        <v>5</v>
      </c>
      <c r="D483" s="302" t="s">
        <v>105</v>
      </c>
      <c r="E483" s="302" t="s">
        <v>579</v>
      </c>
      <c r="F483" s="303"/>
      <c r="G483" s="271">
        <f>SUM(G484:G485)</f>
        <v>51050.8</v>
      </c>
      <c r="H483" s="22"/>
      <c r="I483" s="22"/>
    </row>
    <row r="484" spans="1:9" ht="15">
      <c r="A484" s="117" t="s">
        <v>499</v>
      </c>
      <c r="B484" s="282"/>
      <c r="C484" s="288" t="s">
        <v>5</v>
      </c>
      <c r="D484" s="288" t="s">
        <v>105</v>
      </c>
      <c r="E484" s="302" t="s">
        <v>579</v>
      </c>
      <c r="F484" s="285" t="s">
        <v>119</v>
      </c>
      <c r="G484" s="271">
        <v>775.9</v>
      </c>
      <c r="H484" s="22"/>
      <c r="I484" s="22"/>
    </row>
    <row r="485" spans="1:9" ht="15">
      <c r="A485" s="122" t="s">
        <v>504</v>
      </c>
      <c r="B485" s="301"/>
      <c r="C485" s="302" t="s">
        <v>5</v>
      </c>
      <c r="D485" s="302" t="s">
        <v>105</v>
      </c>
      <c r="E485" s="302" t="s">
        <v>579</v>
      </c>
      <c r="F485" s="303" t="s">
        <v>505</v>
      </c>
      <c r="G485" s="271">
        <v>50274.9</v>
      </c>
      <c r="H485" s="22"/>
      <c r="I485" s="22"/>
    </row>
    <row r="486" spans="1:9" ht="71.25">
      <c r="A486" s="160" t="s">
        <v>580</v>
      </c>
      <c r="B486" s="301"/>
      <c r="C486" s="302" t="s">
        <v>5</v>
      </c>
      <c r="D486" s="302" t="s">
        <v>105</v>
      </c>
      <c r="E486" s="302" t="s">
        <v>581</v>
      </c>
      <c r="F486" s="303"/>
      <c r="G486" s="271">
        <f>SUM(G487:G488)</f>
        <v>150770.4</v>
      </c>
      <c r="H486" s="22"/>
      <c r="I486" s="22"/>
    </row>
    <row r="487" spans="1:9" ht="15">
      <c r="A487" s="117" t="s">
        <v>499</v>
      </c>
      <c r="B487" s="301"/>
      <c r="C487" s="302" t="s">
        <v>5</v>
      </c>
      <c r="D487" s="302" t="s">
        <v>105</v>
      </c>
      <c r="E487" s="302" t="s">
        <v>581</v>
      </c>
      <c r="F487" s="303" t="s">
        <v>119</v>
      </c>
      <c r="G487" s="271">
        <v>6227.8</v>
      </c>
      <c r="H487" s="22"/>
      <c r="I487" s="22"/>
    </row>
    <row r="488" spans="1:9" ht="15">
      <c r="A488" s="122" t="s">
        <v>504</v>
      </c>
      <c r="B488" s="301"/>
      <c r="C488" s="302" t="s">
        <v>5</v>
      </c>
      <c r="D488" s="302" t="s">
        <v>105</v>
      </c>
      <c r="E488" s="302" t="s">
        <v>581</v>
      </c>
      <c r="F488" s="303" t="s">
        <v>505</v>
      </c>
      <c r="G488" s="271">
        <v>144542.6</v>
      </c>
      <c r="H488" s="22"/>
      <c r="I488" s="22"/>
    </row>
    <row r="489" spans="1:9" ht="71.25">
      <c r="A489" s="128" t="s">
        <v>470</v>
      </c>
      <c r="B489" s="301"/>
      <c r="C489" s="302" t="s">
        <v>5</v>
      </c>
      <c r="D489" s="302" t="s">
        <v>105</v>
      </c>
      <c r="E489" s="302" t="s">
        <v>582</v>
      </c>
      <c r="F489" s="303"/>
      <c r="G489" s="271">
        <f>SUM(G490:G491)</f>
        <v>1530.3000000000002</v>
      </c>
      <c r="H489" s="22"/>
      <c r="I489" s="22"/>
    </row>
    <row r="490" spans="1:9" ht="15">
      <c r="A490" s="117" t="s">
        <v>499</v>
      </c>
      <c r="B490" s="301"/>
      <c r="C490" s="302" t="s">
        <v>5</v>
      </c>
      <c r="D490" s="302" t="s">
        <v>105</v>
      </c>
      <c r="E490" s="302" t="s">
        <v>582</v>
      </c>
      <c r="F490" s="303" t="s">
        <v>119</v>
      </c>
      <c r="G490" s="271">
        <v>23.4</v>
      </c>
      <c r="H490" s="22"/>
      <c r="I490" s="22"/>
    </row>
    <row r="491" spans="1:9" ht="15">
      <c r="A491" s="122" t="s">
        <v>504</v>
      </c>
      <c r="B491" s="301"/>
      <c r="C491" s="302" t="s">
        <v>5</v>
      </c>
      <c r="D491" s="302" t="s">
        <v>105</v>
      </c>
      <c r="E491" s="302" t="s">
        <v>582</v>
      </c>
      <c r="F491" s="303" t="s">
        <v>505</v>
      </c>
      <c r="G491" s="271">
        <v>1506.9</v>
      </c>
      <c r="H491" s="22"/>
      <c r="I491" s="22"/>
    </row>
    <row r="492" spans="1:9" ht="85.5">
      <c r="A492" s="128" t="s">
        <v>471</v>
      </c>
      <c r="B492" s="301"/>
      <c r="C492" s="302" t="s">
        <v>5</v>
      </c>
      <c r="D492" s="302" t="s">
        <v>105</v>
      </c>
      <c r="E492" s="302" t="s">
        <v>583</v>
      </c>
      <c r="F492" s="303"/>
      <c r="G492" s="271">
        <f>SUM(G493:G494)</f>
        <v>7822.3</v>
      </c>
      <c r="H492" s="22"/>
      <c r="I492" s="22"/>
    </row>
    <row r="493" spans="1:9" ht="15">
      <c r="A493" s="117" t="s">
        <v>499</v>
      </c>
      <c r="B493" s="301"/>
      <c r="C493" s="302" t="s">
        <v>5</v>
      </c>
      <c r="D493" s="302" t="s">
        <v>105</v>
      </c>
      <c r="E493" s="302" t="s">
        <v>583</v>
      </c>
      <c r="F493" s="303" t="s">
        <v>119</v>
      </c>
      <c r="G493" s="271">
        <v>356.7</v>
      </c>
      <c r="H493" s="22"/>
      <c r="I493" s="22"/>
    </row>
    <row r="494" spans="1:9" ht="15">
      <c r="A494" s="122" t="s">
        <v>504</v>
      </c>
      <c r="B494" s="301"/>
      <c r="C494" s="302" t="s">
        <v>5</v>
      </c>
      <c r="D494" s="302" t="s">
        <v>105</v>
      </c>
      <c r="E494" s="302" t="s">
        <v>583</v>
      </c>
      <c r="F494" s="303" t="s">
        <v>505</v>
      </c>
      <c r="G494" s="271">
        <v>7465.6</v>
      </c>
      <c r="H494" s="22"/>
      <c r="I494" s="22"/>
    </row>
    <row r="495" spans="1:9" ht="42.75">
      <c r="A495" s="122" t="s">
        <v>472</v>
      </c>
      <c r="B495" s="301"/>
      <c r="C495" s="302" t="s">
        <v>5</v>
      </c>
      <c r="D495" s="302" t="s">
        <v>105</v>
      </c>
      <c r="E495" s="302" t="s">
        <v>584</v>
      </c>
      <c r="F495" s="303"/>
      <c r="G495" s="271">
        <f>SUM(G496:G497)</f>
        <v>116761.59999999999</v>
      </c>
      <c r="H495" s="22"/>
      <c r="I495" s="22"/>
    </row>
    <row r="496" spans="1:9" ht="15">
      <c r="A496" s="117" t="s">
        <v>499</v>
      </c>
      <c r="B496" s="301"/>
      <c r="C496" s="302" t="s">
        <v>5</v>
      </c>
      <c r="D496" s="302" t="s">
        <v>105</v>
      </c>
      <c r="E496" s="302" t="s">
        <v>584</v>
      </c>
      <c r="F496" s="303" t="s">
        <v>119</v>
      </c>
      <c r="G496" s="271">
        <v>1766.2</v>
      </c>
      <c r="H496" s="22"/>
      <c r="I496" s="22"/>
    </row>
    <row r="497" spans="1:9" ht="15">
      <c r="A497" s="122" t="s">
        <v>504</v>
      </c>
      <c r="B497" s="301"/>
      <c r="C497" s="302" t="s">
        <v>5</v>
      </c>
      <c r="D497" s="302" t="s">
        <v>105</v>
      </c>
      <c r="E497" s="302" t="s">
        <v>584</v>
      </c>
      <c r="F497" s="303" t="s">
        <v>505</v>
      </c>
      <c r="G497" s="271">
        <v>114995.4</v>
      </c>
      <c r="H497" s="22"/>
      <c r="I497" s="22"/>
    </row>
    <row r="498" spans="1:9" ht="71.25">
      <c r="A498" s="122" t="s">
        <v>473</v>
      </c>
      <c r="B498" s="301"/>
      <c r="C498" s="302" t="s">
        <v>5</v>
      </c>
      <c r="D498" s="302" t="s">
        <v>105</v>
      </c>
      <c r="E498" s="302" t="s">
        <v>585</v>
      </c>
      <c r="F498" s="303"/>
      <c r="G498" s="271">
        <f>SUM(G499:G500)</f>
        <v>884.3</v>
      </c>
      <c r="H498" s="22"/>
      <c r="I498" s="22"/>
    </row>
    <row r="499" spans="1:9" ht="15">
      <c r="A499" s="117" t="s">
        <v>499</v>
      </c>
      <c r="B499" s="301"/>
      <c r="C499" s="302" t="s">
        <v>5</v>
      </c>
      <c r="D499" s="302" t="s">
        <v>105</v>
      </c>
      <c r="E499" s="302" t="s">
        <v>585</v>
      </c>
      <c r="F499" s="303" t="s">
        <v>119</v>
      </c>
      <c r="G499" s="271">
        <v>52.5</v>
      </c>
      <c r="H499" s="22"/>
      <c r="I499" s="22"/>
    </row>
    <row r="500" spans="1:9" ht="15">
      <c r="A500" s="122" t="s">
        <v>504</v>
      </c>
      <c r="B500" s="301"/>
      <c r="C500" s="302" t="s">
        <v>5</v>
      </c>
      <c r="D500" s="302" t="s">
        <v>105</v>
      </c>
      <c r="E500" s="302" t="s">
        <v>585</v>
      </c>
      <c r="F500" s="303" t="s">
        <v>505</v>
      </c>
      <c r="G500" s="271">
        <v>831.8</v>
      </c>
      <c r="H500" s="22"/>
      <c r="I500" s="22"/>
    </row>
    <row r="501" spans="1:9" ht="57">
      <c r="A501" s="122" t="s">
        <v>586</v>
      </c>
      <c r="B501" s="301"/>
      <c r="C501" s="302" t="s">
        <v>5</v>
      </c>
      <c r="D501" s="302" t="s">
        <v>105</v>
      </c>
      <c r="E501" s="302" t="s">
        <v>587</v>
      </c>
      <c r="F501" s="303"/>
      <c r="G501" s="271">
        <f>SUM(G502:G503)</f>
        <v>193.4</v>
      </c>
      <c r="H501" s="22"/>
      <c r="I501" s="22"/>
    </row>
    <row r="502" spans="1:9" ht="15">
      <c r="A502" s="117" t="s">
        <v>499</v>
      </c>
      <c r="B502" s="301"/>
      <c r="C502" s="302" t="s">
        <v>5</v>
      </c>
      <c r="D502" s="302" t="s">
        <v>105</v>
      </c>
      <c r="E502" s="302" t="s">
        <v>587</v>
      </c>
      <c r="F502" s="303" t="s">
        <v>119</v>
      </c>
      <c r="G502" s="271">
        <v>3</v>
      </c>
      <c r="H502" s="22"/>
      <c r="I502" s="22"/>
    </row>
    <row r="503" spans="1:9" ht="15">
      <c r="A503" s="122" t="s">
        <v>504</v>
      </c>
      <c r="B503" s="301"/>
      <c r="C503" s="302" t="s">
        <v>5</v>
      </c>
      <c r="D503" s="302" t="s">
        <v>105</v>
      </c>
      <c r="E503" s="302" t="s">
        <v>587</v>
      </c>
      <c r="F503" s="303" t="s">
        <v>505</v>
      </c>
      <c r="G503" s="271">
        <v>190.4</v>
      </c>
      <c r="H503" s="22"/>
      <c r="I503" s="22"/>
    </row>
    <row r="504" spans="1:9" ht="42.75">
      <c r="A504" s="122" t="s">
        <v>474</v>
      </c>
      <c r="B504" s="301"/>
      <c r="C504" s="302" t="s">
        <v>5</v>
      </c>
      <c r="D504" s="302" t="s">
        <v>105</v>
      </c>
      <c r="E504" s="302" t="s">
        <v>588</v>
      </c>
      <c r="F504" s="303"/>
      <c r="G504" s="271">
        <f>SUM(G505:G506)</f>
        <v>7373.599999999999</v>
      </c>
      <c r="H504" s="22">
        <f>SUM(H505)</f>
        <v>927.6</v>
      </c>
      <c r="I504" s="22">
        <f>SUM(H504/G530*100)</f>
        <v>16.631405314304157</v>
      </c>
    </row>
    <row r="505" spans="1:9" ht="15">
      <c r="A505" s="117" t="s">
        <v>499</v>
      </c>
      <c r="B505" s="301"/>
      <c r="C505" s="302" t="s">
        <v>5</v>
      </c>
      <c r="D505" s="302" t="s">
        <v>105</v>
      </c>
      <c r="E505" s="302" t="s">
        <v>588</v>
      </c>
      <c r="F505" s="303" t="s">
        <v>119</v>
      </c>
      <c r="G505" s="271">
        <v>244.2</v>
      </c>
      <c r="H505" s="22">
        <f>SUM(H507:H507)</f>
        <v>927.6</v>
      </c>
      <c r="I505" s="22">
        <f>SUM(H505/G532*100)</f>
        <v>16.880800727934485</v>
      </c>
    </row>
    <row r="506" spans="1:9" ht="15">
      <c r="A506" s="122" t="s">
        <v>504</v>
      </c>
      <c r="B506" s="301"/>
      <c r="C506" s="302" t="s">
        <v>5</v>
      </c>
      <c r="D506" s="302" t="s">
        <v>105</v>
      </c>
      <c r="E506" s="302" t="s">
        <v>588</v>
      </c>
      <c r="F506" s="303" t="s">
        <v>505</v>
      </c>
      <c r="G506" s="271">
        <v>7129.4</v>
      </c>
      <c r="H506" s="22"/>
      <c r="I506" s="22"/>
    </row>
    <row r="507" spans="1:9" ht="28.5">
      <c r="A507" s="122" t="s">
        <v>475</v>
      </c>
      <c r="B507" s="301"/>
      <c r="C507" s="302" t="s">
        <v>5</v>
      </c>
      <c r="D507" s="302" t="s">
        <v>105</v>
      </c>
      <c r="E507" s="302" t="s">
        <v>589</v>
      </c>
      <c r="F507" s="303"/>
      <c r="G507" s="271">
        <f>SUM(G508:G509)</f>
        <v>6257.2</v>
      </c>
      <c r="H507" s="22">
        <v>927.6</v>
      </c>
      <c r="I507" s="22">
        <f>SUM(H507/G533*100)</f>
        <v>18.146604847702328</v>
      </c>
    </row>
    <row r="508" spans="1:9" ht="15">
      <c r="A508" s="117" t="s">
        <v>499</v>
      </c>
      <c r="B508" s="301"/>
      <c r="C508" s="302" t="s">
        <v>5</v>
      </c>
      <c r="D508" s="302" t="s">
        <v>105</v>
      </c>
      <c r="E508" s="302" t="s">
        <v>589</v>
      </c>
      <c r="F508" s="303" t="s">
        <v>119</v>
      </c>
      <c r="G508" s="271">
        <v>92.5</v>
      </c>
      <c r="H508" s="22">
        <f>SUM(H510)</f>
        <v>3319.1</v>
      </c>
      <c r="I508" s="22">
        <f>SUM(H508/G535*100)</f>
        <v>65.567649789613</v>
      </c>
    </row>
    <row r="509" spans="1:9" ht="15">
      <c r="A509" s="122" t="s">
        <v>504</v>
      </c>
      <c r="B509" s="301"/>
      <c r="C509" s="302" t="s">
        <v>5</v>
      </c>
      <c r="D509" s="302" t="s">
        <v>105</v>
      </c>
      <c r="E509" s="302" t="s">
        <v>589</v>
      </c>
      <c r="F509" s="303" t="s">
        <v>505</v>
      </c>
      <c r="G509" s="271">
        <v>6164.7</v>
      </c>
      <c r="H509" s="22"/>
      <c r="I509" s="22"/>
    </row>
    <row r="510" spans="1:9" ht="42.75">
      <c r="A510" s="128" t="s">
        <v>476</v>
      </c>
      <c r="B510" s="301"/>
      <c r="C510" s="302" t="s">
        <v>5</v>
      </c>
      <c r="D510" s="302" t="s">
        <v>105</v>
      </c>
      <c r="E510" s="302" t="s">
        <v>590</v>
      </c>
      <c r="F510" s="303"/>
      <c r="G510" s="271">
        <f>SUM(G511:G513)</f>
        <v>1944.6999999999998</v>
      </c>
      <c r="H510" s="22">
        <f>SUM(H511)</f>
        <v>3319.1</v>
      </c>
      <c r="I510" s="22">
        <f>SUM(H510/G536*100)</f>
        <v>14.148152568671248</v>
      </c>
    </row>
    <row r="511" spans="1:9" ht="15">
      <c r="A511" s="117" t="s">
        <v>499</v>
      </c>
      <c r="B511" s="301"/>
      <c r="C511" s="302" t="s">
        <v>5</v>
      </c>
      <c r="D511" s="302" t="s">
        <v>105</v>
      </c>
      <c r="E511" s="302" t="s">
        <v>590</v>
      </c>
      <c r="F511" s="303" t="s">
        <v>119</v>
      </c>
      <c r="G511" s="271">
        <v>28.8</v>
      </c>
      <c r="H511" s="22">
        <v>3319.1</v>
      </c>
      <c r="I511" s="22">
        <f>SUM(H511/G538*100)</f>
        <v>14.35050672754315</v>
      </c>
    </row>
    <row r="512" spans="1:9" s="94" customFormat="1" ht="15">
      <c r="A512" s="122" t="s">
        <v>504</v>
      </c>
      <c r="B512" s="301"/>
      <c r="C512" s="302" t="s">
        <v>5</v>
      </c>
      <c r="D512" s="302" t="s">
        <v>105</v>
      </c>
      <c r="E512" s="302" t="s">
        <v>590</v>
      </c>
      <c r="F512" s="303" t="s">
        <v>505</v>
      </c>
      <c r="G512" s="271">
        <v>1600.6</v>
      </c>
      <c r="H512" s="22">
        <f>SUM(H514)</f>
        <v>3319.1</v>
      </c>
      <c r="I512" s="22">
        <f>SUM(H512/G539*100)</f>
        <v>10.820670476662418</v>
      </c>
    </row>
    <row r="513" spans="1:9" s="94" customFormat="1" ht="28.5">
      <c r="A513" s="122" t="s">
        <v>591</v>
      </c>
      <c r="B513" s="301"/>
      <c r="C513" s="302" t="s">
        <v>5</v>
      </c>
      <c r="D513" s="302" t="s">
        <v>105</v>
      </c>
      <c r="E513" s="302" t="s">
        <v>590</v>
      </c>
      <c r="F513" s="303" t="s">
        <v>512</v>
      </c>
      <c r="G513" s="271">
        <v>315.3</v>
      </c>
      <c r="H513" s="22"/>
      <c r="I513" s="22"/>
    </row>
    <row r="514" spans="1:9" s="94" customFormat="1" ht="42.75">
      <c r="A514" s="122" t="s">
        <v>477</v>
      </c>
      <c r="B514" s="301"/>
      <c r="C514" s="302" t="s">
        <v>5</v>
      </c>
      <c r="D514" s="302" t="s">
        <v>105</v>
      </c>
      <c r="E514" s="302" t="s">
        <v>592</v>
      </c>
      <c r="F514" s="303"/>
      <c r="G514" s="271">
        <f>SUM(G515:G516)</f>
        <v>8874.300000000001</v>
      </c>
      <c r="H514" s="22">
        <v>3319.1</v>
      </c>
      <c r="I514" s="22">
        <f>SUM(H514/G540*100)</f>
        <v>11.896927466414326</v>
      </c>
    </row>
    <row r="515" spans="1:9" ht="15">
      <c r="A515" s="117" t="s">
        <v>499</v>
      </c>
      <c r="B515" s="301"/>
      <c r="C515" s="302" t="s">
        <v>5</v>
      </c>
      <c r="D515" s="302" t="s">
        <v>105</v>
      </c>
      <c r="E515" s="302" t="s">
        <v>592</v>
      </c>
      <c r="F515" s="303" t="s">
        <v>119</v>
      </c>
      <c r="G515" s="271">
        <v>131.2</v>
      </c>
      <c r="H515" s="22">
        <f>SUM(H516+H523)</f>
        <v>17205.399999999998</v>
      </c>
      <c r="I515" s="22">
        <f>SUM(H515/G541*100)</f>
        <v>481.8090170820498</v>
      </c>
    </row>
    <row r="516" spans="1:9" ht="15">
      <c r="A516" s="122" t="s">
        <v>504</v>
      </c>
      <c r="B516" s="301"/>
      <c r="C516" s="302" t="s">
        <v>5</v>
      </c>
      <c r="D516" s="302" t="s">
        <v>105</v>
      </c>
      <c r="E516" s="302" t="s">
        <v>592</v>
      </c>
      <c r="F516" s="303" t="s">
        <v>505</v>
      </c>
      <c r="G516" s="271">
        <v>8743.1</v>
      </c>
      <c r="H516" s="22">
        <f>SUM(H521)</f>
        <v>0</v>
      </c>
      <c r="I516" s="22">
        <f>SUM(H516/G542*100)</f>
        <v>0</v>
      </c>
    </row>
    <row r="517" spans="1:9" ht="28.5" hidden="1">
      <c r="A517" s="122" t="s">
        <v>738</v>
      </c>
      <c r="B517" s="301"/>
      <c r="C517" s="302" t="s">
        <v>5</v>
      </c>
      <c r="D517" s="302" t="s">
        <v>105</v>
      </c>
      <c r="E517" s="302" t="s">
        <v>739</v>
      </c>
      <c r="F517" s="303"/>
      <c r="G517" s="271">
        <f>SUM(G518:G519)</f>
        <v>0</v>
      </c>
      <c r="H517" s="22"/>
      <c r="I517" s="22"/>
    </row>
    <row r="518" spans="1:9" ht="15" hidden="1">
      <c r="A518" s="117" t="s">
        <v>499</v>
      </c>
      <c r="B518" s="301"/>
      <c r="C518" s="302" t="s">
        <v>5</v>
      </c>
      <c r="D518" s="302" t="s">
        <v>105</v>
      </c>
      <c r="E518" s="302" t="s">
        <v>739</v>
      </c>
      <c r="F518" s="303" t="s">
        <v>119</v>
      </c>
      <c r="G518" s="271"/>
      <c r="H518" s="22"/>
      <c r="I518" s="22"/>
    </row>
    <row r="519" spans="1:9" ht="15" hidden="1">
      <c r="A519" s="122" t="s">
        <v>504</v>
      </c>
      <c r="B519" s="301"/>
      <c r="C519" s="302" t="s">
        <v>5</v>
      </c>
      <c r="D519" s="302" t="s">
        <v>105</v>
      </c>
      <c r="E519" s="302" t="s">
        <v>739</v>
      </c>
      <c r="F519" s="303" t="s">
        <v>505</v>
      </c>
      <c r="G519" s="271"/>
      <c r="H519" s="22"/>
      <c r="I519" s="22"/>
    </row>
    <row r="520" spans="1:9" ht="15">
      <c r="A520" s="122" t="s">
        <v>183</v>
      </c>
      <c r="B520" s="301"/>
      <c r="C520" s="302" t="s">
        <v>5</v>
      </c>
      <c r="D520" s="302" t="s">
        <v>105</v>
      </c>
      <c r="E520" s="302" t="s">
        <v>184</v>
      </c>
      <c r="F520" s="303"/>
      <c r="G520" s="271">
        <f>SUM(G521)</f>
        <v>1164.7</v>
      </c>
      <c r="H520" s="22"/>
      <c r="I520" s="22"/>
    </row>
    <row r="521" spans="1:9" ht="15">
      <c r="A521" s="122" t="s">
        <v>185</v>
      </c>
      <c r="B521" s="301"/>
      <c r="C521" s="302" t="s">
        <v>5</v>
      </c>
      <c r="D521" s="302" t="s">
        <v>105</v>
      </c>
      <c r="E521" s="302" t="s">
        <v>186</v>
      </c>
      <c r="F521" s="303"/>
      <c r="G521" s="271">
        <f>SUM(G522:G523)</f>
        <v>1164.7</v>
      </c>
      <c r="H521" s="22">
        <f>SUM(H522)</f>
        <v>0</v>
      </c>
      <c r="I521" s="22">
        <f>SUM(H521/G543*100)</f>
        <v>0</v>
      </c>
    </row>
    <row r="522" spans="1:9" ht="15">
      <c r="A522" s="117" t="s">
        <v>499</v>
      </c>
      <c r="B522" s="301"/>
      <c r="C522" s="302" t="s">
        <v>5</v>
      </c>
      <c r="D522" s="302" t="s">
        <v>105</v>
      </c>
      <c r="E522" s="302" t="s">
        <v>186</v>
      </c>
      <c r="F522" s="303" t="s">
        <v>119</v>
      </c>
      <c r="G522" s="271">
        <v>674.2</v>
      </c>
      <c r="H522" s="22"/>
      <c r="I522" s="22">
        <f>SUM(H522/G544*100)</f>
        <v>0</v>
      </c>
    </row>
    <row r="523" spans="1:9" ht="15">
      <c r="A523" s="122" t="s">
        <v>504</v>
      </c>
      <c r="B523" s="301"/>
      <c r="C523" s="302" t="s">
        <v>5</v>
      </c>
      <c r="D523" s="302" t="s">
        <v>105</v>
      </c>
      <c r="E523" s="302" t="s">
        <v>186</v>
      </c>
      <c r="F523" s="303" t="s">
        <v>505</v>
      </c>
      <c r="G523" s="271">
        <v>490.5</v>
      </c>
      <c r="H523" s="22">
        <f>SUM(H524)</f>
        <v>17205.399999999998</v>
      </c>
      <c r="I523" s="22">
        <f>SUM(H523/G545*100)</f>
        <v>477.6093715300909</v>
      </c>
    </row>
    <row r="524" spans="1:9" ht="15">
      <c r="A524" s="122" t="s">
        <v>593</v>
      </c>
      <c r="B524" s="301"/>
      <c r="C524" s="302" t="s">
        <v>5</v>
      </c>
      <c r="D524" s="302" t="s">
        <v>105</v>
      </c>
      <c r="E524" s="302" t="s">
        <v>128</v>
      </c>
      <c r="F524" s="303"/>
      <c r="G524" s="271">
        <f>G525</f>
        <v>83.6</v>
      </c>
      <c r="H524" s="22">
        <f>SUM(H530)+H531+H536+H525+H527</f>
        <v>17205.399999999998</v>
      </c>
      <c r="I524" s="22">
        <f>SUM(H524/G546*100)</f>
        <v>3188.547071905114</v>
      </c>
    </row>
    <row r="525" spans="1:9" ht="15">
      <c r="A525" s="122" t="s">
        <v>684</v>
      </c>
      <c r="B525" s="301"/>
      <c r="C525" s="302" t="s">
        <v>5</v>
      </c>
      <c r="D525" s="302" t="s">
        <v>105</v>
      </c>
      <c r="E525" s="302" t="s">
        <v>594</v>
      </c>
      <c r="F525" s="303"/>
      <c r="G525" s="271">
        <f>G526</f>
        <v>83.6</v>
      </c>
      <c r="H525" s="22">
        <f>SUM(H526)</f>
        <v>241.8</v>
      </c>
      <c r="I525" s="22">
        <f>SUM(H525/G548*100)</f>
        <v>1.6592442135745116</v>
      </c>
    </row>
    <row r="526" spans="1:9" ht="15">
      <c r="A526" s="122" t="s">
        <v>504</v>
      </c>
      <c r="B526" s="301"/>
      <c r="C526" s="302" t="s">
        <v>5</v>
      </c>
      <c r="D526" s="302" t="s">
        <v>105</v>
      </c>
      <c r="E526" s="302" t="s">
        <v>594</v>
      </c>
      <c r="F526" s="303" t="s">
        <v>505</v>
      </c>
      <c r="G526" s="271">
        <v>83.6</v>
      </c>
      <c r="H526" s="22">
        <v>241.8</v>
      </c>
      <c r="I526" s="22">
        <f>SUM(H526/G549*100)</f>
        <v>1.6592442135745116</v>
      </c>
    </row>
    <row r="527" spans="1:9" ht="15">
      <c r="A527" s="128" t="s">
        <v>157</v>
      </c>
      <c r="B527" s="301"/>
      <c r="C527" s="302" t="s">
        <v>5</v>
      </c>
      <c r="D527" s="302" t="s">
        <v>121</v>
      </c>
      <c r="E527" s="302"/>
      <c r="F527" s="303"/>
      <c r="G527" s="271">
        <f>SUM(G528)</f>
        <v>34148.7</v>
      </c>
      <c r="H527" s="22">
        <f>SUM(H528)</f>
        <v>252</v>
      </c>
      <c r="I527" s="22">
        <f>SUM(H527/G550*100)</f>
        <v>4.563811869532933</v>
      </c>
    </row>
    <row r="528" spans="1:9" ht="15">
      <c r="A528" s="122" t="s">
        <v>158</v>
      </c>
      <c r="B528" s="301"/>
      <c r="C528" s="302" t="s">
        <v>5</v>
      </c>
      <c r="D528" s="302" t="s">
        <v>121</v>
      </c>
      <c r="E528" s="302" t="s">
        <v>221</v>
      </c>
      <c r="F528" s="303"/>
      <c r="G528" s="271">
        <f>SUM(G529)</f>
        <v>34148.7</v>
      </c>
      <c r="H528" s="22">
        <v>252</v>
      </c>
      <c r="I528" s="22">
        <f>SUM(H528/G551*100)</f>
        <v>5.0923493513316895</v>
      </c>
    </row>
    <row r="529" spans="1:9" ht="28.5">
      <c r="A529" s="122" t="s">
        <v>478</v>
      </c>
      <c r="B529" s="301"/>
      <c r="C529" s="302" t="s">
        <v>5</v>
      </c>
      <c r="D529" s="302" t="s">
        <v>121</v>
      </c>
      <c r="E529" s="302" t="s">
        <v>161</v>
      </c>
      <c r="F529" s="303"/>
      <c r="G529" s="271">
        <f>SUM(G536+G530+G533)</f>
        <v>34148.7</v>
      </c>
      <c r="H529" s="22"/>
      <c r="I529" s="22"/>
    </row>
    <row r="530" spans="1:9" ht="15">
      <c r="A530" s="122" t="s">
        <v>162</v>
      </c>
      <c r="B530" s="301"/>
      <c r="C530" s="302" t="s">
        <v>5</v>
      </c>
      <c r="D530" s="302" t="s">
        <v>121</v>
      </c>
      <c r="E530" s="302" t="s">
        <v>163</v>
      </c>
      <c r="F530" s="303"/>
      <c r="G530" s="271">
        <f>SUM(G531:G532)</f>
        <v>5577.4</v>
      </c>
      <c r="H530" s="22">
        <f>SUM(H534)</f>
        <v>0</v>
      </c>
      <c r="I530" s="22">
        <f>SUM(H530/G552*100)</f>
        <v>0</v>
      </c>
    </row>
    <row r="531" spans="1:9" ht="15">
      <c r="A531" s="117" t="s">
        <v>499</v>
      </c>
      <c r="B531" s="301"/>
      <c r="C531" s="302" t="s">
        <v>5</v>
      </c>
      <c r="D531" s="302" t="s">
        <v>121</v>
      </c>
      <c r="E531" s="302" t="s">
        <v>163</v>
      </c>
      <c r="F531" s="303" t="s">
        <v>119</v>
      </c>
      <c r="G531" s="271">
        <v>82.4</v>
      </c>
      <c r="H531" s="22">
        <f>SUM(H533)</f>
        <v>0</v>
      </c>
      <c r="I531" s="22">
        <f>SUM(H531/G553*100)</f>
        <v>0</v>
      </c>
    </row>
    <row r="532" spans="1:9" ht="15">
      <c r="A532" s="122" t="s">
        <v>504</v>
      </c>
      <c r="B532" s="301"/>
      <c r="C532" s="302" t="s">
        <v>5</v>
      </c>
      <c r="D532" s="302" t="s">
        <v>121</v>
      </c>
      <c r="E532" s="302" t="s">
        <v>163</v>
      </c>
      <c r="F532" s="303" t="s">
        <v>505</v>
      </c>
      <c r="G532" s="271">
        <v>5495</v>
      </c>
      <c r="H532" s="22"/>
      <c r="I532" s="22"/>
    </row>
    <row r="533" spans="1:9" ht="15">
      <c r="A533" s="122" t="s">
        <v>479</v>
      </c>
      <c r="B533" s="301"/>
      <c r="C533" s="302" t="s">
        <v>5</v>
      </c>
      <c r="D533" s="302" t="s">
        <v>121</v>
      </c>
      <c r="E533" s="302" t="s">
        <v>164</v>
      </c>
      <c r="F533" s="303"/>
      <c r="G533" s="271">
        <f>SUM(G534:G535)</f>
        <v>5111.700000000001</v>
      </c>
      <c r="H533" s="22"/>
      <c r="I533" s="22">
        <f>SUM(H533/G554*100)</f>
        <v>0</v>
      </c>
    </row>
    <row r="534" spans="1:9" ht="15">
      <c r="A534" s="117" t="s">
        <v>499</v>
      </c>
      <c r="B534" s="301"/>
      <c r="C534" s="302" t="s">
        <v>5</v>
      </c>
      <c r="D534" s="302" t="s">
        <v>121</v>
      </c>
      <c r="E534" s="302" t="s">
        <v>164</v>
      </c>
      <c r="F534" s="303" t="s">
        <v>119</v>
      </c>
      <c r="G534" s="271">
        <v>49.6</v>
      </c>
      <c r="H534" s="22"/>
      <c r="I534" s="22">
        <f>SUM(H534/G555*100)</f>
        <v>0</v>
      </c>
    </row>
    <row r="535" spans="1:9" ht="15">
      <c r="A535" s="122" t="s">
        <v>504</v>
      </c>
      <c r="B535" s="301"/>
      <c r="C535" s="302" t="s">
        <v>5</v>
      </c>
      <c r="D535" s="302" t="s">
        <v>121</v>
      </c>
      <c r="E535" s="302" t="s">
        <v>164</v>
      </c>
      <c r="F535" s="303" t="s">
        <v>505</v>
      </c>
      <c r="G535" s="271">
        <v>5062.1</v>
      </c>
      <c r="H535" s="22"/>
      <c r="I535" s="22"/>
    </row>
    <row r="536" spans="1:9" ht="15">
      <c r="A536" s="122" t="s">
        <v>480</v>
      </c>
      <c r="B536" s="301"/>
      <c r="C536" s="302" t="s">
        <v>5</v>
      </c>
      <c r="D536" s="302" t="s">
        <v>121</v>
      </c>
      <c r="E536" s="302" t="s">
        <v>481</v>
      </c>
      <c r="F536" s="303"/>
      <c r="G536" s="271">
        <f>SUM(G537:G538)</f>
        <v>23459.6</v>
      </c>
      <c r="H536" s="22">
        <f>SUM(H537)</f>
        <v>16711.6</v>
      </c>
      <c r="I536" s="22">
        <f>SUM(H536/G557*100)</f>
        <v>1406.5819375473445</v>
      </c>
    </row>
    <row r="537" spans="1:9" ht="15">
      <c r="A537" s="117" t="s">
        <v>499</v>
      </c>
      <c r="B537" s="301"/>
      <c r="C537" s="302" t="s">
        <v>5</v>
      </c>
      <c r="D537" s="302" t="s">
        <v>121</v>
      </c>
      <c r="E537" s="302" t="s">
        <v>481</v>
      </c>
      <c r="F537" s="303" t="s">
        <v>119</v>
      </c>
      <c r="G537" s="271">
        <v>330.8</v>
      </c>
      <c r="H537" s="22">
        <v>16711.6</v>
      </c>
      <c r="I537" s="22">
        <f>SUM(H537/G558*100)</f>
        <v>1432.013710368466</v>
      </c>
    </row>
    <row r="538" spans="1:9" ht="15">
      <c r="A538" s="122" t="s">
        <v>504</v>
      </c>
      <c r="B538" s="301"/>
      <c r="C538" s="302" t="s">
        <v>5</v>
      </c>
      <c r="D538" s="302" t="s">
        <v>121</v>
      </c>
      <c r="E538" s="302" t="s">
        <v>481</v>
      </c>
      <c r="F538" s="303" t="s">
        <v>505</v>
      </c>
      <c r="G538" s="271">
        <v>23128.8</v>
      </c>
      <c r="H538" s="22">
        <f>SUM(H539)</f>
        <v>15109.199999999999</v>
      </c>
      <c r="I538" s="22">
        <f aca="true" t="shared" si="8" ref="I538:I543">SUM(H538/G560*100)</f>
        <v>1252.6280882109102</v>
      </c>
    </row>
    <row r="539" spans="1:9" ht="15">
      <c r="A539" s="122" t="s">
        <v>165</v>
      </c>
      <c r="B539" s="301"/>
      <c r="C539" s="302" t="s">
        <v>5</v>
      </c>
      <c r="D539" s="302" t="s">
        <v>390</v>
      </c>
      <c r="E539" s="302"/>
      <c r="F539" s="303"/>
      <c r="G539" s="271">
        <f>G540+G553+G563</f>
        <v>30673.699999999997</v>
      </c>
      <c r="H539" s="22">
        <f>SUM(H540)</f>
        <v>15109.199999999999</v>
      </c>
      <c r="I539" s="22">
        <f t="shared" si="8"/>
        <v>7554599.999999998</v>
      </c>
    </row>
    <row r="540" spans="1:11" ht="28.5">
      <c r="A540" s="122" t="s">
        <v>98</v>
      </c>
      <c r="B540" s="301"/>
      <c r="C540" s="302" t="s">
        <v>5</v>
      </c>
      <c r="D540" s="302" t="s">
        <v>390</v>
      </c>
      <c r="E540" s="302" t="s">
        <v>99</v>
      </c>
      <c r="F540" s="303"/>
      <c r="G540" s="271">
        <f>G541+G544+G548+G550</f>
        <v>27898.8</v>
      </c>
      <c r="H540" s="22">
        <f>SUM(H549+H542+H544+H551+H541)</f>
        <v>15109.199999999999</v>
      </c>
      <c r="I540" s="22">
        <f t="shared" si="8"/>
        <v>1252.8358208955224</v>
      </c>
      <c r="K540" s="112"/>
    </row>
    <row r="541" spans="1:9" ht="15">
      <c r="A541" s="122" t="s">
        <v>106</v>
      </c>
      <c r="B541" s="301"/>
      <c r="C541" s="302" t="s">
        <v>5</v>
      </c>
      <c r="D541" s="302" t="s">
        <v>390</v>
      </c>
      <c r="E541" s="302" t="s">
        <v>108</v>
      </c>
      <c r="F541" s="303"/>
      <c r="G541" s="271">
        <f>G542+G543</f>
        <v>3571</v>
      </c>
      <c r="H541" s="22">
        <v>227.6</v>
      </c>
      <c r="I541" s="22">
        <f t="shared" si="8"/>
        <v>151.73333333333332</v>
      </c>
    </row>
    <row r="542" spans="1:9" ht="28.5">
      <c r="A542" s="122" t="s">
        <v>595</v>
      </c>
      <c r="B542" s="301"/>
      <c r="C542" s="302" t="s">
        <v>5</v>
      </c>
      <c r="D542" s="302" t="s">
        <v>390</v>
      </c>
      <c r="E542" s="302" t="s">
        <v>108</v>
      </c>
      <c r="F542" s="303" t="s">
        <v>495</v>
      </c>
      <c r="G542" s="271">
        <v>3565.6</v>
      </c>
      <c r="H542" s="22">
        <f>SUM(H543)</f>
        <v>0</v>
      </c>
      <c r="I542" s="22">
        <f t="shared" si="8"/>
        <v>0</v>
      </c>
    </row>
    <row r="543" spans="1:9" ht="15">
      <c r="A543" s="122" t="s">
        <v>499</v>
      </c>
      <c r="B543" s="301"/>
      <c r="C543" s="302" t="s">
        <v>5</v>
      </c>
      <c r="D543" s="302" t="s">
        <v>390</v>
      </c>
      <c r="E543" s="302" t="s">
        <v>108</v>
      </c>
      <c r="F543" s="303" t="s">
        <v>119</v>
      </c>
      <c r="G543" s="271">
        <v>5.4</v>
      </c>
      <c r="H543" s="22"/>
      <c r="I543" s="22">
        <f t="shared" si="8"/>
        <v>0</v>
      </c>
    </row>
    <row r="544" spans="1:9" s="106" customFormat="1" ht="42.75">
      <c r="A544" s="122" t="s">
        <v>596</v>
      </c>
      <c r="B544" s="301"/>
      <c r="C544" s="302" t="s">
        <v>5</v>
      </c>
      <c r="D544" s="302" t="s">
        <v>390</v>
      </c>
      <c r="E544" s="302" t="s">
        <v>168</v>
      </c>
      <c r="F544" s="303"/>
      <c r="G544" s="271">
        <f>SUM(G545:G547)</f>
        <v>4233.2</v>
      </c>
      <c r="H544" s="22">
        <f>SUM(H546)</f>
        <v>2507.7</v>
      </c>
      <c r="I544" s="22" t="e">
        <f>SUM(H544/#REF!*100)</f>
        <v>#REF!</v>
      </c>
    </row>
    <row r="545" spans="1:9" s="106" customFormat="1" ht="28.5">
      <c r="A545" s="122" t="s">
        <v>595</v>
      </c>
      <c r="B545" s="301"/>
      <c r="C545" s="302" t="s">
        <v>5</v>
      </c>
      <c r="D545" s="302" t="s">
        <v>390</v>
      </c>
      <c r="E545" s="302" t="s">
        <v>168</v>
      </c>
      <c r="F545" s="303" t="s">
        <v>495</v>
      </c>
      <c r="G545" s="271">
        <v>3602.4</v>
      </c>
      <c r="H545" s="22"/>
      <c r="I545" s="22"/>
    </row>
    <row r="546" spans="1:9" s="106" customFormat="1" ht="15">
      <c r="A546" s="122" t="s">
        <v>499</v>
      </c>
      <c r="B546" s="328"/>
      <c r="C546" s="302" t="s">
        <v>5</v>
      </c>
      <c r="D546" s="302" t="s">
        <v>390</v>
      </c>
      <c r="E546" s="302" t="s">
        <v>168</v>
      </c>
      <c r="F546" s="303" t="s">
        <v>119</v>
      </c>
      <c r="G546" s="271">
        <v>539.6</v>
      </c>
      <c r="H546" s="22">
        <v>2507.7</v>
      </c>
      <c r="I546" s="22" t="e">
        <f>SUM(H546/#REF!*100)</f>
        <v>#REF!</v>
      </c>
    </row>
    <row r="547" spans="1:9" s="106" customFormat="1" ht="15">
      <c r="A547" s="117" t="s">
        <v>500</v>
      </c>
      <c r="B547" s="328"/>
      <c r="C547" s="302" t="s">
        <v>5</v>
      </c>
      <c r="D547" s="302" t="s">
        <v>390</v>
      </c>
      <c r="E547" s="302" t="s">
        <v>168</v>
      </c>
      <c r="F547" s="303" t="s">
        <v>175</v>
      </c>
      <c r="G547" s="271">
        <v>91.2</v>
      </c>
      <c r="H547" s="22"/>
      <c r="I547" s="22" t="e">
        <f>SUM(H547/#REF!*100)</f>
        <v>#REF!</v>
      </c>
    </row>
    <row r="548" spans="1:9" ht="28.5">
      <c r="A548" s="122" t="s">
        <v>166</v>
      </c>
      <c r="B548" s="301"/>
      <c r="C548" s="302" t="s">
        <v>5</v>
      </c>
      <c r="D548" s="302" t="s">
        <v>390</v>
      </c>
      <c r="E548" s="302" t="s">
        <v>167</v>
      </c>
      <c r="F548" s="303"/>
      <c r="G548" s="271">
        <f>SUM(G549)</f>
        <v>14572.9</v>
      </c>
      <c r="H548" s="22">
        <f>2956.3+101.6</f>
        <v>3057.9</v>
      </c>
      <c r="I548" s="22" t="e">
        <f>SUM(H548/#REF!*100)</f>
        <v>#REF!</v>
      </c>
    </row>
    <row r="549" spans="1:9" ht="28.5">
      <c r="A549" s="122" t="s">
        <v>595</v>
      </c>
      <c r="B549" s="301"/>
      <c r="C549" s="302" t="s">
        <v>5</v>
      </c>
      <c r="D549" s="302" t="s">
        <v>390</v>
      </c>
      <c r="E549" s="302" t="s">
        <v>167</v>
      </c>
      <c r="F549" s="303" t="s">
        <v>495</v>
      </c>
      <c r="G549" s="271">
        <v>14572.9</v>
      </c>
      <c r="H549" s="22">
        <f>SUM(H550)</f>
        <v>10267.1</v>
      </c>
      <c r="I549" s="22" t="e">
        <f>SUM(H549/#REF!*100)</f>
        <v>#REF!</v>
      </c>
    </row>
    <row r="550" spans="1:9" ht="28.5">
      <c r="A550" s="122" t="s">
        <v>169</v>
      </c>
      <c r="B550" s="328"/>
      <c r="C550" s="302" t="s">
        <v>5</v>
      </c>
      <c r="D550" s="302" t="s">
        <v>390</v>
      </c>
      <c r="E550" s="302" t="s">
        <v>170</v>
      </c>
      <c r="F550" s="303"/>
      <c r="G550" s="271">
        <f>G551+G552</f>
        <v>5521.700000000001</v>
      </c>
      <c r="H550" s="22">
        <v>10267.1</v>
      </c>
      <c r="I550" s="22" t="e">
        <f>SUM(H550/#REF!*100)</f>
        <v>#REF!</v>
      </c>
    </row>
    <row r="551" spans="1:9" s="106" customFormat="1" ht="28.5">
      <c r="A551" s="122" t="s">
        <v>595</v>
      </c>
      <c r="B551" s="301"/>
      <c r="C551" s="302" t="s">
        <v>5</v>
      </c>
      <c r="D551" s="302" t="s">
        <v>390</v>
      </c>
      <c r="E551" s="302" t="s">
        <v>170</v>
      </c>
      <c r="F551" s="303" t="s">
        <v>495</v>
      </c>
      <c r="G551" s="271">
        <v>4948.6</v>
      </c>
      <c r="H551" s="22">
        <f>SUM(H552)</f>
        <v>2106.8</v>
      </c>
      <c r="I551" s="22" t="e">
        <f>SUM(H551/#REF!*100)</f>
        <v>#REF!</v>
      </c>
    </row>
    <row r="552" spans="1:9" ht="15">
      <c r="A552" s="122" t="s">
        <v>499</v>
      </c>
      <c r="B552" s="301"/>
      <c r="C552" s="302" t="s">
        <v>5</v>
      </c>
      <c r="D552" s="302" t="s">
        <v>390</v>
      </c>
      <c r="E552" s="302" t="s">
        <v>170</v>
      </c>
      <c r="F552" s="303" t="s">
        <v>119</v>
      </c>
      <c r="G552" s="271">
        <v>573.1</v>
      </c>
      <c r="H552" s="22">
        <v>2106.8</v>
      </c>
      <c r="I552" s="22" t="e">
        <f>SUM(H552/#REF!*100)</f>
        <v>#REF!</v>
      </c>
    </row>
    <row r="553" spans="1:9" s="94" customFormat="1" ht="28.5">
      <c r="A553" s="122" t="s">
        <v>496</v>
      </c>
      <c r="B553" s="301"/>
      <c r="C553" s="302" t="s">
        <v>5</v>
      </c>
      <c r="D553" s="302" t="s">
        <v>390</v>
      </c>
      <c r="E553" s="302" t="s">
        <v>497</v>
      </c>
      <c r="F553" s="303"/>
      <c r="G553" s="271">
        <f>G554+G557+G560</f>
        <v>2624.8999999999996</v>
      </c>
      <c r="H553" s="22"/>
      <c r="I553" s="22"/>
    </row>
    <row r="554" spans="1:9" s="94" customFormat="1" ht="15">
      <c r="A554" s="122" t="s">
        <v>485</v>
      </c>
      <c r="B554" s="328"/>
      <c r="C554" s="302" t="s">
        <v>5</v>
      </c>
      <c r="D554" s="302" t="s">
        <v>390</v>
      </c>
      <c r="E554" s="302" t="s">
        <v>498</v>
      </c>
      <c r="F554" s="303"/>
      <c r="G554" s="271">
        <f>SUM(G555:G556)</f>
        <v>230.6</v>
      </c>
      <c r="H554" s="22"/>
      <c r="I554" s="22"/>
    </row>
    <row r="555" spans="1:9" s="94" customFormat="1" ht="15">
      <c r="A555" s="122" t="s">
        <v>499</v>
      </c>
      <c r="B555" s="301"/>
      <c r="C555" s="302" t="s">
        <v>5</v>
      </c>
      <c r="D555" s="302" t="s">
        <v>390</v>
      </c>
      <c r="E555" s="302" t="s">
        <v>498</v>
      </c>
      <c r="F555" s="303" t="s">
        <v>119</v>
      </c>
      <c r="G555" s="271">
        <v>230</v>
      </c>
      <c r="H555" s="22"/>
      <c r="I555" s="22"/>
    </row>
    <row r="556" spans="1:9" s="94" customFormat="1" ht="15">
      <c r="A556" s="117" t="s">
        <v>500</v>
      </c>
      <c r="B556" s="301"/>
      <c r="C556" s="302" t="s">
        <v>5</v>
      </c>
      <c r="D556" s="302" t="s">
        <v>390</v>
      </c>
      <c r="E556" s="302" t="s">
        <v>498</v>
      </c>
      <c r="F556" s="303" t="s">
        <v>175</v>
      </c>
      <c r="G556" s="271">
        <v>0.6</v>
      </c>
      <c r="H556" s="22"/>
      <c r="I556" s="22"/>
    </row>
    <row r="557" spans="1:9" s="94" customFormat="1" ht="28.5">
      <c r="A557" s="122" t="s">
        <v>486</v>
      </c>
      <c r="B557" s="328"/>
      <c r="C557" s="302" t="s">
        <v>5</v>
      </c>
      <c r="D557" s="302" t="s">
        <v>390</v>
      </c>
      <c r="E557" s="302" t="s">
        <v>501</v>
      </c>
      <c r="F557" s="303"/>
      <c r="G557" s="271">
        <f>SUM(G558:G559)</f>
        <v>1188.1</v>
      </c>
      <c r="H557" s="22">
        <v>1026.3</v>
      </c>
      <c r="I557" s="22" t="e">
        <f>SUM(H557/#REF!*100)</f>
        <v>#REF!</v>
      </c>
    </row>
    <row r="558" spans="1:9" s="94" customFormat="1" ht="15">
      <c r="A558" s="122" t="s">
        <v>499</v>
      </c>
      <c r="B558" s="301"/>
      <c r="C558" s="302" t="s">
        <v>5</v>
      </c>
      <c r="D558" s="302" t="s">
        <v>390</v>
      </c>
      <c r="E558" s="302" t="s">
        <v>501</v>
      </c>
      <c r="F558" s="303" t="s">
        <v>119</v>
      </c>
      <c r="G558" s="271">
        <v>1167</v>
      </c>
      <c r="H558" s="22"/>
      <c r="I558" s="22"/>
    </row>
    <row r="559" spans="1:9" s="94" customFormat="1" ht="15">
      <c r="A559" s="117" t="s">
        <v>500</v>
      </c>
      <c r="B559" s="301"/>
      <c r="C559" s="302" t="s">
        <v>5</v>
      </c>
      <c r="D559" s="302" t="s">
        <v>390</v>
      </c>
      <c r="E559" s="302" t="s">
        <v>501</v>
      </c>
      <c r="F559" s="303" t="s">
        <v>175</v>
      </c>
      <c r="G559" s="271">
        <v>21.1</v>
      </c>
      <c r="H559" s="22"/>
      <c r="I559" s="22"/>
    </row>
    <row r="560" spans="1:9" s="94" customFormat="1" ht="28.5">
      <c r="A560" s="122" t="s">
        <v>502</v>
      </c>
      <c r="B560" s="328"/>
      <c r="C560" s="302" t="s">
        <v>5</v>
      </c>
      <c r="D560" s="302" t="s">
        <v>390</v>
      </c>
      <c r="E560" s="302" t="s">
        <v>503</v>
      </c>
      <c r="F560" s="303"/>
      <c r="G560" s="271">
        <f>G561+G562</f>
        <v>1206.2</v>
      </c>
      <c r="H560" s="22"/>
      <c r="I560" s="22"/>
    </row>
    <row r="561" spans="1:9" s="94" customFormat="1" ht="28.5">
      <c r="A561" s="122" t="s">
        <v>595</v>
      </c>
      <c r="B561" s="301"/>
      <c r="C561" s="302" t="s">
        <v>5</v>
      </c>
      <c r="D561" s="302" t="s">
        <v>390</v>
      </c>
      <c r="E561" s="302" t="s">
        <v>503</v>
      </c>
      <c r="F561" s="303" t="s">
        <v>495</v>
      </c>
      <c r="G561" s="271">
        <v>0.2</v>
      </c>
      <c r="H561" s="22"/>
      <c r="I561" s="22"/>
    </row>
    <row r="562" spans="1:9" s="94" customFormat="1" ht="15">
      <c r="A562" s="122" t="s">
        <v>499</v>
      </c>
      <c r="B562" s="301"/>
      <c r="C562" s="302" t="s">
        <v>5</v>
      </c>
      <c r="D562" s="302" t="s">
        <v>390</v>
      </c>
      <c r="E562" s="302" t="s">
        <v>503</v>
      </c>
      <c r="F562" s="303" t="s">
        <v>119</v>
      </c>
      <c r="G562" s="271">
        <v>1206</v>
      </c>
      <c r="H562" s="22"/>
      <c r="I562" s="22"/>
    </row>
    <row r="563" spans="1:9" ht="15">
      <c r="A563" s="122" t="s">
        <v>593</v>
      </c>
      <c r="B563" s="301"/>
      <c r="C563" s="302" t="s">
        <v>5</v>
      </c>
      <c r="D563" s="302" t="s">
        <v>390</v>
      </c>
      <c r="E563" s="302" t="s">
        <v>128</v>
      </c>
      <c r="F563" s="303"/>
      <c r="G563" s="271">
        <f>G564</f>
        <v>150</v>
      </c>
      <c r="H563" s="22"/>
      <c r="I563" s="22"/>
    </row>
    <row r="564" spans="1:9" ht="71.25">
      <c r="A564" s="122" t="s">
        <v>668</v>
      </c>
      <c r="B564" s="301"/>
      <c r="C564" s="302" t="s">
        <v>5</v>
      </c>
      <c r="D564" s="302" t="s">
        <v>390</v>
      </c>
      <c r="E564" s="302" t="s">
        <v>364</v>
      </c>
      <c r="F564" s="303"/>
      <c r="G564" s="271">
        <f>G565</f>
        <v>150</v>
      </c>
      <c r="H564" s="22"/>
      <c r="I564" s="22"/>
    </row>
    <row r="565" spans="1:9" ht="28.5">
      <c r="A565" s="122" t="s">
        <v>591</v>
      </c>
      <c r="B565" s="301"/>
      <c r="C565" s="302" t="s">
        <v>5</v>
      </c>
      <c r="D565" s="302" t="s">
        <v>390</v>
      </c>
      <c r="E565" s="302" t="s">
        <v>364</v>
      </c>
      <c r="F565" s="303" t="s">
        <v>512</v>
      </c>
      <c r="G565" s="271">
        <v>150</v>
      </c>
      <c r="H565" s="22"/>
      <c r="I565" s="22"/>
    </row>
    <row r="566" spans="1:9" ht="30">
      <c r="A566" s="127" t="s">
        <v>487</v>
      </c>
      <c r="B566" s="329" t="s">
        <v>202</v>
      </c>
      <c r="C566" s="330"/>
      <c r="D566" s="330"/>
      <c r="E566" s="330"/>
      <c r="F566" s="331"/>
      <c r="G566" s="270">
        <f>SUM(G567+G581)</f>
        <v>71058.90000000001</v>
      </c>
      <c r="H566" s="22"/>
      <c r="I566" s="22"/>
    </row>
    <row r="567" spans="1:9" ht="15">
      <c r="A567" s="117" t="s">
        <v>115</v>
      </c>
      <c r="B567" s="282"/>
      <c r="C567" s="288" t="s">
        <v>116</v>
      </c>
      <c r="D567" s="288"/>
      <c r="E567" s="288"/>
      <c r="F567" s="285"/>
      <c r="G567" s="266">
        <f>SUM(G568)+G573</f>
        <v>60604.8</v>
      </c>
      <c r="H567" s="22"/>
      <c r="I567" s="22"/>
    </row>
    <row r="568" spans="1:9" ht="15">
      <c r="A568" s="117" t="s">
        <v>342</v>
      </c>
      <c r="B568" s="289"/>
      <c r="C568" s="288" t="s">
        <v>116</v>
      </c>
      <c r="D568" s="288" t="s">
        <v>461</v>
      </c>
      <c r="E568" s="288"/>
      <c r="F568" s="285"/>
      <c r="G568" s="266">
        <f>SUM(G569)</f>
        <v>60280.3</v>
      </c>
      <c r="H568" s="22"/>
      <c r="I568" s="22"/>
    </row>
    <row r="569" spans="1:9" ht="15.75">
      <c r="A569" s="117" t="s">
        <v>633</v>
      </c>
      <c r="B569" s="282"/>
      <c r="C569" s="288" t="s">
        <v>116</v>
      </c>
      <c r="D569" s="288" t="s">
        <v>461</v>
      </c>
      <c r="E569" s="288" t="s">
        <v>320</v>
      </c>
      <c r="F569" s="285"/>
      <c r="G569" s="266">
        <f>SUM(G570)</f>
        <v>60280.3</v>
      </c>
      <c r="H569" s="85"/>
      <c r="I569" s="22"/>
    </row>
    <row r="570" spans="1:9" ht="15.75">
      <c r="A570" s="117" t="s">
        <v>605</v>
      </c>
      <c r="B570" s="289"/>
      <c r="C570" s="288" t="s">
        <v>116</v>
      </c>
      <c r="D570" s="288" t="s">
        <v>461</v>
      </c>
      <c r="E570" s="288" t="s">
        <v>78</v>
      </c>
      <c r="F570" s="285"/>
      <c r="G570" s="266">
        <f>SUM(G571)</f>
        <v>60280.3</v>
      </c>
      <c r="H570" s="85"/>
      <c r="I570" s="22"/>
    </row>
    <row r="571" spans="1:9" ht="28.5">
      <c r="A571" s="117" t="s">
        <v>93</v>
      </c>
      <c r="B571" s="289"/>
      <c r="C571" s="288" t="s">
        <v>116</v>
      </c>
      <c r="D571" s="288" t="s">
        <v>461</v>
      </c>
      <c r="E571" s="288" t="s">
        <v>79</v>
      </c>
      <c r="F571" s="285"/>
      <c r="G571" s="266">
        <f>SUM(G572)</f>
        <v>60280.3</v>
      </c>
      <c r="H571" s="85"/>
      <c r="I571" s="22"/>
    </row>
    <row r="572" spans="1:9" ht="28.5">
      <c r="A572" s="122" t="s">
        <v>516</v>
      </c>
      <c r="B572" s="326"/>
      <c r="C572" s="288" t="s">
        <v>116</v>
      </c>
      <c r="D572" s="288" t="s">
        <v>461</v>
      </c>
      <c r="E572" s="288" t="s">
        <v>79</v>
      </c>
      <c r="F572" s="286" t="s">
        <v>512</v>
      </c>
      <c r="G572" s="266">
        <v>60280.3</v>
      </c>
      <c r="H572" s="85"/>
      <c r="I572" s="22"/>
    </row>
    <row r="573" spans="1:9" ht="15.75">
      <c r="A573" s="122" t="s">
        <v>117</v>
      </c>
      <c r="B573" s="332"/>
      <c r="C573" s="308" t="s">
        <v>116</v>
      </c>
      <c r="D573" s="308" t="s">
        <v>116</v>
      </c>
      <c r="E573" s="308"/>
      <c r="F573" s="333"/>
      <c r="G573" s="269">
        <f>SUM(G574)+G578</f>
        <v>324.5</v>
      </c>
      <c r="H573" s="85"/>
      <c r="I573" s="22"/>
    </row>
    <row r="574" spans="1:9" ht="15.75">
      <c r="A574" s="128" t="s">
        <v>229</v>
      </c>
      <c r="B574" s="332"/>
      <c r="C574" s="308" t="s">
        <v>116</v>
      </c>
      <c r="D574" s="308" t="s">
        <v>116</v>
      </c>
      <c r="E574" s="308" t="s">
        <v>118</v>
      </c>
      <c r="F574" s="333"/>
      <c r="G574" s="269">
        <f>SUM(G575)</f>
        <v>200</v>
      </c>
      <c r="H574" s="85"/>
      <c r="I574" s="22"/>
    </row>
    <row r="575" spans="1:9" ht="28.5">
      <c r="A575" s="128" t="s">
        <v>89</v>
      </c>
      <c r="B575" s="332"/>
      <c r="C575" s="308" t="s">
        <v>116</v>
      </c>
      <c r="D575" s="308" t="s">
        <v>116</v>
      </c>
      <c r="E575" s="308" t="s">
        <v>90</v>
      </c>
      <c r="F575" s="333"/>
      <c r="G575" s="269">
        <f>SUM(G576)</f>
        <v>200</v>
      </c>
      <c r="H575" s="85"/>
      <c r="I575" s="22"/>
    </row>
    <row r="576" spans="1:9" ht="42.75">
      <c r="A576" s="128" t="s">
        <v>91</v>
      </c>
      <c r="B576" s="332"/>
      <c r="C576" s="308" t="s">
        <v>116</v>
      </c>
      <c r="D576" s="308" t="s">
        <v>116</v>
      </c>
      <c r="E576" s="308" t="s">
        <v>92</v>
      </c>
      <c r="F576" s="333"/>
      <c r="G576" s="269">
        <f>SUM(G577:G577)</f>
        <v>200</v>
      </c>
      <c r="H576" s="85"/>
      <c r="I576" s="22"/>
    </row>
    <row r="577" spans="1:9" ht="28.5">
      <c r="A577" s="122" t="s">
        <v>523</v>
      </c>
      <c r="B577" s="332"/>
      <c r="C577" s="308" t="s">
        <v>116</v>
      </c>
      <c r="D577" s="308" t="s">
        <v>116</v>
      </c>
      <c r="E577" s="308" t="s">
        <v>92</v>
      </c>
      <c r="F577" s="333" t="s">
        <v>512</v>
      </c>
      <c r="G577" s="269">
        <v>200</v>
      </c>
      <c r="H577" s="85"/>
      <c r="I577" s="22"/>
    </row>
    <row r="578" spans="1:9" ht="15.75">
      <c r="A578" s="122" t="s">
        <v>593</v>
      </c>
      <c r="B578" s="327"/>
      <c r="C578" s="308" t="s">
        <v>116</v>
      </c>
      <c r="D578" s="308" t="s">
        <v>116</v>
      </c>
      <c r="E578" s="308" t="s">
        <v>128</v>
      </c>
      <c r="F578" s="333"/>
      <c r="G578" s="269">
        <f>SUM(G579)</f>
        <v>124.5</v>
      </c>
      <c r="H578" s="85"/>
      <c r="I578" s="22"/>
    </row>
    <row r="579" spans="1:9" ht="15.75">
      <c r="A579" s="161" t="s">
        <v>613</v>
      </c>
      <c r="B579" s="327"/>
      <c r="C579" s="308" t="s">
        <v>116</v>
      </c>
      <c r="D579" s="308" t="s">
        <v>116</v>
      </c>
      <c r="E579" s="308" t="s">
        <v>96</v>
      </c>
      <c r="F579" s="333"/>
      <c r="G579" s="271">
        <f>SUM(G580)</f>
        <v>124.5</v>
      </c>
      <c r="H579" s="85"/>
      <c r="I579" s="22"/>
    </row>
    <row r="580" spans="1:9" ht="27" customHeight="1">
      <c r="A580" s="122" t="s">
        <v>523</v>
      </c>
      <c r="B580" s="327"/>
      <c r="C580" s="308" t="s">
        <v>116</v>
      </c>
      <c r="D580" s="308" t="s">
        <v>116</v>
      </c>
      <c r="E580" s="308" t="s">
        <v>96</v>
      </c>
      <c r="F580" s="333" t="s">
        <v>512</v>
      </c>
      <c r="G580" s="271">
        <v>124.5</v>
      </c>
      <c r="H580" s="85"/>
      <c r="I580" s="22"/>
    </row>
    <row r="581" spans="1:9" ht="15.75">
      <c r="A581" s="117" t="s">
        <v>244</v>
      </c>
      <c r="B581" s="282"/>
      <c r="C581" s="288" t="s">
        <v>418</v>
      </c>
      <c r="D581" s="288"/>
      <c r="E581" s="288"/>
      <c r="F581" s="285"/>
      <c r="G581" s="266">
        <f>SUM(G582+G618+G598)+G610</f>
        <v>10454.1</v>
      </c>
      <c r="H581" s="85"/>
      <c r="I581" s="22"/>
    </row>
    <row r="582" spans="1:9" ht="15" customHeight="1">
      <c r="A582" s="117" t="s">
        <v>237</v>
      </c>
      <c r="B582" s="282"/>
      <c r="C582" s="283" t="s">
        <v>418</v>
      </c>
      <c r="D582" s="283" t="s">
        <v>459</v>
      </c>
      <c r="E582" s="283"/>
      <c r="F582" s="284"/>
      <c r="G582" s="266">
        <f>SUM(G583,G585,G591)</f>
        <v>7135.1</v>
      </c>
      <c r="H582" s="85"/>
      <c r="I582" s="22"/>
    </row>
    <row r="583" spans="1:9" ht="15.75" hidden="1">
      <c r="A583" s="122" t="s">
        <v>386</v>
      </c>
      <c r="B583" s="282"/>
      <c r="C583" s="283" t="s">
        <v>299</v>
      </c>
      <c r="D583" s="283" t="s">
        <v>123</v>
      </c>
      <c r="E583" s="288" t="s">
        <v>387</v>
      </c>
      <c r="F583" s="285"/>
      <c r="G583" s="266">
        <f>SUM(G584)</f>
        <v>0</v>
      </c>
      <c r="H583" s="85"/>
      <c r="I583" s="22"/>
    </row>
    <row r="584" spans="1:9" ht="15.75" hidden="1">
      <c r="A584" s="117" t="s">
        <v>102</v>
      </c>
      <c r="B584" s="282"/>
      <c r="C584" s="283" t="s">
        <v>299</v>
      </c>
      <c r="D584" s="283" t="s">
        <v>123</v>
      </c>
      <c r="E584" s="288" t="s">
        <v>387</v>
      </c>
      <c r="F584" s="285" t="s">
        <v>103</v>
      </c>
      <c r="G584" s="266">
        <f>50.3-50.3</f>
        <v>0</v>
      </c>
      <c r="H584" s="85"/>
      <c r="I584" s="22"/>
    </row>
    <row r="585" spans="1:9" ht="28.5">
      <c r="A585" s="117" t="s">
        <v>488</v>
      </c>
      <c r="B585" s="282"/>
      <c r="C585" s="283" t="s">
        <v>418</v>
      </c>
      <c r="D585" s="283" t="s">
        <v>459</v>
      </c>
      <c r="E585" s="283" t="s">
        <v>489</v>
      </c>
      <c r="F585" s="285"/>
      <c r="G585" s="266">
        <f>SUM(G586)</f>
        <v>3854.3</v>
      </c>
      <c r="H585" s="85"/>
      <c r="I585" s="22"/>
    </row>
    <row r="586" spans="1:9" ht="28.5">
      <c r="A586" s="117" t="s">
        <v>56</v>
      </c>
      <c r="B586" s="282"/>
      <c r="C586" s="283" t="s">
        <v>418</v>
      </c>
      <c r="D586" s="283" t="s">
        <v>459</v>
      </c>
      <c r="E586" s="283" t="s">
        <v>490</v>
      </c>
      <c r="F586" s="285"/>
      <c r="G586" s="266">
        <f>SUM(G587)</f>
        <v>3854.3</v>
      </c>
      <c r="H586" s="22">
        <f>SUM(H587)</f>
        <v>79.5</v>
      </c>
      <c r="I586" s="22"/>
    </row>
    <row r="587" spans="1:9" ht="28.5">
      <c r="A587" s="117" t="s">
        <v>634</v>
      </c>
      <c r="B587" s="282"/>
      <c r="C587" s="283" t="s">
        <v>418</v>
      </c>
      <c r="D587" s="283" t="s">
        <v>459</v>
      </c>
      <c r="E587" s="283" t="s">
        <v>569</v>
      </c>
      <c r="F587" s="285"/>
      <c r="G587" s="266">
        <f>SUM(G588:G590)</f>
        <v>3854.3</v>
      </c>
      <c r="H587" s="22">
        <v>79.5</v>
      </c>
      <c r="I587" s="22"/>
    </row>
    <row r="588" spans="1:9" ht="28.5">
      <c r="A588" s="117" t="s">
        <v>494</v>
      </c>
      <c r="B588" s="282"/>
      <c r="C588" s="283" t="s">
        <v>418</v>
      </c>
      <c r="D588" s="283" t="s">
        <v>459</v>
      </c>
      <c r="E588" s="283" t="s">
        <v>569</v>
      </c>
      <c r="F588" s="284" t="s">
        <v>495</v>
      </c>
      <c r="G588" s="266">
        <v>3228.9</v>
      </c>
      <c r="H588" s="22">
        <f>SUM(H590)</f>
        <v>186.6</v>
      </c>
      <c r="I588" s="22" t="e">
        <f>SUM(H588/G627*100)</f>
        <v>#DIV/0!</v>
      </c>
    </row>
    <row r="589" spans="1:9" ht="15">
      <c r="A589" s="117" t="s">
        <v>499</v>
      </c>
      <c r="B589" s="282"/>
      <c r="C589" s="283" t="s">
        <v>418</v>
      </c>
      <c r="D589" s="283" t="s">
        <v>459</v>
      </c>
      <c r="E589" s="283" t="s">
        <v>569</v>
      </c>
      <c r="F589" s="284" t="s">
        <v>119</v>
      </c>
      <c r="G589" s="267">
        <v>619.4</v>
      </c>
      <c r="H589" s="22">
        <f>SUM(H590)</f>
        <v>186.6</v>
      </c>
      <c r="I589" s="22" t="e">
        <f>SUM(H589/G628*100)</f>
        <v>#DIV/0!</v>
      </c>
    </row>
    <row r="590" spans="1:9" ht="15">
      <c r="A590" s="117" t="s">
        <v>500</v>
      </c>
      <c r="B590" s="282"/>
      <c r="C590" s="283" t="s">
        <v>418</v>
      </c>
      <c r="D590" s="283" t="s">
        <v>459</v>
      </c>
      <c r="E590" s="283" t="s">
        <v>569</v>
      </c>
      <c r="F590" s="285" t="s">
        <v>175</v>
      </c>
      <c r="G590" s="266">
        <v>6</v>
      </c>
      <c r="H590" s="22">
        <v>186.6</v>
      </c>
      <c r="I590" s="22" t="e">
        <f>SUM(H590/G629*100)</f>
        <v>#DIV/0!</v>
      </c>
    </row>
    <row r="591" spans="1:9" ht="15">
      <c r="A591" s="122" t="s">
        <v>593</v>
      </c>
      <c r="B591" s="282"/>
      <c r="C591" s="283" t="s">
        <v>418</v>
      </c>
      <c r="D591" s="283" t="s">
        <v>459</v>
      </c>
      <c r="E591" s="290" t="s">
        <v>128</v>
      </c>
      <c r="F591" s="284"/>
      <c r="G591" s="266">
        <f>SUM(G592)</f>
        <v>3280.8</v>
      </c>
      <c r="H591" s="22"/>
      <c r="I591" s="22"/>
    </row>
    <row r="592" spans="1:9" ht="28.5">
      <c r="A592" s="117" t="s">
        <v>631</v>
      </c>
      <c r="B592" s="282"/>
      <c r="C592" s="283" t="s">
        <v>418</v>
      </c>
      <c r="D592" s="283" t="s">
        <v>459</v>
      </c>
      <c r="E592" s="290" t="s">
        <v>97</v>
      </c>
      <c r="F592" s="284"/>
      <c r="G592" s="266">
        <f>SUM(G593:G595)</f>
        <v>3280.8</v>
      </c>
      <c r="H592" s="85" t="e">
        <f>SUM(H593)</f>
        <v>#REF!</v>
      </c>
      <c r="I592" s="85" t="e">
        <f>SUM(H592/#REF!*100)</f>
        <v>#REF!</v>
      </c>
    </row>
    <row r="593" spans="1:9" ht="27" customHeight="1">
      <c r="A593" s="117" t="s">
        <v>494</v>
      </c>
      <c r="B593" s="282"/>
      <c r="C593" s="283" t="s">
        <v>418</v>
      </c>
      <c r="D593" s="283" t="s">
        <v>459</v>
      </c>
      <c r="E593" s="290" t="s">
        <v>97</v>
      </c>
      <c r="F593" s="284" t="s">
        <v>495</v>
      </c>
      <c r="G593" s="266">
        <v>700</v>
      </c>
      <c r="H593" s="22" t="e">
        <f>SUM(H594)</f>
        <v>#REF!</v>
      </c>
      <c r="I593" s="22" t="e">
        <f>SUM(H593/#REF!*100)</f>
        <v>#REF!</v>
      </c>
    </row>
    <row r="594" spans="1:9" ht="15">
      <c r="A594" s="117" t="s">
        <v>499</v>
      </c>
      <c r="B594" s="282"/>
      <c r="C594" s="283" t="s">
        <v>418</v>
      </c>
      <c r="D594" s="283" t="s">
        <v>459</v>
      </c>
      <c r="E594" s="290" t="s">
        <v>97</v>
      </c>
      <c r="F594" s="284" t="s">
        <v>119</v>
      </c>
      <c r="G594" s="266">
        <v>1608.8</v>
      </c>
      <c r="H594" s="22" t="e">
        <f>SUM(H595+#REF!)</f>
        <v>#REF!</v>
      </c>
      <c r="I594" s="22" t="e">
        <f>SUM(H594/#REF!*100)</f>
        <v>#REF!</v>
      </c>
    </row>
    <row r="595" spans="1:9" ht="28.5">
      <c r="A595" s="122" t="s">
        <v>516</v>
      </c>
      <c r="B595" s="282"/>
      <c r="C595" s="283" t="s">
        <v>418</v>
      </c>
      <c r="D595" s="283" t="s">
        <v>459</v>
      </c>
      <c r="E595" s="290" t="s">
        <v>97</v>
      </c>
      <c r="F595" s="284" t="s">
        <v>512</v>
      </c>
      <c r="G595" s="266">
        <v>972</v>
      </c>
      <c r="H595" s="22" t="e">
        <f>SUM(H596+H598+#REF!+#REF!+#REF!+#REF!)</f>
        <v>#REF!</v>
      </c>
      <c r="I595" s="22" t="e">
        <f>SUM(H595/#REF!*100)</f>
        <v>#REF!</v>
      </c>
    </row>
    <row r="596" spans="1:9" ht="28.5" hidden="1">
      <c r="A596" s="117" t="s">
        <v>151</v>
      </c>
      <c r="B596" s="282"/>
      <c r="C596" s="283" t="s">
        <v>418</v>
      </c>
      <c r="D596" s="283" t="s">
        <v>459</v>
      </c>
      <c r="E596" s="290" t="s">
        <v>411</v>
      </c>
      <c r="F596" s="284"/>
      <c r="G596" s="266">
        <f>SUM(G597)</f>
        <v>0</v>
      </c>
      <c r="H596" s="22">
        <f>SUM(H597)</f>
        <v>2461.2</v>
      </c>
      <c r="I596" s="22" t="e">
        <f>SUM(H596/#REF!*100)</f>
        <v>#REF!</v>
      </c>
    </row>
    <row r="597" spans="1:9" ht="15" hidden="1">
      <c r="A597" s="122" t="s">
        <v>142</v>
      </c>
      <c r="B597" s="282"/>
      <c r="C597" s="283" t="s">
        <v>418</v>
      </c>
      <c r="D597" s="283" t="s">
        <v>459</v>
      </c>
      <c r="E597" s="290" t="s">
        <v>411</v>
      </c>
      <c r="F597" s="284" t="s">
        <v>82</v>
      </c>
      <c r="G597" s="266"/>
      <c r="H597" s="22">
        <v>2461.2</v>
      </c>
      <c r="I597" s="22" t="e">
        <f>SUM(H597/#REF!*100)</f>
        <v>#REF!</v>
      </c>
    </row>
    <row r="598" spans="1:9" ht="18" customHeight="1">
      <c r="A598" s="117" t="s">
        <v>154</v>
      </c>
      <c r="B598" s="282"/>
      <c r="C598" s="283" t="s">
        <v>418</v>
      </c>
      <c r="D598" s="283" t="s">
        <v>461</v>
      </c>
      <c r="E598" s="288"/>
      <c r="F598" s="285"/>
      <c r="G598" s="266">
        <f>SUM(G602)+G599</f>
        <v>2626.6</v>
      </c>
      <c r="H598" s="22">
        <f>SUM(H605)</f>
        <v>25107.2</v>
      </c>
      <c r="I598" s="22" t="e">
        <f>SUM(H598/#REF!*100)</f>
        <v>#REF!</v>
      </c>
    </row>
    <row r="599" spans="1:9" ht="18" customHeight="1">
      <c r="A599" s="117" t="s">
        <v>183</v>
      </c>
      <c r="B599" s="282"/>
      <c r="C599" s="283" t="s">
        <v>418</v>
      </c>
      <c r="D599" s="283" t="s">
        <v>461</v>
      </c>
      <c r="E599" s="288" t="s">
        <v>184</v>
      </c>
      <c r="F599" s="285"/>
      <c r="G599" s="266">
        <f>SUM(G600)</f>
        <v>1000</v>
      </c>
      <c r="H599" s="22"/>
      <c r="I599" s="22"/>
    </row>
    <row r="600" spans="1:9" ht="39" customHeight="1">
      <c r="A600" s="117" t="s">
        <v>754</v>
      </c>
      <c r="B600" s="282"/>
      <c r="C600" s="283" t="s">
        <v>418</v>
      </c>
      <c r="D600" s="283" t="s">
        <v>461</v>
      </c>
      <c r="E600" s="288" t="s">
        <v>755</v>
      </c>
      <c r="F600" s="285"/>
      <c r="G600" s="266">
        <f>SUM(G601)</f>
        <v>1000</v>
      </c>
      <c r="H600" s="22"/>
      <c r="I600" s="22"/>
    </row>
    <row r="601" spans="1:9" ht="31.5" customHeight="1">
      <c r="A601" s="122" t="s">
        <v>516</v>
      </c>
      <c r="B601" s="282"/>
      <c r="C601" s="283" t="s">
        <v>418</v>
      </c>
      <c r="D601" s="283" t="s">
        <v>461</v>
      </c>
      <c r="E601" s="288" t="s">
        <v>755</v>
      </c>
      <c r="F601" s="285" t="s">
        <v>512</v>
      </c>
      <c r="G601" s="266">
        <v>1000</v>
      </c>
      <c r="H601" s="22"/>
      <c r="I601" s="22"/>
    </row>
    <row r="602" spans="1:9" ht="15">
      <c r="A602" s="122" t="s">
        <v>680</v>
      </c>
      <c r="B602" s="282"/>
      <c r="C602" s="283" t="s">
        <v>418</v>
      </c>
      <c r="D602" s="283" t="s">
        <v>461</v>
      </c>
      <c r="E602" s="283" t="s">
        <v>682</v>
      </c>
      <c r="F602" s="285"/>
      <c r="G602" s="266">
        <f>SUM(G603)+G608</f>
        <v>1626.6</v>
      </c>
      <c r="H602" s="22"/>
      <c r="I602" s="22"/>
    </row>
    <row r="603" spans="1:9" ht="28.5">
      <c r="A603" s="117" t="s">
        <v>685</v>
      </c>
      <c r="B603" s="282"/>
      <c r="C603" s="283" t="s">
        <v>418</v>
      </c>
      <c r="D603" s="283" t="s">
        <v>461</v>
      </c>
      <c r="E603" s="283" t="s">
        <v>686</v>
      </c>
      <c r="F603" s="285"/>
      <c r="G603" s="266">
        <f>SUM(G606)+G604</f>
        <v>626.6</v>
      </c>
      <c r="H603" s="22"/>
      <c r="I603" s="22"/>
    </row>
    <row r="604" spans="1:9" ht="28.5">
      <c r="A604" s="117" t="s">
        <v>712</v>
      </c>
      <c r="B604" s="282"/>
      <c r="C604" s="283" t="s">
        <v>418</v>
      </c>
      <c r="D604" s="283" t="s">
        <v>461</v>
      </c>
      <c r="E604" s="283" t="s">
        <v>713</v>
      </c>
      <c r="F604" s="285"/>
      <c r="G604" s="266">
        <f>SUM(G605)</f>
        <v>468.6</v>
      </c>
      <c r="H604" s="22"/>
      <c r="I604" s="22"/>
    </row>
    <row r="605" spans="1:9" ht="33.75" customHeight="1">
      <c r="A605" s="122" t="s">
        <v>516</v>
      </c>
      <c r="B605" s="282"/>
      <c r="C605" s="283" t="s">
        <v>418</v>
      </c>
      <c r="D605" s="283" t="s">
        <v>461</v>
      </c>
      <c r="E605" s="283" t="s">
        <v>713</v>
      </c>
      <c r="F605" s="285" t="s">
        <v>512</v>
      </c>
      <c r="G605" s="266">
        <v>468.6</v>
      </c>
      <c r="H605" s="22">
        <v>25107.2</v>
      </c>
      <c r="I605" s="22" t="e">
        <f>SUM(H605/#REF!*100)</f>
        <v>#REF!</v>
      </c>
    </row>
    <row r="606" spans="1:9" ht="33.75" customHeight="1">
      <c r="A606" s="117" t="s">
        <v>694</v>
      </c>
      <c r="B606" s="282"/>
      <c r="C606" s="283" t="s">
        <v>418</v>
      </c>
      <c r="D606" s="283" t="s">
        <v>461</v>
      </c>
      <c r="E606" s="283" t="s">
        <v>695</v>
      </c>
      <c r="F606" s="285"/>
      <c r="G606" s="266">
        <f>SUM(G607)</f>
        <v>158</v>
      </c>
      <c r="H606" s="22"/>
      <c r="I606" s="22"/>
    </row>
    <row r="607" spans="1:9" ht="33.75" customHeight="1">
      <c r="A607" s="122" t="s">
        <v>516</v>
      </c>
      <c r="B607" s="282"/>
      <c r="C607" s="283" t="s">
        <v>418</v>
      </c>
      <c r="D607" s="283" t="s">
        <v>461</v>
      </c>
      <c r="E607" s="283" t="s">
        <v>695</v>
      </c>
      <c r="F607" s="284" t="s">
        <v>512</v>
      </c>
      <c r="G607" s="266">
        <v>158</v>
      </c>
      <c r="H607" s="22"/>
      <c r="I607" s="22"/>
    </row>
    <row r="608" spans="1:9" ht="30.75" customHeight="1">
      <c r="A608" s="122" t="s">
        <v>714</v>
      </c>
      <c r="B608" s="282"/>
      <c r="C608" s="283" t="s">
        <v>418</v>
      </c>
      <c r="D608" s="283" t="s">
        <v>461</v>
      </c>
      <c r="E608" s="283" t="s">
        <v>715</v>
      </c>
      <c r="F608" s="284"/>
      <c r="G608" s="266">
        <f>SUM(G609)</f>
        <v>1000</v>
      </c>
      <c r="H608" s="22"/>
      <c r="I608" s="22"/>
    </row>
    <row r="609" spans="1:9" ht="33" customHeight="1">
      <c r="A609" s="122" t="s">
        <v>516</v>
      </c>
      <c r="B609" s="282"/>
      <c r="C609" s="283" t="s">
        <v>418</v>
      </c>
      <c r="D609" s="283" t="s">
        <v>461</v>
      </c>
      <c r="E609" s="283" t="s">
        <v>715</v>
      </c>
      <c r="F609" s="284" t="s">
        <v>512</v>
      </c>
      <c r="G609" s="266">
        <v>1000</v>
      </c>
      <c r="H609" s="22"/>
      <c r="I609" s="22"/>
    </row>
    <row r="610" spans="1:9" ht="18.75" customHeight="1">
      <c r="A610" s="122" t="s">
        <v>716</v>
      </c>
      <c r="B610" s="282"/>
      <c r="C610" s="283" t="s">
        <v>418</v>
      </c>
      <c r="D610" s="283" t="s">
        <v>105</v>
      </c>
      <c r="E610" s="283"/>
      <c r="F610" s="284"/>
      <c r="G610" s="266">
        <f>SUM(G614)+G611</f>
        <v>692.4</v>
      </c>
      <c r="H610" s="22"/>
      <c r="I610" s="22"/>
    </row>
    <row r="611" spans="1:9" ht="21" customHeight="1">
      <c r="A611" s="122" t="s">
        <v>717</v>
      </c>
      <c r="B611" s="282"/>
      <c r="C611" s="283" t="s">
        <v>418</v>
      </c>
      <c r="D611" s="283" t="s">
        <v>105</v>
      </c>
      <c r="E611" s="283" t="s">
        <v>718</v>
      </c>
      <c r="F611" s="284"/>
      <c r="G611" s="266">
        <f>SUM(G612)</f>
        <v>306.5</v>
      </c>
      <c r="H611" s="22"/>
      <c r="I611" s="22"/>
    </row>
    <row r="612" spans="1:9" ht="33.75" customHeight="1">
      <c r="A612" s="122" t="s">
        <v>719</v>
      </c>
      <c r="B612" s="282"/>
      <c r="C612" s="283" t="s">
        <v>418</v>
      </c>
      <c r="D612" s="283" t="s">
        <v>105</v>
      </c>
      <c r="E612" s="283" t="s">
        <v>720</v>
      </c>
      <c r="F612" s="284"/>
      <c r="G612" s="266">
        <f>SUM(G613)</f>
        <v>306.5</v>
      </c>
      <c r="H612" s="22"/>
      <c r="I612" s="22"/>
    </row>
    <row r="613" spans="1:9" ht="33.75" customHeight="1">
      <c r="A613" s="122" t="s">
        <v>516</v>
      </c>
      <c r="B613" s="282"/>
      <c r="C613" s="283" t="s">
        <v>418</v>
      </c>
      <c r="D613" s="283" t="s">
        <v>105</v>
      </c>
      <c r="E613" s="283" t="s">
        <v>720</v>
      </c>
      <c r="F613" s="284" t="s">
        <v>512</v>
      </c>
      <c r="G613" s="266">
        <v>306.5</v>
      </c>
      <c r="H613" s="22"/>
      <c r="I613" s="22"/>
    </row>
    <row r="614" spans="1:9" ht="19.5" customHeight="1">
      <c r="A614" s="122" t="s">
        <v>680</v>
      </c>
      <c r="B614" s="282"/>
      <c r="C614" s="283" t="s">
        <v>418</v>
      </c>
      <c r="D614" s="283" t="s">
        <v>105</v>
      </c>
      <c r="E614" s="283" t="s">
        <v>682</v>
      </c>
      <c r="F614" s="285"/>
      <c r="G614" s="266">
        <f>SUM(G615)</f>
        <v>385.9</v>
      </c>
      <c r="H614" s="22"/>
      <c r="I614" s="22"/>
    </row>
    <row r="615" spans="1:9" ht="33" customHeight="1">
      <c r="A615" s="117" t="s">
        <v>685</v>
      </c>
      <c r="B615" s="282"/>
      <c r="C615" s="283" t="s">
        <v>418</v>
      </c>
      <c r="D615" s="283" t="s">
        <v>105</v>
      </c>
      <c r="E615" s="283" t="s">
        <v>686</v>
      </c>
      <c r="F615" s="285"/>
      <c r="G615" s="266">
        <f>SUM(G616)</f>
        <v>385.9</v>
      </c>
      <c r="H615" s="22"/>
      <c r="I615" s="22"/>
    </row>
    <row r="616" spans="1:9" ht="28.5">
      <c r="A616" s="117" t="s">
        <v>712</v>
      </c>
      <c r="B616" s="282"/>
      <c r="C616" s="283" t="s">
        <v>418</v>
      </c>
      <c r="D616" s="283" t="s">
        <v>105</v>
      </c>
      <c r="E616" s="283" t="s">
        <v>713</v>
      </c>
      <c r="F616" s="285"/>
      <c r="G616" s="266">
        <f>SUM(G617)</f>
        <v>385.9</v>
      </c>
      <c r="H616" s="22">
        <f>SUM(H620+H730+H726)</f>
        <v>56722</v>
      </c>
      <c r="I616" s="22">
        <f>SUM(H616/G634*100)</f>
        <v>10.420568654190228</v>
      </c>
    </row>
    <row r="617" spans="1:9" ht="28.5">
      <c r="A617" s="122" t="s">
        <v>516</v>
      </c>
      <c r="B617" s="282"/>
      <c r="C617" s="283" t="s">
        <v>418</v>
      </c>
      <c r="D617" s="283" t="s">
        <v>105</v>
      </c>
      <c r="E617" s="283" t="s">
        <v>713</v>
      </c>
      <c r="F617" s="285" t="s">
        <v>512</v>
      </c>
      <c r="G617" s="266">
        <v>385.9</v>
      </c>
      <c r="H617" s="22"/>
      <c r="I617" s="22"/>
    </row>
    <row r="618" spans="1:9" ht="15" hidden="1">
      <c r="A618" s="117" t="s">
        <v>238</v>
      </c>
      <c r="B618" s="282"/>
      <c r="C618" s="283" t="s">
        <v>418</v>
      </c>
      <c r="D618" s="283" t="s">
        <v>130</v>
      </c>
      <c r="E618" s="288"/>
      <c r="F618" s="285"/>
      <c r="G618" s="266">
        <f>SUM(G619+G625+G627)+G622</f>
        <v>0</v>
      </c>
      <c r="H618" s="22"/>
      <c r="I618" s="22"/>
    </row>
    <row r="619" spans="1:9" ht="28.5" hidden="1">
      <c r="A619" s="117" t="s">
        <v>98</v>
      </c>
      <c r="B619" s="282"/>
      <c r="C619" s="283" t="s">
        <v>418</v>
      </c>
      <c r="D619" s="283" t="s">
        <v>130</v>
      </c>
      <c r="E619" s="283" t="s">
        <v>99</v>
      </c>
      <c r="F619" s="285"/>
      <c r="G619" s="266">
        <f>SUM(G620)</f>
        <v>0</v>
      </c>
      <c r="H619" s="22"/>
      <c r="I619" s="22"/>
    </row>
    <row r="620" spans="1:9" ht="15" hidden="1">
      <c r="A620" s="117" t="s">
        <v>106</v>
      </c>
      <c r="B620" s="282"/>
      <c r="C620" s="283" t="s">
        <v>418</v>
      </c>
      <c r="D620" s="283" t="s">
        <v>130</v>
      </c>
      <c r="E620" s="283" t="s">
        <v>108</v>
      </c>
      <c r="F620" s="285"/>
      <c r="G620" s="266">
        <f>SUM(G621)</f>
        <v>0</v>
      </c>
      <c r="H620" s="22">
        <v>56722</v>
      </c>
      <c r="I620" s="22">
        <f>SUM(H620/G636*100)</f>
        <v>15.790244355993984</v>
      </c>
    </row>
    <row r="621" spans="1:9" ht="15" hidden="1">
      <c r="A621" s="117" t="s">
        <v>102</v>
      </c>
      <c r="B621" s="282"/>
      <c r="C621" s="283" t="s">
        <v>418</v>
      </c>
      <c r="D621" s="283" t="s">
        <v>130</v>
      </c>
      <c r="E621" s="283" t="s">
        <v>108</v>
      </c>
      <c r="F621" s="284" t="s">
        <v>103</v>
      </c>
      <c r="G621" s="266"/>
      <c r="H621" s="22"/>
      <c r="I621" s="22"/>
    </row>
    <row r="622" spans="1:9" ht="15" hidden="1">
      <c r="A622" s="122" t="s">
        <v>127</v>
      </c>
      <c r="B622" s="282"/>
      <c r="C622" s="283" t="s">
        <v>418</v>
      </c>
      <c r="D622" s="283" t="s">
        <v>130</v>
      </c>
      <c r="E622" s="290" t="s">
        <v>128</v>
      </c>
      <c r="F622" s="284"/>
      <c r="G622" s="266">
        <f>SUM(G623)</f>
        <v>0</v>
      </c>
      <c r="H622" s="22"/>
      <c r="I622" s="22"/>
    </row>
    <row r="623" spans="1:9" ht="42.75" hidden="1">
      <c r="A623" s="125" t="s">
        <v>207</v>
      </c>
      <c r="B623" s="282"/>
      <c r="C623" s="283" t="s">
        <v>418</v>
      </c>
      <c r="D623" s="283" t="s">
        <v>130</v>
      </c>
      <c r="E623" s="288" t="s">
        <v>297</v>
      </c>
      <c r="F623" s="284"/>
      <c r="G623" s="266">
        <f>SUM(G624)</f>
        <v>0</v>
      </c>
      <c r="H623" s="22"/>
      <c r="I623" s="22"/>
    </row>
    <row r="624" spans="1:9" ht="15" hidden="1">
      <c r="A624" s="117" t="s">
        <v>102</v>
      </c>
      <c r="B624" s="282"/>
      <c r="C624" s="283" t="s">
        <v>418</v>
      </c>
      <c r="D624" s="283" t="s">
        <v>130</v>
      </c>
      <c r="E624" s="288" t="s">
        <v>297</v>
      </c>
      <c r="F624" s="284" t="s">
        <v>103</v>
      </c>
      <c r="G624" s="266"/>
      <c r="H624" s="22"/>
      <c r="I624" s="22"/>
    </row>
    <row r="625" spans="1:9" ht="15" hidden="1">
      <c r="A625" s="122" t="s">
        <v>386</v>
      </c>
      <c r="B625" s="282"/>
      <c r="C625" s="283" t="s">
        <v>418</v>
      </c>
      <c r="D625" s="283" t="s">
        <v>130</v>
      </c>
      <c r="E625" s="288" t="s">
        <v>387</v>
      </c>
      <c r="F625" s="285"/>
      <c r="G625" s="266">
        <f>SUM(G626)</f>
        <v>0</v>
      </c>
      <c r="H625" s="22"/>
      <c r="I625" s="22"/>
    </row>
    <row r="626" spans="1:9" ht="15" hidden="1">
      <c r="A626" s="117" t="s">
        <v>102</v>
      </c>
      <c r="B626" s="282"/>
      <c r="C626" s="283" t="s">
        <v>418</v>
      </c>
      <c r="D626" s="283" t="s">
        <v>130</v>
      </c>
      <c r="E626" s="288" t="s">
        <v>387</v>
      </c>
      <c r="F626" s="285" t="s">
        <v>103</v>
      </c>
      <c r="G626" s="266"/>
      <c r="H626" s="22"/>
      <c r="I626" s="22"/>
    </row>
    <row r="627" spans="1:9" ht="28.5" hidden="1">
      <c r="A627" s="118" t="s">
        <v>112</v>
      </c>
      <c r="B627" s="282"/>
      <c r="C627" s="283" t="s">
        <v>418</v>
      </c>
      <c r="D627" s="283" t="s">
        <v>130</v>
      </c>
      <c r="E627" s="283" t="s">
        <v>113</v>
      </c>
      <c r="F627" s="286"/>
      <c r="G627" s="266">
        <f>SUM(G629)</f>
        <v>0</v>
      </c>
      <c r="H627" s="22"/>
      <c r="I627" s="22"/>
    </row>
    <row r="628" spans="1:9" ht="15" hidden="1">
      <c r="A628" s="118" t="s">
        <v>114</v>
      </c>
      <c r="B628" s="282"/>
      <c r="C628" s="283" t="s">
        <v>418</v>
      </c>
      <c r="D628" s="283" t="s">
        <v>130</v>
      </c>
      <c r="E628" s="283" t="s">
        <v>247</v>
      </c>
      <c r="F628" s="286"/>
      <c r="G628" s="266">
        <f>SUM(G629)</f>
        <v>0</v>
      </c>
      <c r="H628" s="22"/>
      <c r="I628" s="22"/>
    </row>
    <row r="629" spans="1:9" ht="15" hidden="1">
      <c r="A629" s="117" t="s">
        <v>102</v>
      </c>
      <c r="B629" s="282"/>
      <c r="C629" s="283" t="s">
        <v>418</v>
      </c>
      <c r="D629" s="283" t="s">
        <v>130</v>
      </c>
      <c r="E629" s="283" t="s">
        <v>247</v>
      </c>
      <c r="F629" s="286" t="s">
        <v>103</v>
      </c>
      <c r="G629" s="266"/>
      <c r="H629" s="22"/>
      <c r="I629" s="22"/>
    </row>
    <row r="630" spans="1:9" ht="15">
      <c r="A630" s="120" t="s">
        <v>304</v>
      </c>
      <c r="B630" s="289" t="s">
        <v>262</v>
      </c>
      <c r="C630" s="334"/>
      <c r="D630" s="334"/>
      <c r="E630" s="334"/>
      <c r="F630" s="335"/>
      <c r="G630" s="268">
        <f>SUM(G631+G774)</f>
        <v>1715412.5</v>
      </c>
      <c r="H630" s="22">
        <v>187516.5</v>
      </c>
      <c r="I630" s="22">
        <f>SUM(H630/G675*100)</f>
        <v>198.79177042683992</v>
      </c>
    </row>
    <row r="631" spans="1:9" s="94" customFormat="1" ht="15">
      <c r="A631" s="122" t="s">
        <v>115</v>
      </c>
      <c r="B631" s="332"/>
      <c r="C631" s="308" t="s">
        <v>116</v>
      </c>
      <c r="D631" s="308"/>
      <c r="E631" s="308"/>
      <c r="F631" s="333"/>
      <c r="G631" s="269">
        <f>SUM(G632+G672+G730+G763)</f>
        <v>1678436.2</v>
      </c>
      <c r="H631" s="22"/>
      <c r="I631" s="22"/>
    </row>
    <row r="632" spans="1:9" s="94" customFormat="1" ht="15">
      <c r="A632" s="122" t="s">
        <v>337</v>
      </c>
      <c r="B632" s="326"/>
      <c r="C632" s="308" t="s">
        <v>116</v>
      </c>
      <c r="D632" s="308" t="s">
        <v>459</v>
      </c>
      <c r="E632" s="308"/>
      <c r="F632" s="333"/>
      <c r="G632" s="269">
        <f>SUM(G633+G661)+G653</f>
        <v>674019.2</v>
      </c>
      <c r="H632" s="22">
        <v>187516.5</v>
      </c>
      <c r="I632" s="22">
        <f>SUM(H632/G684*100)</f>
        <v>67.44775686701622</v>
      </c>
    </row>
    <row r="633" spans="1:9" s="94" customFormat="1" ht="15">
      <c r="A633" s="122" t="s">
        <v>338</v>
      </c>
      <c r="B633" s="326"/>
      <c r="C633" s="308" t="s">
        <v>116</v>
      </c>
      <c r="D633" s="308" t="s">
        <v>459</v>
      </c>
      <c r="E633" s="308" t="s">
        <v>339</v>
      </c>
      <c r="F633" s="333"/>
      <c r="G633" s="269">
        <f>SUM(G634+G646+G650)</f>
        <v>644693.7</v>
      </c>
      <c r="H633" s="22"/>
      <c r="I633" s="22"/>
    </row>
    <row r="634" spans="1:9" s="94" customFormat="1" ht="15">
      <c r="A634" s="122" t="s">
        <v>605</v>
      </c>
      <c r="B634" s="326"/>
      <c r="C634" s="308" t="s">
        <v>116</v>
      </c>
      <c r="D634" s="308" t="s">
        <v>459</v>
      </c>
      <c r="E634" s="308" t="s">
        <v>84</v>
      </c>
      <c r="F634" s="333"/>
      <c r="G634" s="269">
        <f>SUM(G637+G635+G639)</f>
        <v>544327.2999999999</v>
      </c>
      <c r="H634" s="22"/>
      <c r="I634" s="22"/>
    </row>
    <row r="635" spans="1:9" s="94" customFormat="1" ht="71.25">
      <c r="A635" s="122" t="s">
        <v>606</v>
      </c>
      <c r="B635" s="326"/>
      <c r="C635" s="308" t="s">
        <v>116</v>
      </c>
      <c r="D635" s="308" t="s">
        <v>459</v>
      </c>
      <c r="E635" s="308" t="s">
        <v>211</v>
      </c>
      <c r="F635" s="333"/>
      <c r="G635" s="269">
        <f>G636</f>
        <v>359221.8</v>
      </c>
      <c r="H635" s="22"/>
      <c r="I635" s="22"/>
    </row>
    <row r="636" spans="1:9" ht="28.5">
      <c r="A636" s="122" t="s">
        <v>523</v>
      </c>
      <c r="B636" s="326"/>
      <c r="C636" s="308" t="s">
        <v>116</v>
      </c>
      <c r="D636" s="308" t="s">
        <v>459</v>
      </c>
      <c r="E636" s="308" t="s">
        <v>211</v>
      </c>
      <c r="F636" s="333" t="s">
        <v>512</v>
      </c>
      <c r="G636" s="269">
        <v>359221.8</v>
      </c>
      <c r="H636" s="22"/>
      <c r="I636" s="22"/>
    </row>
    <row r="637" spans="1:9" ht="28.5">
      <c r="A637" s="122" t="s">
        <v>204</v>
      </c>
      <c r="B637" s="326"/>
      <c r="C637" s="308" t="s">
        <v>116</v>
      </c>
      <c r="D637" s="308" t="s">
        <v>459</v>
      </c>
      <c r="E637" s="308" t="s">
        <v>85</v>
      </c>
      <c r="F637" s="333"/>
      <c r="G637" s="269">
        <f>SUM(G638)</f>
        <v>177562.9</v>
      </c>
      <c r="H637" s="22"/>
      <c r="I637" s="22"/>
    </row>
    <row r="638" spans="1:9" ht="28.5">
      <c r="A638" s="122" t="s">
        <v>523</v>
      </c>
      <c r="B638" s="326"/>
      <c r="C638" s="308" t="s">
        <v>116</v>
      </c>
      <c r="D638" s="308" t="s">
        <v>459</v>
      </c>
      <c r="E638" s="308" t="s">
        <v>85</v>
      </c>
      <c r="F638" s="333" t="s">
        <v>512</v>
      </c>
      <c r="G638" s="269">
        <v>177562.9</v>
      </c>
      <c r="H638" s="22"/>
      <c r="I638" s="22"/>
    </row>
    <row r="639" spans="1:9" ht="15">
      <c r="A639" s="182" t="s">
        <v>156</v>
      </c>
      <c r="B639" s="336"/>
      <c r="C639" s="311" t="s">
        <v>116</v>
      </c>
      <c r="D639" s="311" t="s">
        <v>459</v>
      </c>
      <c r="E639" s="311" t="s">
        <v>662</v>
      </c>
      <c r="F639" s="313"/>
      <c r="G639" s="177">
        <f>SUM(G644)+G640+G642</f>
        <v>7542.6</v>
      </c>
      <c r="H639" s="22"/>
      <c r="I639" s="22"/>
    </row>
    <row r="640" spans="1:9" ht="28.5">
      <c r="A640" s="182" t="s">
        <v>143</v>
      </c>
      <c r="B640" s="336"/>
      <c r="C640" s="311" t="s">
        <v>116</v>
      </c>
      <c r="D640" s="311" t="s">
        <v>459</v>
      </c>
      <c r="E640" s="311" t="s">
        <v>721</v>
      </c>
      <c r="F640" s="313"/>
      <c r="G640" s="177">
        <f>SUM(G641)</f>
        <v>3099.6</v>
      </c>
      <c r="H640" s="22"/>
      <c r="I640" s="22"/>
    </row>
    <row r="641" spans="1:9" ht="28.5">
      <c r="A641" s="122" t="s">
        <v>523</v>
      </c>
      <c r="B641" s="336"/>
      <c r="C641" s="311" t="s">
        <v>116</v>
      </c>
      <c r="D641" s="311" t="s">
        <v>459</v>
      </c>
      <c r="E641" s="311" t="s">
        <v>721</v>
      </c>
      <c r="F641" s="313" t="s">
        <v>512</v>
      </c>
      <c r="G641" s="177">
        <v>3099.6</v>
      </c>
      <c r="H641" s="22"/>
      <c r="I641" s="22"/>
    </row>
    <row r="642" spans="1:9" ht="28.5">
      <c r="A642" s="182" t="s">
        <v>413</v>
      </c>
      <c r="B642" s="336"/>
      <c r="C642" s="311" t="s">
        <v>116</v>
      </c>
      <c r="D642" s="311" t="s">
        <v>459</v>
      </c>
      <c r="E642" s="311" t="s">
        <v>722</v>
      </c>
      <c r="F642" s="313"/>
      <c r="G642" s="177">
        <f>SUM(G643)</f>
        <v>10</v>
      </c>
      <c r="H642" s="22"/>
      <c r="I642" s="22"/>
    </row>
    <row r="643" spans="1:9" ht="28.5">
      <c r="A643" s="122" t="s">
        <v>523</v>
      </c>
      <c r="B643" s="336"/>
      <c r="C643" s="311" t="s">
        <v>116</v>
      </c>
      <c r="D643" s="311" t="s">
        <v>459</v>
      </c>
      <c r="E643" s="311" t="s">
        <v>722</v>
      </c>
      <c r="F643" s="313" t="s">
        <v>512</v>
      </c>
      <c r="G643" s="177">
        <v>10</v>
      </c>
      <c r="H643" s="22"/>
      <c r="I643" s="22"/>
    </row>
    <row r="644" spans="1:9" ht="15">
      <c r="A644" s="180" t="s">
        <v>153</v>
      </c>
      <c r="B644" s="336"/>
      <c r="C644" s="311" t="s">
        <v>116</v>
      </c>
      <c r="D644" s="311" t="s">
        <v>459</v>
      </c>
      <c r="E644" s="311" t="s">
        <v>661</v>
      </c>
      <c r="F644" s="313"/>
      <c r="G644" s="177">
        <f>SUM(G645)</f>
        <v>4433</v>
      </c>
      <c r="H644" s="22">
        <v>120.3</v>
      </c>
      <c r="I644" s="22">
        <f>SUM(H644/G689*100)</f>
        <v>0.7644210606580503</v>
      </c>
    </row>
    <row r="645" spans="1:9" ht="28.5">
      <c r="A645" s="122" t="s">
        <v>523</v>
      </c>
      <c r="B645" s="336"/>
      <c r="C645" s="311" t="s">
        <v>116</v>
      </c>
      <c r="D645" s="311" t="s">
        <v>459</v>
      </c>
      <c r="E645" s="311" t="s">
        <v>661</v>
      </c>
      <c r="F645" s="333" t="s">
        <v>512</v>
      </c>
      <c r="G645" s="177">
        <v>4433</v>
      </c>
      <c r="H645" s="22"/>
      <c r="I645" s="22">
        <f>SUM(H645/G692*100)</f>
        <v>0</v>
      </c>
    </row>
    <row r="646" spans="1:9" ht="28.5">
      <c r="A646" s="122" t="s">
        <v>56</v>
      </c>
      <c r="B646" s="326"/>
      <c r="C646" s="308" t="s">
        <v>116</v>
      </c>
      <c r="D646" s="308" t="s">
        <v>459</v>
      </c>
      <c r="E646" s="308" t="s">
        <v>340</v>
      </c>
      <c r="F646" s="333"/>
      <c r="G646" s="269">
        <f>SUM(G647+G648+G649)</f>
        <v>41795.4</v>
      </c>
      <c r="H646" s="22">
        <f>SUM(H647)</f>
        <v>24134</v>
      </c>
      <c r="I646" s="22">
        <f>SUM(H646/G693*100)</f>
        <v>7.9124677922824755</v>
      </c>
    </row>
    <row r="647" spans="1:9" ht="28.5">
      <c r="A647" s="122" t="s">
        <v>494</v>
      </c>
      <c r="B647" s="326"/>
      <c r="C647" s="308" t="s">
        <v>116</v>
      </c>
      <c r="D647" s="308" t="s">
        <v>459</v>
      </c>
      <c r="E647" s="308" t="s">
        <v>340</v>
      </c>
      <c r="F647" s="333" t="s">
        <v>495</v>
      </c>
      <c r="G647" s="269">
        <v>11445.2</v>
      </c>
      <c r="H647" s="22">
        <v>24134</v>
      </c>
      <c r="I647" s="22">
        <f>SUM(H647/G694*100)</f>
        <v>510.8373550080434</v>
      </c>
    </row>
    <row r="648" spans="1:9" ht="15">
      <c r="A648" s="122" t="s">
        <v>499</v>
      </c>
      <c r="B648" s="332"/>
      <c r="C648" s="308" t="s">
        <v>116</v>
      </c>
      <c r="D648" s="308" t="s">
        <v>459</v>
      </c>
      <c r="E648" s="308" t="s">
        <v>340</v>
      </c>
      <c r="F648" s="333" t="s">
        <v>119</v>
      </c>
      <c r="G648" s="269">
        <v>27782.7</v>
      </c>
      <c r="H648" s="22"/>
      <c r="I648" s="22"/>
    </row>
    <row r="649" spans="1:9" ht="15">
      <c r="A649" s="122" t="s">
        <v>500</v>
      </c>
      <c r="B649" s="326"/>
      <c r="C649" s="308" t="s">
        <v>116</v>
      </c>
      <c r="D649" s="308" t="s">
        <v>459</v>
      </c>
      <c r="E649" s="308" t="s">
        <v>340</v>
      </c>
      <c r="F649" s="333" t="s">
        <v>175</v>
      </c>
      <c r="G649" s="269">
        <v>2567.5</v>
      </c>
      <c r="H649" s="22"/>
      <c r="I649" s="22"/>
    </row>
    <row r="650" spans="1:9" ht="42.75">
      <c r="A650" s="129" t="s">
        <v>607</v>
      </c>
      <c r="B650" s="326"/>
      <c r="C650" s="308" t="s">
        <v>116</v>
      </c>
      <c r="D650" s="308" t="s">
        <v>459</v>
      </c>
      <c r="E650" s="308" t="s">
        <v>341</v>
      </c>
      <c r="F650" s="333"/>
      <c r="G650" s="269">
        <f>SUM(G651+G652)</f>
        <v>58571</v>
      </c>
      <c r="H650" s="22">
        <v>56722</v>
      </c>
      <c r="I650" s="22" t="e">
        <f>SUM(H650/G698*100)</f>
        <v>#DIV/0!</v>
      </c>
    </row>
    <row r="651" spans="1:9" ht="28.5">
      <c r="A651" s="122" t="s">
        <v>494</v>
      </c>
      <c r="B651" s="326"/>
      <c r="C651" s="308" t="s">
        <v>116</v>
      </c>
      <c r="D651" s="308" t="s">
        <v>459</v>
      </c>
      <c r="E651" s="308" t="s">
        <v>341</v>
      </c>
      <c r="F651" s="333" t="s">
        <v>495</v>
      </c>
      <c r="G651" s="269">
        <v>57125.8</v>
      </c>
      <c r="H651" s="22"/>
      <c r="I651" s="22"/>
    </row>
    <row r="652" spans="1:9" ht="15">
      <c r="A652" s="122" t="s">
        <v>499</v>
      </c>
      <c r="B652" s="326"/>
      <c r="C652" s="308" t="s">
        <v>116</v>
      </c>
      <c r="D652" s="308" t="s">
        <v>459</v>
      </c>
      <c r="E652" s="308" t="s">
        <v>341</v>
      </c>
      <c r="F652" s="333" t="s">
        <v>119</v>
      </c>
      <c r="G652" s="269">
        <v>1445.2</v>
      </c>
      <c r="H652" s="22"/>
      <c r="I652" s="22"/>
    </row>
    <row r="653" spans="1:9" ht="15">
      <c r="A653" s="122" t="s">
        <v>680</v>
      </c>
      <c r="B653" s="326"/>
      <c r="C653" s="308" t="s">
        <v>116</v>
      </c>
      <c r="D653" s="308" t="s">
        <v>459</v>
      </c>
      <c r="E653" s="308" t="s">
        <v>682</v>
      </c>
      <c r="F653" s="333"/>
      <c r="G653" s="269">
        <f>SUM(G657)+G654</f>
        <v>18136.5</v>
      </c>
      <c r="H653" s="22"/>
      <c r="I653" s="22"/>
    </row>
    <row r="654" spans="1:9" ht="28.5">
      <c r="A654" s="122" t="s">
        <v>778</v>
      </c>
      <c r="B654" s="326"/>
      <c r="C654" s="308" t="s">
        <v>116</v>
      </c>
      <c r="D654" s="308" t="s">
        <v>459</v>
      </c>
      <c r="E654" s="308" t="s">
        <v>683</v>
      </c>
      <c r="F654" s="333"/>
      <c r="G654" s="269">
        <f>SUM(G655:G656)</f>
        <v>167.7</v>
      </c>
      <c r="H654" s="22"/>
      <c r="I654" s="22"/>
    </row>
    <row r="655" spans="1:9" ht="28.5">
      <c r="A655" s="122" t="s">
        <v>494</v>
      </c>
      <c r="B655" s="326"/>
      <c r="C655" s="308" t="s">
        <v>116</v>
      </c>
      <c r="D655" s="308" t="s">
        <v>459</v>
      </c>
      <c r="E655" s="308" t="s">
        <v>683</v>
      </c>
      <c r="F655" s="333" t="s">
        <v>495</v>
      </c>
      <c r="G655" s="269">
        <v>111.8</v>
      </c>
      <c r="H655" s="22"/>
      <c r="I655" s="22"/>
    </row>
    <row r="656" spans="1:9" ht="28.5">
      <c r="A656" s="122" t="s">
        <v>523</v>
      </c>
      <c r="B656" s="326"/>
      <c r="C656" s="308" t="s">
        <v>116</v>
      </c>
      <c r="D656" s="308" t="s">
        <v>459</v>
      </c>
      <c r="E656" s="308" t="s">
        <v>683</v>
      </c>
      <c r="F656" s="333" t="s">
        <v>512</v>
      </c>
      <c r="G656" s="269">
        <v>55.9</v>
      </c>
      <c r="H656" s="22"/>
      <c r="I656" s="22"/>
    </row>
    <row r="657" spans="1:9" ht="28.5">
      <c r="A657" s="122" t="s">
        <v>692</v>
      </c>
      <c r="B657" s="326"/>
      <c r="C657" s="308" t="s">
        <v>116</v>
      </c>
      <c r="D657" s="308" t="s">
        <v>459</v>
      </c>
      <c r="E657" s="308" t="s">
        <v>693</v>
      </c>
      <c r="F657" s="333"/>
      <c r="G657" s="269">
        <f>SUM(G658:G660)</f>
        <v>17968.8</v>
      </c>
      <c r="H657" s="22"/>
      <c r="I657" s="22"/>
    </row>
    <row r="658" spans="1:9" ht="15">
      <c r="A658" s="122" t="s">
        <v>499</v>
      </c>
      <c r="B658" s="326"/>
      <c r="C658" s="308" t="s">
        <v>116</v>
      </c>
      <c r="D658" s="308" t="s">
        <v>459</v>
      </c>
      <c r="E658" s="308" t="s">
        <v>693</v>
      </c>
      <c r="F658" s="333" t="s">
        <v>119</v>
      </c>
      <c r="G658" s="269">
        <v>11663.4</v>
      </c>
      <c r="H658" s="22"/>
      <c r="I658" s="22"/>
    </row>
    <row r="659" spans="1:9" ht="15">
      <c r="A659" s="124" t="s">
        <v>504</v>
      </c>
      <c r="B659" s="326"/>
      <c r="C659" s="308" t="s">
        <v>116</v>
      </c>
      <c r="D659" s="308" t="s">
        <v>459</v>
      </c>
      <c r="E659" s="308" t="s">
        <v>693</v>
      </c>
      <c r="F659" s="333" t="s">
        <v>505</v>
      </c>
      <c r="G659" s="269">
        <v>808.1</v>
      </c>
      <c r="H659" s="22"/>
      <c r="I659" s="22"/>
    </row>
    <row r="660" spans="1:9" ht="28.5">
      <c r="A660" s="122" t="s">
        <v>523</v>
      </c>
      <c r="B660" s="326"/>
      <c r="C660" s="308" t="s">
        <v>116</v>
      </c>
      <c r="D660" s="308" t="s">
        <v>459</v>
      </c>
      <c r="E660" s="308" t="s">
        <v>693</v>
      </c>
      <c r="F660" s="333" t="s">
        <v>512</v>
      </c>
      <c r="G660" s="269">
        <v>5497.3</v>
      </c>
      <c r="H660" s="22">
        <f>SUM(H662)</f>
        <v>1236.7</v>
      </c>
      <c r="I660" s="22">
        <f>SUM(H660/G700*100)</f>
        <v>2.373362759679509</v>
      </c>
    </row>
    <row r="661" spans="1:9" ht="15">
      <c r="A661" s="122" t="s">
        <v>593</v>
      </c>
      <c r="B661" s="327"/>
      <c r="C661" s="308" t="s">
        <v>116</v>
      </c>
      <c r="D661" s="308" t="s">
        <v>459</v>
      </c>
      <c r="E661" s="308" t="s">
        <v>128</v>
      </c>
      <c r="F661" s="333"/>
      <c r="G661" s="269">
        <f>G662+G666+G669</f>
        <v>11189</v>
      </c>
      <c r="H661" s="22"/>
      <c r="I661" s="22"/>
    </row>
    <row r="662" spans="1:9" ht="28.5">
      <c r="A662" s="122" t="s">
        <v>608</v>
      </c>
      <c r="B662" s="326"/>
      <c r="C662" s="308" t="s">
        <v>116</v>
      </c>
      <c r="D662" s="308" t="s">
        <v>459</v>
      </c>
      <c r="E662" s="308" t="s">
        <v>365</v>
      </c>
      <c r="F662" s="333"/>
      <c r="G662" s="269">
        <f>SUM(G663:G665)</f>
        <v>8182.5</v>
      </c>
      <c r="H662" s="22">
        <v>1236.7</v>
      </c>
      <c r="I662" s="22">
        <f>SUM(H662/G701*100)</f>
        <v>2.373362759679509</v>
      </c>
    </row>
    <row r="663" spans="1:9" ht="15">
      <c r="A663" s="122" t="s">
        <v>499</v>
      </c>
      <c r="B663" s="337"/>
      <c r="C663" s="308" t="s">
        <v>116</v>
      </c>
      <c r="D663" s="308" t="s">
        <v>459</v>
      </c>
      <c r="E663" s="308" t="s">
        <v>365</v>
      </c>
      <c r="F663" s="333" t="s">
        <v>119</v>
      </c>
      <c r="G663" s="269">
        <v>5715.6</v>
      </c>
      <c r="H663" s="22"/>
      <c r="I663" s="22"/>
    </row>
    <row r="664" spans="1:9" ht="15">
      <c r="A664" s="124" t="s">
        <v>504</v>
      </c>
      <c r="B664" s="337"/>
      <c r="C664" s="308" t="s">
        <v>116</v>
      </c>
      <c r="D664" s="308" t="s">
        <v>459</v>
      </c>
      <c r="E664" s="308" t="s">
        <v>365</v>
      </c>
      <c r="F664" s="333" t="s">
        <v>505</v>
      </c>
      <c r="G664" s="269">
        <v>1700</v>
      </c>
      <c r="H664" s="22"/>
      <c r="I664" s="22"/>
    </row>
    <row r="665" spans="1:9" ht="28.5">
      <c r="A665" s="122" t="s">
        <v>523</v>
      </c>
      <c r="B665" s="337"/>
      <c r="C665" s="308" t="s">
        <v>116</v>
      </c>
      <c r="D665" s="308" t="s">
        <v>459</v>
      </c>
      <c r="E665" s="308" t="s">
        <v>365</v>
      </c>
      <c r="F665" s="333" t="s">
        <v>512</v>
      </c>
      <c r="G665" s="269">
        <v>766.9</v>
      </c>
      <c r="H665" s="22"/>
      <c r="I665" s="22"/>
    </row>
    <row r="666" spans="1:9" ht="28.5">
      <c r="A666" s="122" t="s">
        <v>723</v>
      </c>
      <c r="B666" s="337"/>
      <c r="C666" s="308" t="s">
        <v>116</v>
      </c>
      <c r="D666" s="308" t="s">
        <v>459</v>
      </c>
      <c r="E666" s="308" t="s">
        <v>724</v>
      </c>
      <c r="F666" s="333"/>
      <c r="G666" s="269">
        <f>SUM(G667:G668)</f>
        <v>3002</v>
      </c>
      <c r="H666" s="22"/>
      <c r="I666" s="22"/>
    </row>
    <row r="667" spans="1:9" ht="14.25" customHeight="1">
      <c r="A667" s="122" t="s">
        <v>499</v>
      </c>
      <c r="B667" s="337"/>
      <c r="C667" s="308" t="s">
        <v>116</v>
      </c>
      <c r="D667" s="308" t="s">
        <v>459</v>
      </c>
      <c r="E667" s="308" t="s">
        <v>724</v>
      </c>
      <c r="F667" s="333" t="s">
        <v>119</v>
      </c>
      <c r="G667" s="269">
        <v>410</v>
      </c>
      <c r="H667" s="22">
        <f>SUM(H672)</f>
        <v>0</v>
      </c>
      <c r="I667" s="22" t="e">
        <f>SUM(H667/#REF!*100)</f>
        <v>#REF!</v>
      </c>
    </row>
    <row r="668" spans="1:9" ht="28.5">
      <c r="A668" s="122" t="s">
        <v>523</v>
      </c>
      <c r="B668" s="337"/>
      <c r="C668" s="308" t="s">
        <v>116</v>
      </c>
      <c r="D668" s="308" t="s">
        <v>459</v>
      </c>
      <c r="E668" s="308" t="s">
        <v>724</v>
      </c>
      <c r="F668" s="333" t="s">
        <v>512</v>
      </c>
      <c r="G668" s="269">
        <v>2592</v>
      </c>
      <c r="H668" s="22"/>
      <c r="I668" s="22" t="e">
        <f>SUM(H668/#REF!*100)</f>
        <v>#REF!</v>
      </c>
    </row>
    <row r="669" spans="1:9" ht="28.5">
      <c r="A669" s="122" t="s">
        <v>779</v>
      </c>
      <c r="B669" s="332"/>
      <c r="C669" s="308" t="s">
        <v>116</v>
      </c>
      <c r="D669" s="308" t="s">
        <v>459</v>
      </c>
      <c r="E669" s="308" t="s">
        <v>727</v>
      </c>
      <c r="F669" s="333"/>
      <c r="G669" s="269">
        <f>SUM(G670:G671)</f>
        <v>4.5</v>
      </c>
      <c r="H669" s="22"/>
      <c r="I669" s="22"/>
    </row>
    <row r="670" spans="1:9" ht="28.5">
      <c r="A670" s="122" t="s">
        <v>494</v>
      </c>
      <c r="B670" s="332"/>
      <c r="C670" s="308" t="s">
        <v>116</v>
      </c>
      <c r="D670" s="308" t="s">
        <v>459</v>
      </c>
      <c r="E670" s="308" t="s">
        <v>727</v>
      </c>
      <c r="F670" s="333" t="s">
        <v>495</v>
      </c>
      <c r="G670" s="269">
        <v>3</v>
      </c>
      <c r="H670" s="22"/>
      <c r="I670" s="22"/>
    </row>
    <row r="671" spans="1:9" ht="15">
      <c r="A671" s="122" t="s">
        <v>499</v>
      </c>
      <c r="B671" s="332"/>
      <c r="C671" s="308" t="s">
        <v>116</v>
      </c>
      <c r="D671" s="308" t="s">
        <v>459</v>
      </c>
      <c r="E671" s="308" t="s">
        <v>727</v>
      </c>
      <c r="F671" s="333" t="s">
        <v>119</v>
      </c>
      <c r="G671" s="269">
        <v>1.5</v>
      </c>
      <c r="H671" s="22"/>
      <c r="I671" s="22"/>
    </row>
    <row r="672" spans="1:9" ht="15">
      <c r="A672" s="122" t="s">
        <v>342</v>
      </c>
      <c r="B672" s="326"/>
      <c r="C672" s="308" t="s">
        <v>116</v>
      </c>
      <c r="D672" s="308" t="s">
        <v>461</v>
      </c>
      <c r="E672" s="308"/>
      <c r="F672" s="333"/>
      <c r="G672" s="269">
        <f>SUM(G673+G696+G705+G713+G717)+G722</f>
        <v>920675.8999999999</v>
      </c>
      <c r="H672" s="22"/>
      <c r="I672" s="22" t="e">
        <f>SUM(H672/#REF!*100)</f>
        <v>#REF!</v>
      </c>
    </row>
    <row r="673" spans="1:9" ht="15">
      <c r="A673" s="122" t="s">
        <v>343</v>
      </c>
      <c r="B673" s="326"/>
      <c r="C673" s="308" t="s">
        <v>116</v>
      </c>
      <c r="D673" s="308" t="s">
        <v>461</v>
      </c>
      <c r="E673" s="308" t="s">
        <v>344</v>
      </c>
      <c r="F673" s="333"/>
      <c r="G673" s="269">
        <f>G674+G686</f>
        <v>797486.1</v>
      </c>
      <c r="H673" s="22">
        <f>SUM(H674)</f>
        <v>9549.8</v>
      </c>
      <c r="I673" s="22" t="e">
        <f>SUM(H673/#REF!*100)</f>
        <v>#REF!</v>
      </c>
    </row>
    <row r="674" spans="1:9" ht="15">
      <c r="A674" s="122" t="s">
        <v>15</v>
      </c>
      <c r="B674" s="326"/>
      <c r="C674" s="308" t="s">
        <v>116</v>
      </c>
      <c r="D674" s="308" t="s">
        <v>461</v>
      </c>
      <c r="E674" s="308" t="s">
        <v>86</v>
      </c>
      <c r="F674" s="333"/>
      <c r="G674" s="269">
        <f>G675+G684+G677+G682</f>
        <v>379175.5</v>
      </c>
      <c r="H674" s="22">
        <f>SUM(H682)</f>
        <v>9549.8</v>
      </c>
      <c r="I674" s="22" t="e">
        <f>SUM(H674/#REF!*100)</f>
        <v>#REF!</v>
      </c>
    </row>
    <row r="675" spans="1:9" ht="28.5">
      <c r="A675" s="122" t="s">
        <v>204</v>
      </c>
      <c r="B675" s="326"/>
      <c r="C675" s="308" t="s">
        <v>116</v>
      </c>
      <c r="D675" s="308" t="s">
        <v>461</v>
      </c>
      <c r="E675" s="308" t="s">
        <v>87</v>
      </c>
      <c r="F675" s="333"/>
      <c r="G675" s="269">
        <f>SUM(G676)</f>
        <v>94328.1</v>
      </c>
      <c r="H675" s="22"/>
      <c r="I675" s="22"/>
    </row>
    <row r="676" spans="1:9" ht="28.5">
      <c r="A676" s="122" t="s">
        <v>516</v>
      </c>
      <c r="B676" s="326"/>
      <c r="C676" s="308" t="s">
        <v>116</v>
      </c>
      <c r="D676" s="308" t="s">
        <v>461</v>
      </c>
      <c r="E676" s="308" t="s">
        <v>87</v>
      </c>
      <c r="F676" s="333" t="s">
        <v>512</v>
      </c>
      <c r="G676" s="269">
        <v>94328.1</v>
      </c>
      <c r="H676" s="22"/>
      <c r="I676" s="22"/>
    </row>
    <row r="677" spans="1:9" ht="15">
      <c r="A677" s="182" t="s">
        <v>156</v>
      </c>
      <c r="B677" s="326"/>
      <c r="C677" s="311" t="s">
        <v>116</v>
      </c>
      <c r="D677" s="311" t="s">
        <v>461</v>
      </c>
      <c r="E677" s="311" t="s">
        <v>664</v>
      </c>
      <c r="F677" s="333"/>
      <c r="G677" s="269">
        <f>SUM(G680)+G678</f>
        <v>2075.8</v>
      </c>
      <c r="H677" s="22"/>
      <c r="I677" s="22"/>
    </row>
    <row r="678" spans="1:9" ht="28.5">
      <c r="A678" s="182" t="s">
        <v>143</v>
      </c>
      <c r="B678" s="336"/>
      <c r="C678" s="311" t="s">
        <v>116</v>
      </c>
      <c r="D678" s="311" t="s">
        <v>461</v>
      </c>
      <c r="E678" s="311" t="s">
        <v>725</v>
      </c>
      <c r="F678" s="313"/>
      <c r="G678" s="177">
        <f>SUM(G679)</f>
        <v>250</v>
      </c>
      <c r="H678" s="22"/>
      <c r="I678" s="22"/>
    </row>
    <row r="679" spans="1:9" ht="28.5">
      <c r="A679" s="122" t="s">
        <v>523</v>
      </c>
      <c r="B679" s="336"/>
      <c r="C679" s="311" t="s">
        <v>116</v>
      </c>
      <c r="D679" s="311" t="s">
        <v>461</v>
      </c>
      <c r="E679" s="311" t="s">
        <v>725</v>
      </c>
      <c r="F679" s="313" t="s">
        <v>512</v>
      </c>
      <c r="G679" s="177">
        <v>250</v>
      </c>
      <c r="H679" s="22"/>
      <c r="I679" s="22"/>
    </row>
    <row r="680" spans="1:9" ht="15">
      <c r="A680" s="180" t="s">
        <v>214</v>
      </c>
      <c r="B680" s="336"/>
      <c r="C680" s="311" t="s">
        <v>116</v>
      </c>
      <c r="D680" s="311" t="s">
        <v>461</v>
      </c>
      <c r="E680" s="311" t="s">
        <v>663</v>
      </c>
      <c r="F680" s="313"/>
      <c r="G680" s="177">
        <f>SUM(G681)</f>
        <v>1825.8</v>
      </c>
      <c r="H680" s="22"/>
      <c r="I680" s="22"/>
    </row>
    <row r="681" spans="1:9" ht="28.5">
      <c r="A681" s="122" t="s">
        <v>523</v>
      </c>
      <c r="B681" s="336"/>
      <c r="C681" s="311" t="s">
        <v>116</v>
      </c>
      <c r="D681" s="311" t="s">
        <v>461</v>
      </c>
      <c r="E681" s="311" t="s">
        <v>663</v>
      </c>
      <c r="F681" s="313" t="s">
        <v>512</v>
      </c>
      <c r="G681" s="177">
        <v>1825.8</v>
      </c>
      <c r="H681" s="22"/>
      <c r="I681" s="22"/>
    </row>
    <row r="682" spans="1:9" ht="42.75">
      <c r="A682" s="182" t="s">
        <v>665</v>
      </c>
      <c r="B682" s="322"/>
      <c r="C682" s="311" t="s">
        <v>116</v>
      </c>
      <c r="D682" s="311" t="s">
        <v>461</v>
      </c>
      <c r="E682" s="311" t="s">
        <v>667</v>
      </c>
      <c r="F682" s="313"/>
      <c r="G682" s="177">
        <f>SUM(G683)</f>
        <v>4754.2</v>
      </c>
      <c r="H682" s="22">
        <v>9549.8</v>
      </c>
      <c r="I682" s="22" t="e">
        <f>SUM(H682/#REF!*100)</f>
        <v>#REF!</v>
      </c>
    </row>
    <row r="683" spans="1:9" ht="28.5">
      <c r="A683" s="122" t="s">
        <v>523</v>
      </c>
      <c r="B683" s="336"/>
      <c r="C683" s="311" t="s">
        <v>116</v>
      </c>
      <c r="D683" s="311" t="s">
        <v>461</v>
      </c>
      <c r="E683" s="311" t="s">
        <v>667</v>
      </c>
      <c r="F683" s="313" t="s">
        <v>512</v>
      </c>
      <c r="G683" s="177">
        <v>4754.2</v>
      </c>
      <c r="H683" s="22">
        <v>56722</v>
      </c>
      <c r="I683" s="22" t="e">
        <f>SUM(H683/#REF!*100)</f>
        <v>#REF!</v>
      </c>
    </row>
    <row r="684" spans="1:9" ht="71.25">
      <c r="A684" s="122" t="s">
        <v>609</v>
      </c>
      <c r="B684" s="326"/>
      <c r="C684" s="308" t="s">
        <v>116</v>
      </c>
      <c r="D684" s="308" t="s">
        <v>461</v>
      </c>
      <c r="E684" s="308" t="s">
        <v>88</v>
      </c>
      <c r="F684" s="333"/>
      <c r="G684" s="269">
        <f>SUM(G685)</f>
        <v>278017.4</v>
      </c>
      <c r="H684" s="22"/>
      <c r="I684" s="22"/>
    </row>
    <row r="685" spans="1:9" s="94" customFormat="1" ht="28.5">
      <c r="A685" s="122" t="s">
        <v>516</v>
      </c>
      <c r="B685" s="326"/>
      <c r="C685" s="308" t="s">
        <v>116</v>
      </c>
      <c r="D685" s="308" t="s">
        <v>461</v>
      </c>
      <c r="E685" s="308" t="s">
        <v>88</v>
      </c>
      <c r="F685" s="333" t="s">
        <v>512</v>
      </c>
      <c r="G685" s="269">
        <v>278017.4</v>
      </c>
      <c r="H685" s="22"/>
      <c r="I685" s="22"/>
    </row>
    <row r="686" spans="1:9" s="94" customFormat="1" ht="28.5">
      <c r="A686" s="122" t="s">
        <v>56</v>
      </c>
      <c r="B686" s="326"/>
      <c r="C686" s="308" t="s">
        <v>116</v>
      </c>
      <c r="D686" s="308" t="s">
        <v>461</v>
      </c>
      <c r="E686" s="308" t="s">
        <v>345</v>
      </c>
      <c r="F686" s="333"/>
      <c r="G686" s="269">
        <f>SUM(G687+G688+G689+G692+G690)</f>
        <v>418310.6</v>
      </c>
      <c r="H686" s="22"/>
      <c r="I686" s="22"/>
    </row>
    <row r="687" spans="1:9" s="94" customFormat="1" ht="28.5">
      <c r="A687" s="122" t="s">
        <v>494</v>
      </c>
      <c r="B687" s="326"/>
      <c r="C687" s="308" t="s">
        <v>116</v>
      </c>
      <c r="D687" s="308" t="s">
        <v>461</v>
      </c>
      <c r="E687" s="308" t="s">
        <v>345</v>
      </c>
      <c r="F687" s="333" t="s">
        <v>495</v>
      </c>
      <c r="G687" s="269">
        <v>37787.8</v>
      </c>
      <c r="H687" s="22"/>
      <c r="I687" s="22"/>
    </row>
    <row r="688" spans="1:9" s="94" customFormat="1" ht="15">
      <c r="A688" s="122" t="s">
        <v>499</v>
      </c>
      <c r="B688" s="326"/>
      <c r="C688" s="308" t="s">
        <v>116</v>
      </c>
      <c r="D688" s="308" t="s">
        <v>461</v>
      </c>
      <c r="E688" s="308" t="s">
        <v>345</v>
      </c>
      <c r="F688" s="333" t="s">
        <v>119</v>
      </c>
      <c r="G688" s="269">
        <v>50484.1</v>
      </c>
      <c r="H688" s="22"/>
      <c r="I688" s="22"/>
    </row>
    <row r="689" spans="1:9" s="94" customFormat="1" ht="15">
      <c r="A689" s="122" t="s">
        <v>500</v>
      </c>
      <c r="B689" s="337"/>
      <c r="C689" s="308" t="s">
        <v>116</v>
      </c>
      <c r="D689" s="308" t="s">
        <v>461</v>
      </c>
      <c r="E689" s="308" t="s">
        <v>345</v>
      </c>
      <c r="F689" s="338">
        <v>800</v>
      </c>
      <c r="G689" s="269">
        <v>15737.4</v>
      </c>
      <c r="H689" s="22"/>
      <c r="I689" s="22"/>
    </row>
    <row r="690" spans="1:9" s="94" customFormat="1" ht="42.75">
      <c r="A690" s="182" t="s">
        <v>665</v>
      </c>
      <c r="B690" s="322"/>
      <c r="C690" s="311" t="s">
        <v>116</v>
      </c>
      <c r="D690" s="311" t="s">
        <v>461</v>
      </c>
      <c r="E690" s="311" t="s">
        <v>666</v>
      </c>
      <c r="F690" s="313"/>
      <c r="G690" s="177">
        <f>SUM(G691)</f>
        <v>4549</v>
      </c>
      <c r="H690" s="22"/>
      <c r="I690" s="22"/>
    </row>
    <row r="691" spans="1:9" s="94" customFormat="1" ht="15">
      <c r="A691" s="122" t="s">
        <v>499</v>
      </c>
      <c r="B691" s="337"/>
      <c r="C691" s="311" t="s">
        <v>116</v>
      </c>
      <c r="D691" s="311" t="s">
        <v>461</v>
      </c>
      <c r="E691" s="311" t="s">
        <v>666</v>
      </c>
      <c r="F691" s="338">
        <v>200</v>
      </c>
      <c r="G691" s="269">
        <v>4549</v>
      </c>
      <c r="H691" s="22"/>
      <c r="I691" s="22"/>
    </row>
    <row r="692" spans="1:9" s="94" customFormat="1" ht="71.25">
      <c r="A692" s="129" t="s">
        <v>609</v>
      </c>
      <c r="B692" s="326"/>
      <c r="C692" s="308" t="s">
        <v>116</v>
      </c>
      <c r="D692" s="308" t="s">
        <v>461</v>
      </c>
      <c r="E692" s="308" t="s">
        <v>318</v>
      </c>
      <c r="F692" s="333"/>
      <c r="G692" s="269">
        <f>SUM(G693+G694)+G695</f>
        <v>309752.3</v>
      </c>
      <c r="H692" s="22"/>
      <c r="I692" s="22"/>
    </row>
    <row r="693" spans="1:9" s="94" customFormat="1" ht="28.5">
      <c r="A693" s="122" t="s">
        <v>494</v>
      </c>
      <c r="B693" s="326"/>
      <c r="C693" s="308" t="s">
        <v>116</v>
      </c>
      <c r="D693" s="308" t="s">
        <v>461</v>
      </c>
      <c r="E693" s="308" t="s">
        <v>318</v>
      </c>
      <c r="F693" s="333" t="s">
        <v>495</v>
      </c>
      <c r="G693" s="269">
        <v>305012.3</v>
      </c>
      <c r="H693" s="22"/>
      <c r="I693" s="22"/>
    </row>
    <row r="694" spans="1:9" ht="15">
      <c r="A694" s="122" t="s">
        <v>499</v>
      </c>
      <c r="B694" s="326"/>
      <c r="C694" s="308" t="s">
        <v>116</v>
      </c>
      <c r="D694" s="308" t="s">
        <v>461</v>
      </c>
      <c r="E694" s="308" t="s">
        <v>318</v>
      </c>
      <c r="F694" s="333" t="s">
        <v>119</v>
      </c>
      <c r="G694" s="269">
        <v>4724.4</v>
      </c>
      <c r="H694" s="22"/>
      <c r="I694" s="22"/>
    </row>
    <row r="695" spans="1:9" ht="15">
      <c r="A695" s="122" t="s">
        <v>500</v>
      </c>
      <c r="B695" s="326"/>
      <c r="C695" s="308" t="s">
        <v>116</v>
      </c>
      <c r="D695" s="308" t="s">
        <v>461</v>
      </c>
      <c r="E695" s="308" t="s">
        <v>318</v>
      </c>
      <c r="F695" s="333" t="s">
        <v>175</v>
      </c>
      <c r="G695" s="269">
        <v>15.6</v>
      </c>
      <c r="H695" s="22"/>
      <c r="I695" s="22"/>
    </row>
    <row r="696" spans="1:9" ht="15">
      <c r="A696" s="122" t="s">
        <v>319</v>
      </c>
      <c r="B696" s="332"/>
      <c r="C696" s="308" t="s">
        <v>116</v>
      </c>
      <c r="D696" s="308" t="s">
        <v>461</v>
      </c>
      <c r="E696" s="308" t="s">
        <v>320</v>
      </c>
      <c r="F696" s="333"/>
      <c r="G696" s="269">
        <f>SUM(G697)</f>
        <v>59079.1</v>
      </c>
      <c r="H696" s="22">
        <v>56722</v>
      </c>
      <c r="I696" s="22">
        <f>SUM(H696/G709*100)</f>
        <v>5988.386824324324</v>
      </c>
    </row>
    <row r="697" spans="1:9" ht="15">
      <c r="A697" s="122" t="s">
        <v>605</v>
      </c>
      <c r="B697" s="326"/>
      <c r="C697" s="308" t="s">
        <v>116</v>
      </c>
      <c r="D697" s="308" t="s">
        <v>461</v>
      </c>
      <c r="E697" s="308" t="s">
        <v>78</v>
      </c>
      <c r="F697" s="333"/>
      <c r="G697" s="269">
        <f>SUM(G700)+G702</f>
        <v>59079.1</v>
      </c>
      <c r="H697" s="22"/>
      <c r="I697" s="22"/>
    </row>
    <row r="698" spans="1:9" ht="42.75" hidden="1">
      <c r="A698" s="122" t="s">
        <v>210</v>
      </c>
      <c r="B698" s="326"/>
      <c r="C698" s="308" t="s">
        <v>116</v>
      </c>
      <c r="D698" s="308" t="s">
        <v>461</v>
      </c>
      <c r="E698" s="308" t="s">
        <v>212</v>
      </c>
      <c r="F698" s="333"/>
      <c r="G698" s="269">
        <f>SUM(G699)</f>
        <v>0</v>
      </c>
      <c r="H698" s="22" t="e">
        <f>SUM(#REF!+H738+H772+#REF!)+#REF!+H699</f>
        <v>#REF!</v>
      </c>
      <c r="I698" s="22" t="e">
        <f>SUM(H698/G711*100)</f>
        <v>#REF!</v>
      </c>
    </row>
    <row r="699" spans="1:9" ht="15" hidden="1">
      <c r="A699" s="122" t="s">
        <v>156</v>
      </c>
      <c r="B699" s="326"/>
      <c r="C699" s="308" t="s">
        <v>116</v>
      </c>
      <c r="D699" s="308" t="s">
        <v>461</v>
      </c>
      <c r="E699" s="308" t="s">
        <v>212</v>
      </c>
      <c r="F699" s="333" t="s">
        <v>82</v>
      </c>
      <c r="G699" s="269"/>
      <c r="H699" s="22" t="e">
        <f>SUM(#REF!+#REF!)</f>
        <v>#REF!</v>
      </c>
      <c r="I699" s="22" t="e">
        <f>SUM(H699/#REF!*100)</f>
        <v>#REF!</v>
      </c>
    </row>
    <row r="700" spans="1:9" ht="28.5">
      <c r="A700" s="122" t="s">
        <v>93</v>
      </c>
      <c r="B700" s="326"/>
      <c r="C700" s="308" t="s">
        <v>116</v>
      </c>
      <c r="D700" s="308" t="s">
        <v>461</v>
      </c>
      <c r="E700" s="308" t="s">
        <v>79</v>
      </c>
      <c r="F700" s="333"/>
      <c r="G700" s="269">
        <f>SUM(G701)</f>
        <v>52107.5</v>
      </c>
      <c r="H700" s="22"/>
      <c r="I700" s="22"/>
    </row>
    <row r="701" spans="1:9" ht="28.5">
      <c r="A701" s="122" t="s">
        <v>516</v>
      </c>
      <c r="B701" s="326"/>
      <c r="C701" s="308" t="s">
        <v>116</v>
      </c>
      <c r="D701" s="308" t="s">
        <v>461</v>
      </c>
      <c r="E701" s="308" t="s">
        <v>79</v>
      </c>
      <c r="F701" s="333" t="s">
        <v>512</v>
      </c>
      <c r="G701" s="269">
        <v>52107.5</v>
      </c>
      <c r="H701" s="22"/>
      <c r="I701" s="22"/>
    </row>
    <row r="702" spans="1:9" ht="15">
      <c r="A702" s="182" t="s">
        <v>156</v>
      </c>
      <c r="B702" s="326"/>
      <c r="C702" s="308" t="s">
        <v>116</v>
      </c>
      <c r="D702" s="308" t="s">
        <v>461</v>
      </c>
      <c r="E702" s="308" t="s">
        <v>150</v>
      </c>
      <c r="F702" s="333"/>
      <c r="G702" s="269">
        <f>SUM(G703)</f>
        <v>6971.6</v>
      </c>
      <c r="H702" s="22"/>
      <c r="I702" s="22"/>
    </row>
    <row r="703" spans="1:9" ht="15">
      <c r="A703" s="180" t="s">
        <v>214</v>
      </c>
      <c r="B703" s="326"/>
      <c r="C703" s="308" t="s">
        <v>116</v>
      </c>
      <c r="D703" s="308" t="s">
        <v>461</v>
      </c>
      <c r="E703" s="308" t="s">
        <v>219</v>
      </c>
      <c r="F703" s="333"/>
      <c r="G703" s="269">
        <f>SUM(G704)</f>
        <v>6971.6</v>
      </c>
      <c r="H703" s="22"/>
      <c r="I703" s="22"/>
    </row>
    <row r="704" spans="1:9" ht="28.5">
      <c r="A704" s="122" t="s">
        <v>523</v>
      </c>
      <c r="B704" s="326"/>
      <c r="C704" s="308" t="s">
        <v>116</v>
      </c>
      <c r="D704" s="308" t="s">
        <v>461</v>
      </c>
      <c r="E704" s="308" t="s">
        <v>219</v>
      </c>
      <c r="F704" s="333" t="s">
        <v>512</v>
      </c>
      <c r="G704" s="269">
        <v>6971.6</v>
      </c>
      <c r="H704" s="22"/>
      <c r="I704" s="22"/>
    </row>
    <row r="705" spans="1:9" ht="15">
      <c r="A705" s="122" t="s">
        <v>329</v>
      </c>
      <c r="B705" s="332"/>
      <c r="C705" s="308" t="s">
        <v>116</v>
      </c>
      <c r="D705" s="308" t="s">
        <v>461</v>
      </c>
      <c r="E705" s="308" t="s">
        <v>330</v>
      </c>
      <c r="F705" s="333"/>
      <c r="G705" s="269">
        <f>SUM(G706)</f>
        <v>52679.1</v>
      </c>
      <c r="H705" s="22"/>
      <c r="I705" s="22"/>
    </row>
    <row r="706" spans="1:9" ht="28.5">
      <c r="A706" s="122" t="s">
        <v>56</v>
      </c>
      <c r="B706" s="326"/>
      <c r="C706" s="308" t="s">
        <v>116</v>
      </c>
      <c r="D706" s="308" t="s">
        <v>461</v>
      </c>
      <c r="E706" s="308" t="s">
        <v>331</v>
      </c>
      <c r="F706" s="333"/>
      <c r="G706" s="269">
        <f>SUM(G707+G708+G709+G710)</f>
        <v>52679.1</v>
      </c>
      <c r="H706" s="22"/>
      <c r="I706" s="22"/>
    </row>
    <row r="707" spans="1:9" ht="28.5">
      <c r="A707" s="122" t="s">
        <v>494</v>
      </c>
      <c r="B707" s="326"/>
      <c r="C707" s="308" t="s">
        <v>116</v>
      </c>
      <c r="D707" s="308" t="s">
        <v>461</v>
      </c>
      <c r="E707" s="308" t="s">
        <v>610</v>
      </c>
      <c r="F707" s="333" t="s">
        <v>495</v>
      </c>
      <c r="G707" s="269">
        <v>2687.8</v>
      </c>
      <c r="H707" s="22"/>
      <c r="I707" s="22"/>
    </row>
    <row r="708" spans="1:11" ht="15">
      <c r="A708" s="122" t="s">
        <v>499</v>
      </c>
      <c r="B708" s="326"/>
      <c r="C708" s="308" t="s">
        <v>116</v>
      </c>
      <c r="D708" s="308" t="s">
        <v>461</v>
      </c>
      <c r="E708" s="308" t="s">
        <v>263</v>
      </c>
      <c r="F708" s="333" t="s">
        <v>119</v>
      </c>
      <c r="G708" s="269">
        <v>3234.4</v>
      </c>
      <c r="H708" s="22">
        <f>SUM(H709)</f>
        <v>56722</v>
      </c>
      <c r="I708" s="22">
        <f>SUM(H708/G739*100)</f>
        <v>3308.7557603686632</v>
      </c>
      <c r="K708" s="112"/>
    </row>
    <row r="709" spans="1:9" ht="15">
      <c r="A709" s="122" t="s">
        <v>500</v>
      </c>
      <c r="B709" s="326"/>
      <c r="C709" s="308" t="s">
        <v>116</v>
      </c>
      <c r="D709" s="308" t="s">
        <v>461</v>
      </c>
      <c r="E709" s="308" t="s">
        <v>263</v>
      </c>
      <c r="F709" s="333" t="s">
        <v>175</v>
      </c>
      <c r="G709" s="269">
        <v>947.2</v>
      </c>
      <c r="H709" s="22">
        <v>56722</v>
      </c>
      <c r="I709" s="22" t="e">
        <f>SUM(H709/#REF!*100)</f>
        <v>#REF!</v>
      </c>
    </row>
    <row r="710" spans="1:9" ht="71.25">
      <c r="A710" s="122" t="s">
        <v>611</v>
      </c>
      <c r="B710" s="326"/>
      <c r="C710" s="308" t="s">
        <v>116</v>
      </c>
      <c r="D710" s="308" t="s">
        <v>461</v>
      </c>
      <c r="E710" s="308" t="s">
        <v>332</v>
      </c>
      <c r="F710" s="333"/>
      <c r="G710" s="269">
        <f>SUM(G711+G712)</f>
        <v>45809.7</v>
      </c>
      <c r="H710" s="22">
        <v>56722</v>
      </c>
      <c r="I710" s="22" t="e">
        <f>SUM(H710/#REF!*100)</f>
        <v>#REF!</v>
      </c>
    </row>
    <row r="711" spans="1:9" ht="28.5">
      <c r="A711" s="122" t="s">
        <v>494</v>
      </c>
      <c r="B711" s="326"/>
      <c r="C711" s="308" t="s">
        <v>116</v>
      </c>
      <c r="D711" s="308" t="s">
        <v>461</v>
      </c>
      <c r="E711" s="308" t="s">
        <v>332</v>
      </c>
      <c r="F711" s="333" t="s">
        <v>495</v>
      </c>
      <c r="G711" s="269">
        <v>42420.5</v>
      </c>
      <c r="H711" s="22" t="e">
        <f>SUM(H712+H733+H735+#REF!)+H737+H714+H731+#REF!</f>
        <v>#REF!</v>
      </c>
      <c r="I711" s="22" t="e">
        <f>SUM(H711/G740*100)</f>
        <v>#REF!</v>
      </c>
    </row>
    <row r="712" spans="1:9" ht="15">
      <c r="A712" s="122" t="s">
        <v>499</v>
      </c>
      <c r="B712" s="326"/>
      <c r="C712" s="308" t="s">
        <v>116</v>
      </c>
      <c r="D712" s="308" t="s">
        <v>461</v>
      </c>
      <c r="E712" s="308" t="s">
        <v>332</v>
      </c>
      <c r="F712" s="333" t="s">
        <v>119</v>
      </c>
      <c r="G712" s="269">
        <v>3389.2</v>
      </c>
      <c r="H712" s="22">
        <v>53118.9</v>
      </c>
      <c r="I712" s="22">
        <f>SUM(H712/G741*100)</f>
        <v>1327972.5</v>
      </c>
    </row>
    <row r="713" spans="1:9" ht="15">
      <c r="A713" s="122" t="s">
        <v>333</v>
      </c>
      <c r="B713" s="332"/>
      <c r="C713" s="308" t="s">
        <v>116</v>
      </c>
      <c r="D713" s="308" t="s">
        <v>461</v>
      </c>
      <c r="E713" s="308" t="s">
        <v>334</v>
      </c>
      <c r="F713" s="333"/>
      <c r="G713" s="269">
        <f>G714</f>
        <v>6110</v>
      </c>
      <c r="H713" s="22">
        <f>SUM(H714)</f>
        <v>0</v>
      </c>
      <c r="I713" s="22">
        <f>SUM(H713/G742*100)</f>
        <v>0</v>
      </c>
    </row>
    <row r="714" spans="1:9" ht="15">
      <c r="A714" s="122" t="s">
        <v>231</v>
      </c>
      <c r="B714" s="332"/>
      <c r="C714" s="308" t="s">
        <v>116</v>
      </c>
      <c r="D714" s="308" t="s">
        <v>461</v>
      </c>
      <c r="E714" s="308" t="s">
        <v>293</v>
      </c>
      <c r="F714" s="333"/>
      <c r="G714" s="269">
        <f>G715</f>
        <v>6110</v>
      </c>
      <c r="H714" s="22"/>
      <c r="I714" s="22">
        <f>SUM(H714/G743*100)</f>
        <v>0</v>
      </c>
    </row>
    <row r="715" spans="1:9" ht="57">
      <c r="A715" s="122" t="s">
        <v>612</v>
      </c>
      <c r="B715" s="332"/>
      <c r="C715" s="308" t="s">
        <v>116</v>
      </c>
      <c r="D715" s="308" t="s">
        <v>461</v>
      </c>
      <c r="E715" s="308" t="s">
        <v>289</v>
      </c>
      <c r="F715" s="333"/>
      <c r="G715" s="269">
        <f>G716</f>
        <v>6110</v>
      </c>
      <c r="H715" s="22"/>
      <c r="I715" s="22"/>
    </row>
    <row r="716" spans="1:9" ht="28.5">
      <c r="A716" s="122" t="s">
        <v>516</v>
      </c>
      <c r="B716" s="332"/>
      <c r="C716" s="308" t="s">
        <v>116</v>
      </c>
      <c r="D716" s="308" t="s">
        <v>461</v>
      </c>
      <c r="E716" s="308" t="s">
        <v>289</v>
      </c>
      <c r="F716" s="333" t="s">
        <v>512</v>
      </c>
      <c r="G716" s="269">
        <v>6110</v>
      </c>
      <c r="H716" s="22"/>
      <c r="I716" s="22"/>
    </row>
    <row r="717" spans="1:9" ht="15">
      <c r="A717" s="122" t="s">
        <v>680</v>
      </c>
      <c r="B717" s="332"/>
      <c r="C717" s="308" t="s">
        <v>116</v>
      </c>
      <c r="D717" s="308" t="s">
        <v>461</v>
      </c>
      <c r="E717" s="308" t="s">
        <v>682</v>
      </c>
      <c r="F717" s="333"/>
      <c r="G717" s="269">
        <f>SUM(G718)</f>
        <v>2885</v>
      </c>
      <c r="H717" s="22"/>
      <c r="I717" s="22"/>
    </row>
    <row r="718" spans="1:9" ht="28.5">
      <c r="A718" s="122" t="s">
        <v>681</v>
      </c>
      <c r="B718" s="332"/>
      <c r="C718" s="308" t="s">
        <v>116</v>
      </c>
      <c r="D718" s="308" t="s">
        <v>461</v>
      </c>
      <c r="E718" s="308" t="s">
        <v>683</v>
      </c>
      <c r="F718" s="333"/>
      <c r="G718" s="269">
        <f>SUM(G720:G721)+G719</f>
        <v>2885</v>
      </c>
      <c r="H718" s="22"/>
      <c r="I718" s="22"/>
    </row>
    <row r="719" spans="1:9" ht="28.5">
      <c r="A719" s="122" t="s">
        <v>494</v>
      </c>
      <c r="B719" s="332"/>
      <c r="C719" s="308" t="s">
        <v>116</v>
      </c>
      <c r="D719" s="308" t="s">
        <v>461</v>
      </c>
      <c r="E719" s="308" t="s">
        <v>683</v>
      </c>
      <c r="F719" s="333" t="s">
        <v>495</v>
      </c>
      <c r="G719" s="269">
        <v>195.7</v>
      </c>
      <c r="H719" s="22"/>
      <c r="I719" s="22"/>
    </row>
    <row r="720" spans="1:9" ht="15">
      <c r="A720" s="122" t="s">
        <v>499</v>
      </c>
      <c r="B720" s="332"/>
      <c r="C720" s="308" t="s">
        <v>116</v>
      </c>
      <c r="D720" s="308" t="s">
        <v>461</v>
      </c>
      <c r="E720" s="308" t="s">
        <v>683</v>
      </c>
      <c r="F720" s="333" t="s">
        <v>119</v>
      </c>
      <c r="G720" s="269">
        <v>43.5</v>
      </c>
      <c r="H720" s="22"/>
      <c r="I720" s="22"/>
    </row>
    <row r="721" spans="1:9" ht="28.5">
      <c r="A721" s="122" t="s">
        <v>523</v>
      </c>
      <c r="B721" s="332"/>
      <c r="C721" s="308" t="s">
        <v>116</v>
      </c>
      <c r="D721" s="308" t="s">
        <v>461</v>
      </c>
      <c r="E721" s="308" t="s">
        <v>683</v>
      </c>
      <c r="F721" s="333" t="s">
        <v>512</v>
      </c>
      <c r="G721" s="269">
        <v>2645.8</v>
      </c>
      <c r="H721" s="22"/>
      <c r="I721" s="22"/>
    </row>
    <row r="722" spans="1:9" ht="15">
      <c r="A722" s="122" t="s">
        <v>593</v>
      </c>
      <c r="B722" s="327"/>
      <c r="C722" s="308" t="s">
        <v>116</v>
      </c>
      <c r="D722" s="308" t="s">
        <v>461</v>
      </c>
      <c r="E722" s="308" t="s">
        <v>128</v>
      </c>
      <c r="F722" s="333"/>
      <c r="G722" s="269">
        <f>G723+G726</f>
        <v>2436.6</v>
      </c>
      <c r="H722" s="22"/>
      <c r="I722" s="22"/>
    </row>
    <row r="723" spans="1:9" ht="28.5">
      <c r="A723" s="122" t="s">
        <v>723</v>
      </c>
      <c r="B723" s="337"/>
      <c r="C723" s="308" t="s">
        <v>116</v>
      </c>
      <c r="D723" s="308" t="s">
        <v>461</v>
      </c>
      <c r="E723" s="308" t="s">
        <v>724</v>
      </c>
      <c r="F723" s="333"/>
      <c r="G723" s="269">
        <f>SUM(G724:G725)</f>
        <v>2326.7</v>
      </c>
      <c r="H723" s="22"/>
      <c r="I723" s="22"/>
    </row>
    <row r="724" spans="1:9" ht="15">
      <c r="A724" s="122" t="s">
        <v>499</v>
      </c>
      <c r="B724" s="337"/>
      <c r="C724" s="308" t="s">
        <v>116</v>
      </c>
      <c r="D724" s="308" t="s">
        <v>461</v>
      </c>
      <c r="E724" s="308" t="s">
        <v>724</v>
      </c>
      <c r="F724" s="333" t="s">
        <v>119</v>
      </c>
      <c r="G724" s="269">
        <v>2126.7</v>
      </c>
      <c r="H724" s="22"/>
      <c r="I724" s="22"/>
    </row>
    <row r="725" spans="1:9" ht="28.5">
      <c r="A725" s="122" t="s">
        <v>523</v>
      </c>
      <c r="B725" s="337"/>
      <c r="C725" s="308" t="s">
        <v>116</v>
      </c>
      <c r="D725" s="308" t="s">
        <v>461</v>
      </c>
      <c r="E725" s="308" t="s">
        <v>724</v>
      </c>
      <c r="F725" s="333" t="s">
        <v>512</v>
      </c>
      <c r="G725" s="269">
        <v>200</v>
      </c>
      <c r="H725" s="22"/>
      <c r="I725" s="22"/>
    </row>
    <row r="726" spans="1:9" ht="28.5">
      <c r="A726" s="122" t="s">
        <v>726</v>
      </c>
      <c r="B726" s="332"/>
      <c r="C726" s="308" t="s">
        <v>116</v>
      </c>
      <c r="D726" s="308" t="s">
        <v>461</v>
      </c>
      <c r="E726" s="308" t="s">
        <v>727</v>
      </c>
      <c r="F726" s="333"/>
      <c r="G726" s="269">
        <f>SUM(G727:G729)</f>
        <v>109.9</v>
      </c>
      <c r="H726" s="22"/>
      <c r="I726" s="22">
        <f>SUM(H726/G744*100)</f>
        <v>0</v>
      </c>
    </row>
    <row r="727" spans="1:9" ht="28.5">
      <c r="A727" s="122" t="s">
        <v>494</v>
      </c>
      <c r="B727" s="332"/>
      <c r="C727" s="308" t="s">
        <v>116</v>
      </c>
      <c r="D727" s="308" t="s">
        <v>461</v>
      </c>
      <c r="E727" s="308" t="s">
        <v>727</v>
      </c>
      <c r="F727" s="333" t="s">
        <v>495</v>
      </c>
      <c r="G727" s="269">
        <v>5.2</v>
      </c>
      <c r="H727" s="22"/>
      <c r="I727" s="22"/>
    </row>
    <row r="728" spans="1:9" ht="15">
      <c r="A728" s="122" t="s">
        <v>499</v>
      </c>
      <c r="B728" s="332"/>
      <c r="C728" s="308" t="s">
        <v>116</v>
      </c>
      <c r="D728" s="308" t="s">
        <v>461</v>
      </c>
      <c r="E728" s="308" t="s">
        <v>727</v>
      </c>
      <c r="F728" s="333" t="s">
        <v>119</v>
      </c>
      <c r="G728" s="269">
        <v>101</v>
      </c>
      <c r="H728" s="22"/>
      <c r="I728" s="22" t="e">
        <f>SUM(H728/G745*100)</f>
        <v>#DIV/0!</v>
      </c>
    </row>
    <row r="729" spans="1:9" ht="28.5">
      <c r="A729" s="122" t="s">
        <v>523</v>
      </c>
      <c r="B729" s="332"/>
      <c r="C729" s="308" t="s">
        <v>116</v>
      </c>
      <c r="D729" s="308" t="s">
        <v>461</v>
      </c>
      <c r="E729" s="308" t="s">
        <v>727</v>
      </c>
      <c r="F729" s="333" t="s">
        <v>512</v>
      </c>
      <c r="G729" s="269">
        <v>3.7</v>
      </c>
      <c r="H729" s="22"/>
      <c r="I729" s="22"/>
    </row>
    <row r="730" spans="1:9" ht="14.25" customHeight="1">
      <c r="A730" s="122" t="s">
        <v>117</v>
      </c>
      <c r="B730" s="332"/>
      <c r="C730" s="308" t="s">
        <v>116</v>
      </c>
      <c r="D730" s="308" t="s">
        <v>116</v>
      </c>
      <c r="E730" s="308"/>
      <c r="F730" s="333"/>
      <c r="G730" s="269">
        <f>SUM(G735+G742+G731+G757)+G753</f>
        <v>46849.600000000006</v>
      </c>
      <c r="H730" s="22"/>
      <c r="I730" s="22">
        <f>SUM(H730/G746*100)</f>
        <v>0</v>
      </c>
    </row>
    <row r="731" spans="1:9" ht="15" hidden="1">
      <c r="A731" s="122" t="s">
        <v>406</v>
      </c>
      <c r="B731" s="332"/>
      <c r="C731" s="308" t="s">
        <v>116</v>
      </c>
      <c r="D731" s="308" t="s">
        <v>116</v>
      </c>
      <c r="E731" s="308" t="s">
        <v>408</v>
      </c>
      <c r="F731" s="333"/>
      <c r="G731" s="269">
        <f>SUM(G732)</f>
        <v>0</v>
      </c>
      <c r="H731" s="22">
        <f>SUM(H732)</f>
        <v>0</v>
      </c>
      <c r="I731" s="22">
        <f>SUM(H731/G757*100)</f>
        <v>0</v>
      </c>
    </row>
    <row r="732" spans="1:9" ht="15" hidden="1">
      <c r="A732" s="122" t="s">
        <v>386</v>
      </c>
      <c r="B732" s="332"/>
      <c r="C732" s="308" t="s">
        <v>116</v>
      </c>
      <c r="D732" s="308" t="s">
        <v>116</v>
      </c>
      <c r="E732" s="308" t="s">
        <v>387</v>
      </c>
      <c r="F732" s="333"/>
      <c r="G732" s="269">
        <f>SUM(G733+G734)</f>
        <v>0</v>
      </c>
      <c r="H732" s="22"/>
      <c r="I732" s="22">
        <f>SUM(H732/G760*100)</f>
        <v>0</v>
      </c>
    </row>
    <row r="733" spans="1:9" ht="15" hidden="1">
      <c r="A733" s="122" t="s">
        <v>499</v>
      </c>
      <c r="B733" s="332"/>
      <c r="C733" s="308" t="s">
        <v>116</v>
      </c>
      <c r="D733" s="308" t="s">
        <v>116</v>
      </c>
      <c r="E733" s="308" t="s">
        <v>387</v>
      </c>
      <c r="F733" s="333" t="s">
        <v>246</v>
      </c>
      <c r="G733" s="269"/>
      <c r="H733" s="22">
        <f>SUM(H734)</f>
        <v>5014</v>
      </c>
      <c r="I733" s="22">
        <f>SUM(H733/G761*100)</f>
        <v>1207.6107899807323</v>
      </c>
    </row>
    <row r="734" spans="1:9" ht="15" hidden="1">
      <c r="A734" s="122" t="s">
        <v>222</v>
      </c>
      <c r="B734" s="332"/>
      <c r="C734" s="308" t="s">
        <v>116</v>
      </c>
      <c r="D734" s="308" t="s">
        <v>116</v>
      </c>
      <c r="E734" s="308" t="s">
        <v>387</v>
      </c>
      <c r="F734" s="333" t="s">
        <v>223</v>
      </c>
      <c r="G734" s="269"/>
      <c r="H734" s="22">
        <v>5014</v>
      </c>
      <c r="I734" s="22">
        <f>SUM(H734/G763*100)</f>
        <v>13.59120664651749</v>
      </c>
    </row>
    <row r="735" spans="1:9" ht="15">
      <c r="A735" s="122" t="s">
        <v>224</v>
      </c>
      <c r="B735" s="332"/>
      <c r="C735" s="308" t="s">
        <v>116</v>
      </c>
      <c r="D735" s="308" t="s">
        <v>116</v>
      </c>
      <c r="E735" s="308" t="s">
        <v>225</v>
      </c>
      <c r="F735" s="333"/>
      <c r="G735" s="269">
        <f>SUM(G738+G736)</f>
        <v>2260.2999999999997</v>
      </c>
      <c r="H735" s="22">
        <f>SUM(H736)</f>
        <v>0</v>
      </c>
      <c r="I735" s="22">
        <f>SUM(H735/G764*100)</f>
        <v>0</v>
      </c>
    </row>
    <row r="736" spans="1:9" ht="28.5">
      <c r="A736" s="122" t="s">
        <v>256</v>
      </c>
      <c r="B736" s="332"/>
      <c r="C736" s="308" t="s">
        <v>116</v>
      </c>
      <c r="D736" s="308" t="s">
        <v>116</v>
      </c>
      <c r="E736" s="308" t="s">
        <v>213</v>
      </c>
      <c r="F736" s="333"/>
      <c r="G736" s="269">
        <f>SUM(G737)</f>
        <v>396.4</v>
      </c>
      <c r="H736" s="22"/>
      <c r="I736" s="22">
        <f>SUM(H736/G765*100)</f>
        <v>0</v>
      </c>
    </row>
    <row r="737" spans="1:9" ht="15">
      <c r="A737" s="122" t="s">
        <v>499</v>
      </c>
      <c r="B737" s="332"/>
      <c r="C737" s="308" t="s">
        <v>116</v>
      </c>
      <c r="D737" s="308" t="s">
        <v>116</v>
      </c>
      <c r="E737" s="308" t="s">
        <v>213</v>
      </c>
      <c r="F737" s="333" t="s">
        <v>119</v>
      </c>
      <c r="G737" s="269">
        <v>396.4</v>
      </c>
      <c r="H737" s="22" t="e">
        <f>SUM(#REF!)</f>
        <v>#REF!</v>
      </c>
      <c r="I737" s="22" t="e">
        <f>SUM(H737/G766*100)</f>
        <v>#REF!</v>
      </c>
    </row>
    <row r="738" spans="1:9" ht="28.5">
      <c r="A738" s="122" t="s">
        <v>56</v>
      </c>
      <c r="B738" s="332"/>
      <c r="C738" s="308" t="s">
        <v>116</v>
      </c>
      <c r="D738" s="308" t="s">
        <v>116</v>
      </c>
      <c r="E738" s="308" t="s">
        <v>228</v>
      </c>
      <c r="F738" s="333"/>
      <c r="G738" s="269">
        <f>SUM(G739+G740+G741)</f>
        <v>1863.8999999999999</v>
      </c>
      <c r="H738" s="22">
        <f>SUM(H755)</f>
        <v>39140.2</v>
      </c>
      <c r="I738" s="22">
        <f>SUM(H738/G778*100)</f>
        <v>394.8450488257606</v>
      </c>
    </row>
    <row r="739" spans="1:9" ht="28.5">
      <c r="A739" s="122" t="s">
        <v>494</v>
      </c>
      <c r="B739" s="332"/>
      <c r="C739" s="308" t="s">
        <v>116</v>
      </c>
      <c r="D739" s="308" t="s">
        <v>116</v>
      </c>
      <c r="E739" s="308" t="s">
        <v>228</v>
      </c>
      <c r="F739" s="333" t="s">
        <v>495</v>
      </c>
      <c r="G739" s="269">
        <v>1714.3</v>
      </c>
      <c r="H739" s="22" t="e">
        <f>SUM(H743+#REF!+#REF!)</f>
        <v>#REF!</v>
      </c>
      <c r="I739" s="22" t="e">
        <f>SUM(H739/G779*100)</f>
        <v>#REF!</v>
      </c>
    </row>
    <row r="740" spans="1:9" ht="15">
      <c r="A740" s="122" t="s">
        <v>499</v>
      </c>
      <c r="B740" s="332"/>
      <c r="C740" s="308" t="s">
        <v>116</v>
      </c>
      <c r="D740" s="308" t="s">
        <v>116</v>
      </c>
      <c r="E740" s="308" t="s">
        <v>228</v>
      </c>
      <c r="F740" s="333" t="s">
        <v>119</v>
      </c>
      <c r="G740" s="269">
        <v>145.6</v>
      </c>
      <c r="H740" s="22"/>
      <c r="I740" s="22"/>
    </row>
    <row r="741" spans="1:9" ht="15">
      <c r="A741" s="122" t="s">
        <v>500</v>
      </c>
      <c r="B741" s="332"/>
      <c r="C741" s="308" t="s">
        <v>116</v>
      </c>
      <c r="D741" s="308" t="s">
        <v>116</v>
      </c>
      <c r="E741" s="308" t="s">
        <v>228</v>
      </c>
      <c r="F741" s="333" t="s">
        <v>175</v>
      </c>
      <c r="G741" s="269">
        <v>4</v>
      </c>
      <c r="H741" s="22"/>
      <c r="I741" s="22"/>
    </row>
    <row r="742" spans="1:9" ht="15">
      <c r="A742" s="128" t="s">
        <v>229</v>
      </c>
      <c r="B742" s="332"/>
      <c r="C742" s="308" t="s">
        <v>116</v>
      </c>
      <c r="D742" s="308" t="s">
        <v>116</v>
      </c>
      <c r="E742" s="308" t="s">
        <v>118</v>
      </c>
      <c r="F742" s="333"/>
      <c r="G742" s="269">
        <f>SUM(G743)</f>
        <v>43840.3</v>
      </c>
      <c r="H742" s="22"/>
      <c r="I742" s="22"/>
    </row>
    <row r="743" spans="1:9" ht="28.5" hidden="1">
      <c r="A743" s="128" t="s">
        <v>89</v>
      </c>
      <c r="B743" s="332"/>
      <c r="C743" s="308" t="s">
        <v>116</v>
      </c>
      <c r="D743" s="308" t="s">
        <v>116</v>
      </c>
      <c r="E743" s="308" t="s">
        <v>90</v>
      </c>
      <c r="F743" s="333"/>
      <c r="G743" s="269">
        <f>SUM(G744)+G749</f>
        <v>43840.3</v>
      </c>
      <c r="H743" s="22">
        <v>56722</v>
      </c>
      <c r="I743" s="22" t="e">
        <f>SUM(H743/#REF!*100)</f>
        <v>#REF!</v>
      </c>
    </row>
    <row r="744" spans="1:9" ht="42.75">
      <c r="A744" s="128" t="s">
        <v>91</v>
      </c>
      <c r="B744" s="332"/>
      <c r="C744" s="308" t="s">
        <v>116</v>
      </c>
      <c r="D744" s="308" t="s">
        <v>116</v>
      </c>
      <c r="E744" s="308" t="s">
        <v>92</v>
      </c>
      <c r="F744" s="333"/>
      <c r="G744" s="269">
        <f>SUM(G746:G748)</f>
        <v>24504.8</v>
      </c>
      <c r="H744" s="22"/>
      <c r="I744" s="22"/>
    </row>
    <row r="745" spans="1:9" ht="15" hidden="1">
      <c r="A745" s="122" t="s">
        <v>57</v>
      </c>
      <c r="B745" s="332"/>
      <c r="C745" s="308" t="s">
        <v>116</v>
      </c>
      <c r="D745" s="308" t="s">
        <v>116</v>
      </c>
      <c r="E745" s="308" t="s">
        <v>92</v>
      </c>
      <c r="F745" s="333"/>
      <c r="G745" s="269"/>
      <c r="H745" s="22"/>
      <c r="I745" s="22"/>
    </row>
    <row r="746" spans="1:9" ht="15">
      <c r="A746" s="122" t="s">
        <v>499</v>
      </c>
      <c r="B746" s="332"/>
      <c r="C746" s="308" t="s">
        <v>116</v>
      </c>
      <c r="D746" s="308" t="s">
        <v>116</v>
      </c>
      <c r="E746" s="308" t="s">
        <v>92</v>
      </c>
      <c r="F746" s="333" t="s">
        <v>119</v>
      </c>
      <c r="G746" s="269">
        <v>2096.4</v>
      </c>
      <c r="H746" s="22"/>
      <c r="I746" s="22"/>
    </row>
    <row r="747" spans="1:9" ht="28.5">
      <c r="A747" s="122" t="s">
        <v>523</v>
      </c>
      <c r="B747" s="332"/>
      <c r="C747" s="308" t="s">
        <v>116</v>
      </c>
      <c r="D747" s="308" t="s">
        <v>116</v>
      </c>
      <c r="E747" s="308" t="s">
        <v>92</v>
      </c>
      <c r="F747" s="333" t="s">
        <v>512</v>
      </c>
      <c r="G747" s="269">
        <v>2246.6</v>
      </c>
      <c r="H747" s="22"/>
      <c r="I747" s="22"/>
    </row>
    <row r="748" spans="1:9" ht="15">
      <c r="A748" s="122" t="s">
        <v>500</v>
      </c>
      <c r="B748" s="332"/>
      <c r="C748" s="308" t="s">
        <v>116</v>
      </c>
      <c r="D748" s="308" t="s">
        <v>116</v>
      </c>
      <c r="E748" s="308" t="s">
        <v>92</v>
      </c>
      <c r="F748" s="333" t="s">
        <v>175</v>
      </c>
      <c r="G748" s="269">
        <v>20161.8</v>
      </c>
      <c r="H748" s="22"/>
      <c r="I748" s="22"/>
    </row>
    <row r="749" spans="1:9" ht="42.75">
      <c r="A749" s="128" t="s">
        <v>728</v>
      </c>
      <c r="B749" s="332"/>
      <c r="C749" s="308" t="s">
        <v>116</v>
      </c>
      <c r="D749" s="308" t="s">
        <v>116</v>
      </c>
      <c r="E749" s="308" t="s">
        <v>729</v>
      </c>
      <c r="F749" s="333"/>
      <c r="G749" s="269">
        <f>SUM(G750:G752)</f>
        <v>19335.5</v>
      </c>
      <c r="H749" s="22"/>
      <c r="I749" s="22"/>
    </row>
    <row r="750" spans="1:9" ht="15">
      <c r="A750" s="122" t="s">
        <v>499</v>
      </c>
      <c r="B750" s="332"/>
      <c r="C750" s="308" t="s">
        <v>116</v>
      </c>
      <c r="D750" s="308" t="s">
        <v>116</v>
      </c>
      <c r="E750" s="308" t="s">
        <v>729</v>
      </c>
      <c r="F750" s="333" t="s">
        <v>119</v>
      </c>
      <c r="G750" s="269">
        <v>3812.9</v>
      </c>
      <c r="H750" s="22"/>
      <c r="I750" s="22"/>
    </row>
    <row r="751" spans="1:9" ht="28.5">
      <c r="A751" s="122" t="s">
        <v>523</v>
      </c>
      <c r="B751" s="332"/>
      <c r="C751" s="308" t="s">
        <v>116</v>
      </c>
      <c r="D751" s="308" t="s">
        <v>116</v>
      </c>
      <c r="E751" s="308" t="s">
        <v>729</v>
      </c>
      <c r="F751" s="333" t="s">
        <v>512</v>
      </c>
      <c r="G751" s="269">
        <v>4413.2</v>
      </c>
      <c r="H751" s="22"/>
      <c r="I751" s="22"/>
    </row>
    <row r="752" spans="1:9" ht="15">
      <c r="A752" s="122" t="s">
        <v>500</v>
      </c>
      <c r="B752" s="332"/>
      <c r="C752" s="308" t="s">
        <v>116</v>
      </c>
      <c r="D752" s="308" t="s">
        <v>116</v>
      </c>
      <c r="E752" s="308" t="s">
        <v>729</v>
      </c>
      <c r="F752" s="333" t="s">
        <v>175</v>
      </c>
      <c r="G752" s="269">
        <v>11109.4</v>
      </c>
      <c r="H752" s="22"/>
      <c r="I752" s="22"/>
    </row>
    <row r="753" spans="1:9" ht="15">
      <c r="A753" s="122" t="s">
        <v>680</v>
      </c>
      <c r="B753" s="326"/>
      <c r="C753" s="308" t="s">
        <v>116</v>
      </c>
      <c r="D753" s="308" t="s">
        <v>116</v>
      </c>
      <c r="E753" s="308" t="s">
        <v>682</v>
      </c>
      <c r="F753" s="333"/>
      <c r="G753" s="269">
        <f>SUM(G754)</f>
        <v>220.1</v>
      </c>
      <c r="H753" s="22"/>
      <c r="I753" s="22"/>
    </row>
    <row r="754" spans="1:9" ht="42.75">
      <c r="A754" s="122" t="s">
        <v>730</v>
      </c>
      <c r="B754" s="332"/>
      <c r="C754" s="308" t="s">
        <v>116</v>
      </c>
      <c r="D754" s="308" t="s">
        <v>116</v>
      </c>
      <c r="E754" s="308" t="s">
        <v>731</v>
      </c>
      <c r="F754" s="333"/>
      <c r="G754" s="269">
        <f>SUM(G755)</f>
        <v>220.1</v>
      </c>
      <c r="H754" s="22"/>
      <c r="I754" s="22"/>
    </row>
    <row r="755" spans="1:9" ht="28.5">
      <c r="A755" s="122" t="s">
        <v>732</v>
      </c>
      <c r="B755" s="332"/>
      <c r="C755" s="308" t="s">
        <v>116</v>
      </c>
      <c r="D755" s="308" t="s">
        <v>116</v>
      </c>
      <c r="E755" s="308" t="s">
        <v>733</v>
      </c>
      <c r="F755" s="333"/>
      <c r="G755" s="269">
        <f>SUM(G756)</f>
        <v>220.1</v>
      </c>
      <c r="H755" s="22">
        <f>SUM(H756+H764+H757)</f>
        <v>39140.2</v>
      </c>
      <c r="I755" s="22" t="e">
        <f>SUM(H755/#REF!*100)</f>
        <v>#REF!</v>
      </c>
    </row>
    <row r="756" spans="1:9" ht="15">
      <c r="A756" s="122" t="s">
        <v>499</v>
      </c>
      <c r="B756" s="332"/>
      <c r="C756" s="308" t="s">
        <v>116</v>
      </c>
      <c r="D756" s="308" t="s">
        <v>116</v>
      </c>
      <c r="E756" s="308" t="s">
        <v>733</v>
      </c>
      <c r="F756" s="333" t="s">
        <v>119</v>
      </c>
      <c r="G756" s="269">
        <v>220.1</v>
      </c>
      <c r="H756" s="22">
        <v>39061.6</v>
      </c>
      <c r="I756" s="22" t="e">
        <f>SUM(H756/#REF!*100)</f>
        <v>#REF!</v>
      </c>
    </row>
    <row r="757" spans="1:9" ht="15">
      <c r="A757" s="122" t="s">
        <v>593</v>
      </c>
      <c r="B757" s="327"/>
      <c r="C757" s="308" t="s">
        <v>116</v>
      </c>
      <c r="D757" s="308" t="s">
        <v>116</v>
      </c>
      <c r="E757" s="308" t="s">
        <v>128</v>
      </c>
      <c r="F757" s="333"/>
      <c r="G757" s="269">
        <f>SUM(G760)+G758</f>
        <v>528.9</v>
      </c>
      <c r="H757" s="22">
        <f>SUM(H761)</f>
        <v>78.6</v>
      </c>
      <c r="I757" s="22" t="e">
        <f>SUM(H757/#REF!*100)</f>
        <v>#REF!</v>
      </c>
    </row>
    <row r="758" spans="1:9" ht="42.75">
      <c r="A758" s="412" t="s">
        <v>781</v>
      </c>
      <c r="B758" s="327"/>
      <c r="C758" s="308" t="s">
        <v>116</v>
      </c>
      <c r="D758" s="308" t="s">
        <v>116</v>
      </c>
      <c r="E758" s="308" t="s">
        <v>780</v>
      </c>
      <c r="F758" s="333"/>
      <c r="G758" s="269">
        <f>SUM(G759)</f>
        <v>10</v>
      </c>
      <c r="H758" s="22"/>
      <c r="I758" s="22"/>
    </row>
    <row r="759" spans="1:9" ht="15">
      <c r="A759" s="122" t="s">
        <v>499</v>
      </c>
      <c r="B759" s="327"/>
      <c r="C759" s="308" t="s">
        <v>116</v>
      </c>
      <c r="D759" s="308" t="s">
        <v>116</v>
      </c>
      <c r="E759" s="308" t="s">
        <v>780</v>
      </c>
      <c r="F759" s="333"/>
      <c r="G759" s="269">
        <v>10</v>
      </c>
      <c r="H759" s="22"/>
      <c r="I759" s="22"/>
    </row>
    <row r="760" spans="1:9" ht="15">
      <c r="A760" s="161" t="s">
        <v>613</v>
      </c>
      <c r="B760" s="327"/>
      <c r="C760" s="308" t="s">
        <v>116</v>
      </c>
      <c r="D760" s="308" t="s">
        <v>116</v>
      </c>
      <c r="E760" s="308" t="s">
        <v>96</v>
      </c>
      <c r="F760" s="333"/>
      <c r="G760" s="271">
        <f>SUM(G761:G762)</f>
        <v>518.9</v>
      </c>
      <c r="H760" s="22"/>
      <c r="I760" s="22"/>
    </row>
    <row r="761" spans="1:9" ht="15">
      <c r="A761" s="122" t="s">
        <v>499</v>
      </c>
      <c r="B761" s="327"/>
      <c r="C761" s="308" t="s">
        <v>116</v>
      </c>
      <c r="D761" s="308" t="s">
        <v>116</v>
      </c>
      <c r="E761" s="308" t="s">
        <v>96</v>
      </c>
      <c r="F761" s="333" t="s">
        <v>119</v>
      </c>
      <c r="G761" s="271">
        <v>415.2</v>
      </c>
      <c r="H761" s="22">
        <v>78.6</v>
      </c>
      <c r="I761" s="22" t="e">
        <f>SUM(H761/#REF!*100)</f>
        <v>#REF!</v>
      </c>
    </row>
    <row r="762" spans="1:9" ht="28.5">
      <c r="A762" s="122" t="s">
        <v>523</v>
      </c>
      <c r="B762" s="327"/>
      <c r="C762" s="308" t="s">
        <v>116</v>
      </c>
      <c r="D762" s="308" t="s">
        <v>116</v>
      </c>
      <c r="E762" s="308" t="s">
        <v>96</v>
      </c>
      <c r="F762" s="333" t="s">
        <v>512</v>
      </c>
      <c r="G762" s="271">
        <v>103.7</v>
      </c>
      <c r="H762" s="22"/>
      <c r="I762" s="22" t="e">
        <f>SUM(H762/#REF!*100)</f>
        <v>#REF!</v>
      </c>
    </row>
    <row r="763" spans="1:9" ht="15">
      <c r="A763" s="122" t="s">
        <v>230</v>
      </c>
      <c r="B763" s="332"/>
      <c r="C763" s="308" t="s">
        <v>116</v>
      </c>
      <c r="D763" s="308" t="s">
        <v>299</v>
      </c>
      <c r="E763" s="308"/>
      <c r="F763" s="333"/>
      <c r="G763" s="269">
        <f>G764+G769</f>
        <v>36891.5</v>
      </c>
      <c r="H763" s="22"/>
      <c r="I763" s="22" t="e">
        <f>SUM(H763/#REF!*100)</f>
        <v>#REF!</v>
      </c>
    </row>
    <row r="764" spans="1:9" s="100" customFormat="1" ht="42.75">
      <c r="A764" s="128" t="s">
        <v>290</v>
      </c>
      <c r="B764" s="332"/>
      <c r="C764" s="308" t="s">
        <v>116</v>
      </c>
      <c r="D764" s="308" t="s">
        <v>299</v>
      </c>
      <c r="E764" s="308" t="s">
        <v>291</v>
      </c>
      <c r="F764" s="333"/>
      <c r="G764" s="269">
        <f>SUM(G765)</f>
        <v>36761.5</v>
      </c>
      <c r="H764" s="22">
        <f>SUM(H766)</f>
        <v>0</v>
      </c>
      <c r="I764" s="22" t="e">
        <f>SUM(H764/#REF!*100)</f>
        <v>#REF!</v>
      </c>
    </row>
    <row r="765" spans="1:9" ht="28.5">
      <c r="A765" s="122" t="s">
        <v>56</v>
      </c>
      <c r="B765" s="332"/>
      <c r="C765" s="308" t="s">
        <v>116</v>
      </c>
      <c r="D765" s="308" t="s">
        <v>299</v>
      </c>
      <c r="E765" s="308" t="s">
        <v>292</v>
      </c>
      <c r="F765" s="333"/>
      <c r="G765" s="269">
        <f>SUM(G766+G767+G768)</f>
        <v>36761.5</v>
      </c>
      <c r="H765" s="22"/>
      <c r="I765" s="22" t="e">
        <f>SUM(H765/#REF!*100)</f>
        <v>#REF!</v>
      </c>
    </row>
    <row r="766" spans="1:9" ht="28.5">
      <c r="A766" s="122" t="s">
        <v>494</v>
      </c>
      <c r="B766" s="332"/>
      <c r="C766" s="308" t="s">
        <v>116</v>
      </c>
      <c r="D766" s="308" t="s">
        <v>299</v>
      </c>
      <c r="E766" s="308" t="s">
        <v>292</v>
      </c>
      <c r="F766" s="333" t="s">
        <v>495</v>
      </c>
      <c r="G766" s="269">
        <v>32886.6</v>
      </c>
      <c r="H766" s="22"/>
      <c r="I766" s="22" t="e">
        <f>SUM(H766/#REF!*100)</f>
        <v>#REF!</v>
      </c>
    </row>
    <row r="767" spans="1:9" ht="15">
      <c r="A767" s="122" t="s">
        <v>499</v>
      </c>
      <c r="B767" s="327"/>
      <c r="C767" s="308" t="s">
        <v>116</v>
      </c>
      <c r="D767" s="308" t="s">
        <v>299</v>
      </c>
      <c r="E767" s="308" t="s">
        <v>292</v>
      </c>
      <c r="F767" s="333" t="s">
        <v>119</v>
      </c>
      <c r="G767" s="269">
        <v>3424.9</v>
      </c>
      <c r="H767" s="22"/>
      <c r="I767" s="22"/>
    </row>
    <row r="768" spans="1:9" ht="15">
      <c r="A768" s="122" t="s">
        <v>500</v>
      </c>
      <c r="B768" s="332"/>
      <c r="C768" s="308" t="s">
        <v>116</v>
      </c>
      <c r="D768" s="308" t="s">
        <v>299</v>
      </c>
      <c r="E768" s="308" t="s">
        <v>292</v>
      </c>
      <c r="F768" s="333" t="s">
        <v>175</v>
      </c>
      <c r="G768" s="269">
        <v>450</v>
      </c>
      <c r="H768" s="22"/>
      <c r="I768" s="22"/>
    </row>
    <row r="769" spans="1:9" ht="15">
      <c r="A769" s="122" t="s">
        <v>593</v>
      </c>
      <c r="B769" s="327"/>
      <c r="C769" s="308" t="s">
        <v>116</v>
      </c>
      <c r="D769" s="308" t="s">
        <v>299</v>
      </c>
      <c r="E769" s="308" t="s">
        <v>128</v>
      </c>
      <c r="F769" s="333"/>
      <c r="G769" s="269">
        <f>SUM(G772)+G770</f>
        <v>130</v>
      </c>
      <c r="H769" s="22"/>
      <c r="I769" s="22"/>
    </row>
    <row r="770" spans="1:9" ht="28.5">
      <c r="A770" s="122" t="s">
        <v>723</v>
      </c>
      <c r="B770" s="337"/>
      <c r="C770" s="308" t="s">
        <v>116</v>
      </c>
      <c r="D770" s="308" t="s">
        <v>299</v>
      </c>
      <c r="E770" s="308" t="s">
        <v>724</v>
      </c>
      <c r="F770" s="333"/>
      <c r="G770" s="269">
        <f>SUM(G771)</f>
        <v>30</v>
      </c>
      <c r="H770" s="22"/>
      <c r="I770" s="22"/>
    </row>
    <row r="771" spans="1:9" ht="15">
      <c r="A771" s="122" t="s">
        <v>499</v>
      </c>
      <c r="B771" s="337"/>
      <c r="C771" s="308" t="s">
        <v>116</v>
      </c>
      <c r="D771" s="308" t="s">
        <v>299</v>
      </c>
      <c r="E771" s="308" t="s">
        <v>724</v>
      </c>
      <c r="F771" s="333" t="s">
        <v>119</v>
      </c>
      <c r="G771" s="269">
        <v>30</v>
      </c>
      <c r="H771" s="22"/>
      <c r="I771" s="22"/>
    </row>
    <row r="772" spans="1:9" ht="28.5">
      <c r="A772" s="122" t="s">
        <v>726</v>
      </c>
      <c r="B772" s="332"/>
      <c r="C772" s="308" t="s">
        <v>116</v>
      </c>
      <c r="D772" s="308" t="s">
        <v>299</v>
      </c>
      <c r="E772" s="308" t="s">
        <v>727</v>
      </c>
      <c r="F772" s="333"/>
      <c r="G772" s="269">
        <f>SUM(G773)</f>
        <v>100</v>
      </c>
      <c r="H772" s="22">
        <f>SUM(H773)</f>
        <v>13875.4</v>
      </c>
      <c r="I772" s="22" t="e">
        <f>SUM(H772/#REF!*100)</f>
        <v>#REF!</v>
      </c>
    </row>
    <row r="773" spans="1:9" ht="15">
      <c r="A773" s="122" t="s">
        <v>499</v>
      </c>
      <c r="B773" s="332"/>
      <c r="C773" s="308" t="s">
        <v>116</v>
      </c>
      <c r="D773" s="308" t="s">
        <v>299</v>
      </c>
      <c r="E773" s="308" t="s">
        <v>727</v>
      </c>
      <c r="F773" s="333" t="s">
        <v>119</v>
      </c>
      <c r="G773" s="269">
        <v>100</v>
      </c>
      <c r="H773" s="22">
        <f>SUM(H775+H777+H779)</f>
        <v>13875.4</v>
      </c>
      <c r="I773" s="22" t="e">
        <f>SUM(H773/#REF!*100)</f>
        <v>#REF!</v>
      </c>
    </row>
    <row r="774" spans="1:9" ht="15">
      <c r="A774" s="122" t="s">
        <v>187</v>
      </c>
      <c r="B774" s="332"/>
      <c r="C774" s="308" t="s">
        <v>5</v>
      </c>
      <c r="D774" s="308"/>
      <c r="E774" s="308"/>
      <c r="F774" s="333"/>
      <c r="G774" s="269">
        <f>SUM(G779)+G775</f>
        <v>36976.3</v>
      </c>
      <c r="H774" s="22"/>
      <c r="I774" s="22" t="e">
        <f>SUM(H774/#REF!*100)</f>
        <v>#REF!</v>
      </c>
    </row>
    <row r="775" spans="1:9" ht="15">
      <c r="A775" s="128" t="s">
        <v>25</v>
      </c>
      <c r="B775" s="332"/>
      <c r="C775" s="308" t="s">
        <v>5</v>
      </c>
      <c r="D775" s="308" t="s">
        <v>105</v>
      </c>
      <c r="E775" s="308"/>
      <c r="F775" s="333"/>
      <c r="G775" s="269">
        <f>SUM(G776)</f>
        <v>9912.8</v>
      </c>
      <c r="H775" s="22">
        <f>SUM(H776)</f>
        <v>0</v>
      </c>
      <c r="I775" s="22" t="e">
        <f>SUM(H775/#REF!*100)</f>
        <v>#REF!</v>
      </c>
    </row>
    <row r="776" spans="1:9" ht="15">
      <c r="A776" s="124" t="s">
        <v>26</v>
      </c>
      <c r="B776" s="332"/>
      <c r="C776" s="308" t="s">
        <v>5</v>
      </c>
      <c r="D776" s="308" t="s">
        <v>105</v>
      </c>
      <c r="E776" s="308" t="s">
        <v>27</v>
      </c>
      <c r="F776" s="333"/>
      <c r="G776" s="269">
        <f>SUM(G777)</f>
        <v>9912.8</v>
      </c>
      <c r="H776" s="22"/>
      <c r="I776" s="22" t="e">
        <f>SUM(H776/#REF!*100)</f>
        <v>#REF!</v>
      </c>
    </row>
    <row r="777" spans="1:9" ht="42.75">
      <c r="A777" s="124" t="s">
        <v>614</v>
      </c>
      <c r="B777" s="332"/>
      <c r="C777" s="308" t="s">
        <v>5</v>
      </c>
      <c r="D777" s="308" t="s">
        <v>105</v>
      </c>
      <c r="E777" s="308" t="s">
        <v>182</v>
      </c>
      <c r="F777" s="333"/>
      <c r="G777" s="269">
        <f>SUM(G778)</f>
        <v>9912.8</v>
      </c>
      <c r="H777" s="22">
        <f>SUM(H778)</f>
        <v>12.8</v>
      </c>
      <c r="I777" s="22" t="e">
        <f>SUM(H777/#REF!*100)</f>
        <v>#REF!</v>
      </c>
    </row>
    <row r="778" spans="1:9" ht="15">
      <c r="A778" s="124" t="s">
        <v>504</v>
      </c>
      <c r="B778" s="332"/>
      <c r="C778" s="308" t="s">
        <v>5</v>
      </c>
      <c r="D778" s="308" t="s">
        <v>105</v>
      </c>
      <c r="E778" s="308" t="s">
        <v>182</v>
      </c>
      <c r="F778" s="333" t="s">
        <v>505</v>
      </c>
      <c r="G778" s="269">
        <v>9912.8</v>
      </c>
      <c r="H778" s="22">
        <v>12.8</v>
      </c>
      <c r="I778" s="22" t="e">
        <f>SUM(H778/#REF!*100)</f>
        <v>#REF!</v>
      </c>
    </row>
    <row r="779" spans="1:9" ht="15">
      <c r="A779" s="128" t="s">
        <v>157</v>
      </c>
      <c r="B779" s="332"/>
      <c r="C779" s="308" t="s">
        <v>5</v>
      </c>
      <c r="D779" s="308" t="s">
        <v>121</v>
      </c>
      <c r="E779" s="308"/>
      <c r="F779" s="333"/>
      <c r="G779" s="269">
        <f>SUM(G780)</f>
        <v>27063.5</v>
      </c>
      <c r="H779" s="22">
        <f>SUM(H780)</f>
        <v>13862.6</v>
      </c>
      <c r="I779" s="22" t="e">
        <f>SUM(H779/#REF!*100)</f>
        <v>#REF!</v>
      </c>
    </row>
    <row r="780" spans="1:9" ht="15">
      <c r="A780" s="124" t="s">
        <v>335</v>
      </c>
      <c r="B780" s="332"/>
      <c r="C780" s="308" t="s">
        <v>5</v>
      </c>
      <c r="D780" s="308" t="s">
        <v>121</v>
      </c>
      <c r="E780" s="308" t="s">
        <v>336</v>
      </c>
      <c r="F780" s="333"/>
      <c r="G780" s="269">
        <f>SUM(G781)</f>
        <v>27063.5</v>
      </c>
      <c r="H780" s="22">
        <v>13862.6</v>
      </c>
      <c r="I780" s="22" t="e">
        <f>SUM(H780/#REF!*100)</f>
        <v>#REF!</v>
      </c>
    </row>
    <row r="781" spans="1:9" ht="42.75">
      <c r="A781" s="124" t="s">
        <v>159</v>
      </c>
      <c r="B781" s="332"/>
      <c r="C781" s="308" t="s">
        <v>5</v>
      </c>
      <c r="D781" s="308" t="s">
        <v>121</v>
      </c>
      <c r="E781" s="308" t="s">
        <v>160</v>
      </c>
      <c r="F781" s="333"/>
      <c r="G781" s="269">
        <f>SUM(G782)</f>
        <v>27063.5</v>
      </c>
      <c r="H781" s="22">
        <f>SUM(H782)</f>
        <v>199.3</v>
      </c>
      <c r="I781" s="22">
        <f>SUM(H781/G808*100)</f>
        <v>100.65656565656566</v>
      </c>
    </row>
    <row r="782" spans="1:9" ht="15">
      <c r="A782" s="124" t="s">
        <v>504</v>
      </c>
      <c r="B782" s="332"/>
      <c r="C782" s="308" t="s">
        <v>5</v>
      </c>
      <c r="D782" s="308" t="s">
        <v>121</v>
      </c>
      <c r="E782" s="308" t="s">
        <v>160</v>
      </c>
      <c r="F782" s="333" t="s">
        <v>505</v>
      </c>
      <c r="G782" s="269">
        <v>27063.5</v>
      </c>
      <c r="H782" s="22">
        <v>199.3</v>
      </c>
      <c r="I782" s="22">
        <f>SUM(H782/G809*100)</f>
        <v>195.00978473581213</v>
      </c>
    </row>
    <row r="783" spans="1:9" ht="15">
      <c r="A783" s="120" t="s">
        <v>305</v>
      </c>
      <c r="B783" s="289" t="s">
        <v>264</v>
      </c>
      <c r="C783" s="288"/>
      <c r="D783" s="288"/>
      <c r="E783" s="288"/>
      <c r="F783" s="285"/>
      <c r="G783" s="270">
        <f>SUM(G784+G814)</f>
        <v>182706.8</v>
      </c>
      <c r="H783" s="22"/>
      <c r="I783" s="22"/>
    </row>
    <row r="784" spans="1:9" ht="15">
      <c r="A784" s="117" t="s">
        <v>115</v>
      </c>
      <c r="B784" s="282"/>
      <c r="C784" s="288" t="s">
        <v>116</v>
      </c>
      <c r="D784" s="288"/>
      <c r="E784" s="288"/>
      <c r="F784" s="285"/>
      <c r="G784" s="266">
        <f>SUM(G785)+G801</f>
        <v>60214.399999999994</v>
      </c>
      <c r="H784" s="22" t="e">
        <f>SUM(#REF!)</f>
        <v>#REF!</v>
      </c>
      <c r="I784" s="22" t="e">
        <f>SUM(H784/G811*100)</f>
        <v>#REF!</v>
      </c>
    </row>
    <row r="785" spans="1:9" ht="15">
      <c r="A785" s="117" t="s">
        <v>342</v>
      </c>
      <c r="B785" s="289"/>
      <c r="C785" s="288" t="s">
        <v>116</v>
      </c>
      <c r="D785" s="288" t="s">
        <v>461</v>
      </c>
      <c r="E785" s="288"/>
      <c r="F785" s="285"/>
      <c r="G785" s="266">
        <f>SUM(G786+G798)+G795</f>
        <v>59907.2</v>
      </c>
      <c r="H785" s="22"/>
      <c r="I785" s="22"/>
    </row>
    <row r="786" spans="1:9" ht="15">
      <c r="A786" s="117" t="s">
        <v>319</v>
      </c>
      <c r="B786" s="282"/>
      <c r="C786" s="288" t="s">
        <v>116</v>
      </c>
      <c r="D786" s="288" t="s">
        <v>461</v>
      </c>
      <c r="E786" s="288" t="s">
        <v>320</v>
      </c>
      <c r="F786" s="285"/>
      <c r="G786" s="266">
        <f>SUM(G787)</f>
        <v>59260</v>
      </c>
      <c r="H786" s="22"/>
      <c r="I786" s="22"/>
    </row>
    <row r="787" spans="1:9" ht="15">
      <c r="A787" s="117" t="s">
        <v>15</v>
      </c>
      <c r="B787" s="289"/>
      <c r="C787" s="288" t="s">
        <v>116</v>
      </c>
      <c r="D787" s="288" t="s">
        <v>461</v>
      </c>
      <c r="E787" s="288" t="s">
        <v>78</v>
      </c>
      <c r="F787" s="285"/>
      <c r="G787" s="266">
        <f>SUM(G788)+G790</f>
        <v>59260</v>
      </c>
      <c r="H787" s="22" t="e">
        <f>SUM(H788+H840)</f>
        <v>#REF!</v>
      </c>
      <c r="I787" s="22" t="e">
        <f>SUM(H787/G814*100)</f>
        <v>#REF!</v>
      </c>
    </row>
    <row r="788" spans="1:9" ht="35.25" customHeight="1">
      <c r="A788" s="117" t="s">
        <v>93</v>
      </c>
      <c r="B788" s="289"/>
      <c r="C788" s="288" t="s">
        <v>116</v>
      </c>
      <c r="D788" s="288" t="s">
        <v>461</v>
      </c>
      <c r="E788" s="288" t="s">
        <v>79</v>
      </c>
      <c r="F788" s="285"/>
      <c r="G788" s="266">
        <f>SUM(G789)</f>
        <v>58899.5</v>
      </c>
      <c r="H788" s="22" t="e">
        <f>SUM(#REF!+H813+H789+H833)</f>
        <v>#REF!</v>
      </c>
      <c r="I788" s="22" t="e">
        <f>SUM(H788/G815*100)</f>
        <v>#REF!</v>
      </c>
    </row>
    <row r="789" spans="1:9" ht="28.5">
      <c r="A789" s="122" t="s">
        <v>516</v>
      </c>
      <c r="B789" s="326"/>
      <c r="C789" s="288" t="s">
        <v>116</v>
      </c>
      <c r="D789" s="288" t="s">
        <v>461</v>
      </c>
      <c r="E789" s="288" t="s">
        <v>79</v>
      </c>
      <c r="F789" s="286" t="s">
        <v>512</v>
      </c>
      <c r="G789" s="266">
        <v>58899.5</v>
      </c>
      <c r="H789" s="22">
        <f>SUM(H808)</f>
        <v>14679.5</v>
      </c>
      <c r="I789" s="22">
        <f>SUM(H789/G816*100)</f>
        <v>23.142287349345356</v>
      </c>
    </row>
    <row r="790" spans="1:9" ht="15">
      <c r="A790" s="122" t="s">
        <v>156</v>
      </c>
      <c r="B790" s="326"/>
      <c r="C790" s="288" t="s">
        <v>116</v>
      </c>
      <c r="D790" s="288" t="s">
        <v>461</v>
      </c>
      <c r="E790" s="288" t="s">
        <v>150</v>
      </c>
      <c r="F790" s="286"/>
      <c r="G790" s="266">
        <f>SUM(G793)+G791</f>
        <v>360.5</v>
      </c>
      <c r="H790" s="22">
        <f>SUM(H791)</f>
        <v>0</v>
      </c>
      <c r="I790" s="22">
        <f>SUM(H790/G823*100)</f>
        <v>0</v>
      </c>
    </row>
    <row r="791" spans="1:9" ht="26.25" customHeight="1">
      <c r="A791" s="122" t="s">
        <v>462</v>
      </c>
      <c r="B791" s="326"/>
      <c r="C791" s="288" t="s">
        <v>116</v>
      </c>
      <c r="D791" s="288" t="s">
        <v>461</v>
      </c>
      <c r="E791" s="288" t="s">
        <v>463</v>
      </c>
      <c r="F791" s="286"/>
      <c r="G791" s="266">
        <f>SUM(G792)</f>
        <v>310.5</v>
      </c>
      <c r="H791" s="22"/>
      <c r="I791" s="22"/>
    </row>
    <row r="792" spans="1:9" ht="27.75" customHeight="1">
      <c r="A792" s="122" t="s">
        <v>516</v>
      </c>
      <c r="B792" s="326"/>
      <c r="C792" s="288" t="s">
        <v>116</v>
      </c>
      <c r="D792" s="288" t="s">
        <v>461</v>
      </c>
      <c r="E792" s="288" t="s">
        <v>463</v>
      </c>
      <c r="F792" s="286" t="s">
        <v>82</v>
      </c>
      <c r="G792" s="266">
        <v>310.5</v>
      </c>
      <c r="H792" s="22">
        <f>SUM(H794+H844+H842)</f>
        <v>61355.8</v>
      </c>
      <c r="I792" s="22" t="e">
        <f>SUM(H792/G827*100)</f>
        <v>#DIV/0!</v>
      </c>
    </row>
    <row r="793" spans="1:9" ht="15">
      <c r="A793" s="122" t="s">
        <v>153</v>
      </c>
      <c r="B793" s="326"/>
      <c r="C793" s="288" t="s">
        <v>116</v>
      </c>
      <c r="D793" s="288" t="s">
        <v>461</v>
      </c>
      <c r="E793" s="288" t="s">
        <v>219</v>
      </c>
      <c r="F793" s="286"/>
      <c r="G793" s="266">
        <f>SUM(G794)</f>
        <v>50</v>
      </c>
      <c r="H793" s="22"/>
      <c r="I793" s="22"/>
    </row>
    <row r="794" spans="1:9" ht="27.75" customHeight="1">
      <c r="A794" s="122" t="s">
        <v>516</v>
      </c>
      <c r="B794" s="326"/>
      <c r="C794" s="288" t="s">
        <v>116</v>
      </c>
      <c r="D794" s="288" t="s">
        <v>461</v>
      </c>
      <c r="E794" s="288" t="s">
        <v>219</v>
      </c>
      <c r="F794" s="286" t="s">
        <v>512</v>
      </c>
      <c r="G794" s="266">
        <v>50</v>
      </c>
      <c r="H794" s="22">
        <v>56722</v>
      </c>
      <c r="I794" s="22" t="e">
        <f>SUM(H794/G829*100)</f>
        <v>#DIV/0!</v>
      </c>
    </row>
    <row r="795" spans="1:9" ht="28.5">
      <c r="A795" s="121" t="s">
        <v>598</v>
      </c>
      <c r="B795" s="326"/>
      <c r="C795" s="288" t="s">
        <v>116</v>
      </c>
      <c r="D795" s="288" t="s">
        <v>461</v>
      </c>
      <c r="E795" s="288" t="s">
        <v>135</v>
      </c>
      <c r="F795" s="286"/>
      <c r="G795" s="266">
        <f>SUM(G797)</f>
        <v>647.2</v>
      </c>
      <c r="H795" s="22"/>
      <c r="I795" s="22"/>
    </row>
    <row r="796" spans="1:9" ht="28.5">
      <c r="A796" s="121" t="s">
        <v>1048</v>
      </c>
      <c r="B796" s="326"/>
      <c r="C796" s="288" t="s">
        <v>116</v>
      </c>
      <c r="D796" s="288" t="s">
        <v>461</v>
      </c>
      <c r="E796" s="288" t="s">
        <v>1049</v>
      </c>
      <c r="F796" s="286"/>
      <c r="G796" s="266">
        <f>SUM(G797)</f>
        <v>647.2</v>
      </c>
      <c r="H796" s="22"/>
      <c r="I796" s="22"/>
    </row>
    <row r="797" spans="1:9" ht="27.75" customHeight="1">
      <c r="A797" s="122" t="s">
        <v>516</v>
      </c>
      <c r="B797" s="326"/>
      <c r="C797" s="288" t="s">
        <v>116</v>
      </c>
      <c r="D797" s="288" t="s">
        <v>461</v>
      </c>
      <c r="E797" s="288" t="s">
        <v>1049</v>
      </c>
      <c r="F797" s="286" t="s">
        <v>512</v>
      </c>
      <c r="G797" s="266">
        <v>647.2</v>
      </c>
      <c r="H797" s="22"/>
      <c r="I797" s="22"/>
    </row>
    <row r="798" spans="1:9" ht="15" hidden="1">
      <c r="A798" s="122" t="s">
        <v>127</v>
      </c>
      <c r="B798" s="289"/>
      <c r="C798" s="288" t="s">
        <v>116</v>
      </c>
      <c r="D798" s="288" t="s">
        <v>461</v>
      </c>
      <c r="E798" s="288" t="s">
        <v>128</v>
      </c>
      <c r="F798" s="285"/>
      <c r="G798" s="266">
        <f>SUM(G799)+G802</f>
        <v>0</v>
      </c>
      <c r="H798" s="22"/>
      <c r="I798" s="22"/>
    </row>
    <row r="799" spans="1:9" ht="27.75" customHeight="1" hidden="1">
      <c r="A799" s="117" t="s">
        <v>207</v>
      </c>
      <c r="B799" s="289"/>
      <c r="C799" s="288" t="s">
        <v>116</v>
      </c>
      <c r="D799" s="288" t="s">
        <v>461</v>
      </c>
      <c r="E799" s="288" t="s">
        <v>297</v>
      </c>
      <c r="F799" s="285"/>
      <c r="G799" s="266">
        <f>SUM(G800)</f>
        <v>0</v>
      </c>
      <c r="H799" s="22"/>
      <c r="I799" s="22"/>
    </row>
    <row r="800" spans="1:9" ht="28.5" hidden="1">
      <c r="A800" s="122" t="s">
        <v>516</v>
      </c>
      <c r="B800" s="289"/>
      <c r="C800" s="288" t="s">
        <v>116</v>
      </c>
      <c r="D800" s="288" t="s">
        <v>461</v>
      </c>
      <c r="E800" s="288" t="s">
        <v>297</v>
      </c>
      <c r="F800" s="285" t="s">
        <v>82</v>
      </c>
      <c r="G800" s="266"/>
      <c r="H800" s="22"/>
      <c r="I800" s="22"/>
    </row>
    <row r="801" spans="1:9" ht="15">
      <c r="A801" s="117" t="s">
        <v>117</v>
      </c>
      <c r="B801" s="282"/>
      <c r="C801" s="283" t="s">
        <v>116</v>
      </c>
      <c r="D801" s="283" t="s">
        <v>116</v>
      </c>
      <c r="E801" s="288"/>
      <c r="F801" s="286"/>
      <c r="G801" s="266">
        <f>SUM(G807+G802+G805+G811)</f>
        <v>307.2</v>
      </c>
      <c r="H801" s="22"/>
      <c r="I801" s="22"/>
    </row>
    <row r="802" spans="1:9" ht="15" hidden="1">
      <c r="A802" s="121" t="s">
        <v>224</v>
      </c>
      <c r="B802" s="292"/>
      <c r="C802" s="288" t="s">
        <v>116</v>
      </c>
      <c r="D802" s="288" t="s">
        <v>116</v>
      </c>
      <c r="E802" s="288" t="s">
        <v>225</v>
      </c>
      <c r="F802" s="285"/>
      <c r="G802" s="266">
        <f>SUM(G803)</f>
        <v>0</v>
      </c>
      <c r="H802" s="22"/>
      <c r="I802" s="22"/>
    </row>
    <row r="803" spans="1:9" ht="15" hidden="1">
      <c r="A803" s="121" t="s">
        <v>226</v>
      </c>
      <c r="B803" s="292"/>
      <c r="C803" s="288" t="s">
        <v>116</v>
      </c>
      <c r="D803" s="288" t="s">
        <v>116</v>
      </c>
      <c r="E803" s="288" t="s">
        <v>227</v>
      </c>
      <c r="F803" s="285"/>
      <c r="G803" s="266">
        <f>SUM(G804)</f>
        <v>0</v>
      </c>
      <c r="H803" s="22"/>
      <c r="I803" s="22"/>
    </row>
    <row r="804" spans="1:9" ht="15" hidden="1">
      <c r="A804" s="122" t="s">
        <v>245</v>
      </c>
      <c r="B804" s="292"/>
      <c r="C804" s="288" t="s">
        <v>116</v>
      </c>
      <c r="D804" s="288" t="s">
        <v>116</v>
      </c>
      <c r="E804" s="288" t="s">
        <v>227</v>
      </c>
      <c r="F804" s="285" t="s">
        <v>246</v>
      </c>
      <c r="G804" s="266"/>
      <c r="H804" s="22"/>
      <c r="I804" s="22"/>
    </row>
    <row r="805" spans="1:9" ht="15" hidden="1">
      <c r="A805" s="122" t="s">
        <v>386</v>
      </c>
      <c r="B805" s="292"/>
      <c r="C805" s="288" t="s">
        <v>116</v>
      </c>
      <c r="D805" s="288" t="s">
        <v>116</v>
      </c>
      <c r="E805" s="288" t="s">
        <v>387</v>
      </c>
      <c r="F805" s="285"/>
      <c r="G805" s="266">
        <f>SUM(G806)</f>
        <v>0</v>
      </c>
      <c r="H805" s="22"/>
      <c r="I805" s="22"/>
    </row>
    <row r="806" spans="1:9" ht="15" hidden="1">
      <c r="A806" s="122" t="s">
        <v>222</v>
      </c>
      <c r="B806" s="292"/>
      <c r="C806" s="288" t="s">
        <v>116</v>
      </c>
      <c r="D806" s="288" t="s">
        <v>116</v>
      </c>
      <c r="E806" s="288" t="s">
        <v>387</v>
      </c>
      <c r="F806" s="285" t="s">
        <v>223</v>
      </c>
      <c r="G806" s="266"/>
      <c r="H806" s="22"/>
      <c r="I806" s="22"/>
    </row>
    <row r="807" spans="1:9" ht="15">
      <c r="A807" s="118" t="s">
        <v>229</v>
      </c>
      <c r="B807" s="282"/>
      <c r="C807" s="283" t="s">
        <v>116</v>
      </c>
      <c r="D807" s="283" t="s">
        <v>116</v>
      </c>
      <c r="E807" s="283" t="s">
        <v>118</v>
      </c>
      <c r="F807" s="284"/>
      <c r="G807" s="266">
        <f>SUM(G808)</f>
        <v>198</v>
      </c>
      <c r="H807" s="22"/>
      <c r="I807" s="22"/>
    </row>
    <row r="808" spans="1:9" ht="42.75">
      <c r="A808" s="118" t="s">
        <v>91</v>
      </c>
      <c r="B808" s="282"/>
      <c r="C808" s="283" t="s">
        <v>116</v>
      </c>
      <c r="D808" s="283" t="s">
        <v>116</v>
      </c>
      <c r="E808" s="283" t="s">
        <v>92</v>
      </c>
      <c r="F808" s="284"/>
      <c r="G808" s="266">
        <f>SUM(G809)+G810</f>
        <v>198</v>
      </c>
      <c r="H808" s="22">
        <f>SUM(H809:H811)</f>
        <v>14679.5</v>
      </c>
      <c r="I808" s="22" t="e">
        <f aca="true" t="shared" si="9" ref="I808:I814">SUM(H808/G837*100)</f>
        <v>#DIV/0!</v>
      </c>
    </row>
    <row r="809" spans="1:9" ht="15">
      <c r="A809" s="122" t="s">
        <v>499</v>
      </c>
      <c r="B809" s="282"/>
      <c r="C809" s="283" t="s">
        <v>116</v>
      </c>
      <c r="D809" s="283" t="s">
        <v>116</v>
      </c>
      <c r="E809" s="283" t="s">
        <v>92</v>
      </c>
      <c r="F809" s="284" t="s">
        <v>119</v>
      </c>
      <c r="G809" s="266">
        <v>102.2</v>
      </c>
      <c r="H809" s="22">
        <v>14679.5</v>
      </c>
      <c r="I809" s="22" t="e">
        <f t="shared" si="9"/>
        <v>#DIV/0!</v>
      </c>
    </row>
    <row r="810" spans="1:9" ht="28.5">
      <c r="A810" s="122" t="s">
        <v>516</v>
      </c>
      <c r="B810" s="282"/>
      <c r="C810" s="283" t="s">
        <v>116</v>
      </c>
      <c r="D810" s="283" t="s">
        <v>116</v>
      </c>
      <c r="E810" s="283" t="s">
        <v>92</v>
      </c>
      <c r="F810" s="284" t="s">
        <v>512</v>
      </c>
      <c r="G810" s="266">
        <v>95.8</v>
      </c>
      <c r="H810" s="22"/>
      <c r="I810" s="22" t="e">
        <f t="shared" si="9"/>
        <v>#DIV/0!</v>
      </c>
    </row>
    <row r="811" spans="1:9" ht="15">
      <c r="A811" s="122" t="s">
        <v>748</v>
      </c>
      <c r="B811" s="327"/>
      <c r="C811" s="288" t="s">
        <v>116</v>
      </c>
      <c r="D811" s="288" t="s">
        <v>116</v>
      </c>
      <c r="E811" s="288" t="s">
        <v>128</v>
      </c>
      <c r="F811" s="286"/>
      <c r="G811" s="266">
        <f>SUM(G812)</f>
        <v>109.2</v>
      </c>
      <c r="H811" s="22">
        <f>SUM(H812)</f>
        <v>0</v>
      </c>
      <c r="I811" s="22" t="e">
        <f t="shared" si="9"/>
        <v>#DIV/0!</v>
      </c>
    </row>
    <row r="812" spans="1:9" ht="15">
      <c r="A812" s="161" t="s">
        <v>613</v>
      </c>
      <c r="B812" s="327"/>
      <c r="C812" s="308" t="s">
        <v>116</v>
      </c>
      <c r="D812" s="308" t="s">
        <v>116</v>
      </c>
      <c r="E812" s="308" t="s">
        <v>96</v>
      </c>
      <c r="F812" s="285"/>
      <c r="G812" s="266">
        <f>SUM(G813)</f>
        <v>109.2</v>
      </c>
      <c r="H812" s="22"/>
      <c r="I812" s="22" t="e">
        <f t="shared" si="9"/>
        <v>#DIV/0!</v>
      </c>
    </row>
    <row r="813" spans="1:9" ht="28.5">
      <c r="A813" s="122" t="s">
        <v>516</v>
      </c>
      <c r="B813" s="289"/>
      <c r="C813" s="308" t="s">
        <v>116</v>
      </c>
      <c r="D813" s="308" t="s">
        <v>116</v>
      </c>
      <c r="E813" s="308" t="s">
        <v>96</v>
      </c>
      <c r="F813" s="285" t="s">
        <v>512</v>
      </c>
      <c r="G813" s="266">
        <v>109.2</v>
      </c>
      <c r="H813" s="22">
        <f>SUM(H814)</f>
        <v>56722</v>
      </c>
      <c r="I813" s="22">
        <f t="shared" si="9"/>
        <v>735.7034462184984</v>
      </c>
    </row>
    <row r="814" spans="1:9" ht="15">
      <c r="A814" s="117" t="s">
        <v>327</v>
      </c>
      <c r="B814" s="282"/>
      <c r="C814" s="288" t="s">
        <v>123</v>
      </c>
      <c r="D814" s="288"/>
      <c r="E814" s="288"/>
      <c r="F814" s="285"/>
      <c r="G814" s="266">
        <f>SUM(G815+G868)</f>
        <v>122492.4</v>
      </c>
      <c r="H814" s="22">
        <f>SUM(H816+H859+H857)</f>
        <v>56722</v>
      </c>
      <c r="I814" s="22">
        <f t="shared" si="9"/>
        <v>735.7034462184984</v>
      </c>
    </row>
    <row r="815" spans="1:9" ht="15">
      <c r="A815" s="117" t="s">
        <v>366</v>
      </c>
      <c r="B815" s="282"/>
      <c r="C815" s="288" t="s">
        <v>123</v>
      </c>
      <c r="D815" s="288" t="s">
        <v>459</v>
      </c>
      <c r="E815" s="288"/>
      <c r="F815" s="285"/>
      <c r="G815" s="266">
        <f>SUM(G816+G842+G853)</f>
        <v>114339.9</v>
      </c>
      <c r="H815" s="22"/>
      <c r="I815" s="22"/>
    </row>
    <row r="816" spans="1:9" ht="28.5">
      <c r="A816" s="121" t="s">
        <v>598</v>
      </c>
      <c r="B816" s="282"/>
      <c r="C816" s="288" t="s">
        <v>123</v>
      </c>
      <c r="D816" s="288" t="s">
        <v>459</v>
      </c>
      <c r="E816" s="288" t="s">
        <v>135</v>
      </c>
      <c r="F816" s="285"/>
      <c r="G816" s="266">
        <f>SUM(G817+G823)</f>
        <v>63431.5</v>
      </c>
      <c r="H816" s="22">
        <v>56722</v>
      </c>
      <c r="I816" s="22">
        <f>SUM(H816/G845*100)</f>
        <v>743.4173449193306</v>
      </c>
    </row>
    <row r="817" spans="1:9" ht="15">
      <c r="A817" s="117" t="s">
        <v>15</v>
      </c>
      <c r="B817" s="289"/>
      <c r="C817" s="288" t="s">
        <v>123</v>
      </c>
      <c r="D817" s="288" t="s">
        <v>459</v>
      </c>
      <c r="E817" s="288" t="s">
        <v>203</v>
      </c>
      <c r="F817" s="285"/>
      <c r="G817" s="266">
        <f>SUM(G818)+G820</f>
        <v>38342.5</v>
      </c>
      <c r="H817" s="22">
        <f>SUM(H821)</f>
        <v>0</v>
      </c>
      <c r="I817" s="22" t="e">
        <f>SUM(H817/#REF!*100)</f>
        <v>#REF!</v>
      </c>
    </row>
    <row r="818" spans="1:9" ht="28.5">
      <c r="A818" s="117" t="s">
        <v>93</v>
      </c>
      <c r="B818" s="289"/>
      <c r="C818" s="288" t="s">
        <v>123</v>
      </c>
      <c r="D818" s="288" t="s">
        <v>459</v>
      </c>
      <c r="E818" s="288" t="s">
        <v>205</v>
      </c>
      <c r="F818" s="285"/>
      <c r="G818" s="266">
        <f>SUM(G819)</f>
        <v>38299.5</v>
      </c>
      <c r="H818" s="22"/>
      <c r="I818" s="22"/>
    </row>
    <row r="819" spans="1:9" ht="28.5">
      <c r="A819" s="122" t="s">
        <v>516</v>
      </c>
      <c r="B819" s="326"/>
      <c r="C819" s="288" t="s">
        <v>123</v>
      </c>
      <c r="D819" s="288" t="s">
        <v>459</v>
      </c>
      <c r="E819" s="288" t="s">
        <v>205</v>
      </c>
      <c r="F819" s="286" t="s">
        <v>512</v>
      </c>
      <c r="G819" s="266">
        <v>38299.5</v>
      </c>
      <c r="H819" s="22"/>
      <c r="I819" s="22"/>
    </row>
    <row r="820" spans="1:9" ht="15">
      <c r="A820" s="117" t="s">
        <v>156</v>
      </c>
      <c r="B820" s="326"/>
      <c r="C820" s="288" t="s">
        <v>123</v>
      </c>
      <c r="D820" s="288" t="s">
        <v>459</v>
      </c>
      <c r="E820" s="288" t="s">
        <v>414</v>
      </c>
      <c r="F820" s="286"/>
      <c r="G820" s="266">
        <f>SUM(G821)</f>
        <v>43</v>
      </c>
      <c r="H820" s="22"/>
      <c r="I820" s="22"/>
    </row>
    <row r="821" spans="1:9" ht="28.5">
      <c r="A821" s="122" t="s">
        <v>143</v>
      </c>
      <c r="B821" s="326"/>
      <c r="C821" s="288" t="s">
        <v>123</v>
      </c>
      <c r="D821" s="288" t="s">
        <v>459</v>
      </c>
      <c r="E821" s="288" t="s">
        <v>415</v>
      </c>
      <c r="F821" s="286"/>
      <c r="G821" s="266">
        <f>SUM(G822)</f>
        <v>43</v>
      </c>
      <c r="H821" s="22"/>
      <c r="I821" s="22" t="e">
        <f>SUM(H821/#REF!*100)</f>
        <v>#REF!</v>
      </c>
    </row>
    <row r="822" spans="1:9" ht="28.5">
      <c r="A822" s="122" t="s">
        <v>516</v>
      </c>
      <c r="B822" s="326"/>
      <c r="C822" s="288" t="s">
        <v>123</v>
      </c>
      <c r="D822" s="288" t="s">
        <v>459</v>
      </c>
      <c r="E822" s="288" t="s">
        <v>415</v>
      </c>
      <c r="F822" s="286" t="s">
        <v>512</v>
      </c>
      <c r="G822" s="266">
        <v>43</v>
      </c>
      <c r="H822" s="22"/>
      <c r="I822" s="22"/>
    </row>
    <row r="823" spans="1:9" ht="27" customHeight="1">
      <c r="A823" s="117" t="s">
        <v>56</v>
      </c>
      <c r="B823" s="326"/>
      <c r="C823" s="288" t="s">
        <v>123</v>
      </c>
      <c r="D823" s="288" t="s">
        <v>459</v>
      </c>
      <c r="E823" s="288" t="s">
        <v>136</v>
      </c>
      <c r="F823" s="286"/>
      <c r="G823" s="266">
        <f>SUM(G824:G826)</f>
        <v>25089.000000000004</v>
      </c>
      <c r="H823" s="22"/>
      <c r="I823" s="22"/>
    </row>
    <row r="824" spans="1:9" ht="18.75" customHeight="1">
      <c r="A824" s="117" t="s">
        <v>494</v>
      </c>
      <c r="B824" s="282"/>
      <c r="C824" s="288" t="s">
        <v>123</v>
      </c>
      <c r="D824" s="288" t="s">
        <v>459</v>
      </c>
      <c r="E824" s="288" t="s">
        <v>136</v>
      </c>
      <c r="F824" s="284" t="s">
        <v>495</v>
      </c>
      <c r="G824" s="266">
        <v>19404.9</v>
      </c>
      <c r="H824" s="22"/>
      <c r="I824" s="22"/>
    </row>
    <row r="825" spans="1:9" ht="15">
      <c r="A825" s="117" t="s">
        <v>499</v>
      </c>
      <c r="B825" s="282"/>
      <c r="C825" s="288" t="s">
        <v>123</v>
      </c>
      <c r="D825" s="288" t="s">
        <v>459</v>
      </c>
      <c r="E825" s="288" t="s">
        <v>136</v>
      </c>
      <c r="F825" s="284" t="s">
        <v>119</v>
      </c>
      <c r="G825" s="267">
        <v>5291.2</v>
      </c>
      <c r="H825" s="22"/>
      <c r="I825" s="22"/>
    </row>
    <row r="826" spans="1:9" ht="14.25" customHeight="1">
      <c r="A826" s="117" t="s">
        <v>500</v>
      </c>
      <c r="B826" s="282"/>
      <c r="C826" s="288" t="s">
        <v>123</v>
      </c>
      <c r="D826" s="288" t="s">
        <v>459</v>
      </c>
      <c r="E826" s="288" t="s">
        <v>136</v>
      </c>
      <c r="F826" s="285" t="s">
        <v>175</v>
      </c>
      <c r="G826" s="266">
        <v>392.9</v>
      </c>
      <c r="H826" s="22">
        <f>SUM(H827+H830+H832)</f>
        <v>10268.9</v>
      </c>
      <c r="I826" s="22">
        <f>SUM(H826/G854*100)</f>
        <v>23.771427248631323</v>
      </c>
    </row>
    <row r="827" spans="1:9" ht="15" hidden="1">
      <c r="A827" s="117" t="s">
        <v>94</v>
      </c>
      <c r="B827" s="289"/>
      <c r="C827" s="288" t="s">
        <v>123</v>
      </c>
      <c r="D827" s="288" t="s">
        <v>459</v>
      </c>
      <c r="E827" s="288" t="s">
        <v>203</v>
      </c>
      <c r="F827" s="285"/>
      <c r="G827" s="266">
        <f>SUM(G828+G830)</f>
        <v>0</v>
      </c>
      <c r="H827" s="22">
        <v>8963.8</v>
      </c>
      <c r="I827" s="22">
        <f>SUM(H827/G855*100)</f>
        <v>23.594411337362338</v>
      </c>
    </row>
    <row r="828" spans="1:9" ht="28.5" hidden="1">
      <c r="A828" s="117" t="s">
        <v>204</v>
      </c>
      <c r="B828" s="289"/>
      <c r="C828" s="288" t="s">
        <v>123</v>
      </c>
      <c r="D828" s="288" t="s">
        <v>459</v>
      </c>
      <c r="E828" s="288" t="s">
        <v>205</v>
      </c>
      <c r="F828" s="285"/>
      <c r="G828" s="266">
        <f>SUM(G829)</f>
        <v>0</v>
      </c>
      <c r="H828" s="22"/>
      <c r="I828" s="22">
        <f>SUM(H828/G857*100)</f>
        <v>0</v>
      </c>
    </row>
    <row r="829" spans="1:9" ht="42.75" hidden="1">
      <c r="A829" s="122" t="s">
        <v>155</v>
      </c>
      <c r="B829" s="326"/>
      <c r="C829" s="288" t="s">
        <v>123</v>
      </c>
      <c r="D829" s="288" t="s">
        <v>459</v>
      </c>
      <c r="E829" s="288" t="s">
        <v>205</v>
      </c>
      <c r="F829" s="286" t="s">
        <v>58</v>
      </c>
      <c r="G829" s="266"/>
      <c r="H829" s="22">
        <f>SUM(H830)</f>
        <v>0</v>
      </c>
      <c r="I829" s="22" t="e">
        <f>SUM(H829/#REF!*100)</f>
        <v>#REF!</v>
      </c>
    </row>
    <row r="830" spans="1:9" ht="15" hidden="1">
      <c r="A830" s="117" t="s">
        <v>156</v>
      </c>
      <c r="B830" s="282"/>
      <c r="C830" s="288" t="s">
        <v>123</v>
      </c>
      <c r="D830" s="288" t="s">
        <v>459</v>
      </c>
      <c r="E830" s="283" t="s">
        <v>414</v>
      </c>
      <c r="F830" s="286"/>
      <c r="G830" s="266">
        <f>SUM(G833+G835)+G831</f>
        <v>0</v>
      </c>
      <c r="H830" s="22"/>
      <c r="I830" s="22" t="e">
        <f>SUM(H830/#REF!*100)</f>
        <v>#REF!</v>
      </c>
    </row>
    <row r="831" spans="1:9" ht="28.5" hidden="1">
      <c r="A831" s="117" t="s">
        <v>462</v>
      </c>
      <c r="B831" s="282"/>
      <c r="C831" s="288" t="s">
        <v>123</v>
      </c>
      <c r="D831" s="288" t="s">
        <v>459</v>
      </c>
      <c r="E831" s="283" t="s">
        <v>415</v>
      </c>
      <c r="F831" s="286"/>
      <c r="G831" s="266">
        <f>SUM(G832)</f>
        <v>0</v>
      </c>
      <c r="H831" s="22">
        <f>SUM(H832)</f>
        <v>1305.1</v>
      </c>
      <c r="I831" s="22" t="e">
        <f>SUM(H831/G858*100)</f>
        <v>#DIV/0!</v>
      </c>
    </row>
    <row r="832" spans="1:9" ht="15" hidden="1">
      <c r="A832" s="117" t="s">
        <v>156</v>
      </c>
      <c r="B832" s="282"/>
      <c r="C832" s="288" t="s">
        <v>123</v>
      </c>
      <c r="D832" s="288" t="s">
        <v>459</v>
      </c>
      <c r="E832" s="283" t="s">
        <v>415</v>
      </c>
      <c r="F832" s="286" t="s">
        <v>82</v>
      </c>
      <c r="G832" s="266"/>
      <c r="H832" s="22">
        <v>1305.1</v>
      </c>
      <c r="I832" s="22" t="e">
        <f>SUM(H832/G859*100)</f>
        <v>#DIV/0!</v>
      </c>
    </row>
    <row r="833" spans="1:9" ht="28.5" hidden="1">
      <c r="A833" s="122" t="s">
        <v>413</v>
      </c>
      <c r="B833" s="326"/>
      <c r="C833" s="288" t="s">
        <v>123</v>
      </c>
      <c r="D833" s="288" t="s">
        <v>459</v>
      </c>
      <c r="E833" s="288" t="s">
        <v>412</v>
      </c>
      <c r="F833" s="286"/>
      <c r="G833" s="266">
        <f>SUM(G834)</f>
        <v>0</v>
      </c>
      <c r="H833" s="22" t="e">
        <f>SUM(#REF!+H835)</f>
        <v>#REF!</v>
      </c>
      <c r="I833" s="22" t="e">
        <f>SUM(H833/G860*100)</f>
        <v>#REF!</v>
      </c>
    </row>
    <row r="834" spans="1:9" ht="15" hidden="1">
      <c r="A834" s="122" t="s">
        <v>142</v>
      </c>
      <c r="B834" s="326"/>
      <c r="C834" s="288" t="s">
        <v>123</v>
      </c>
      <c r="D834" s="288" t="s">
        <v>459</v>
      </c>
      <c r="E834" s="288" t="s">
        <v>412</v>
      </c>
      <c r="F834" s="286" t="s">
        <v>82</v>
      </c>
      <c r="G834" s="266"/>
      <c r="H834" s="22"/>
      <c r="I834" s="22"/>
    </row>
    <row r="835" spans="1:9" ht="15" hidden="1">
      <c r="A835" s="122" t="s">
        <v>153</v>
      </c>
      <c r="B835" s="326"/>
      <c r="C835" s="288" t="s">
        <v>123</v>
      </c>
      <c r="D835" s="288" t="s">
        <v>459</v>
      </c>
      <c r="E835" s="288" t="s">
        <v>215</v>
      </c>
      <c r="F835" s="286"/>
      <c r="G835" s="266">
        <f>SUM(G836)</f>
        <v>0</v>
      </c>
      <c r="H835" s="22"/>
      <c r="I835" s="22" t="e">
        <f>SUM(H835/G861*100)</f>
        <v>#DIV/0!</v>
      </c>
    </row>
    <row r="836" spans="1:9" ht="15" hidden="1">
      <c r="A836" s="122" t="s">
        <v>142</v>
      </c>
      <c r="B836" s="326"/>
      <c r="C836" s="288" t="s">
        <v>123</v>
      </c>
      <c r="D836" s="288" t="s">
        <v>459</v>
      </c>
      <c r="E836" s="288" t="s">
        <v>215</v>
      </c>
      <c r="F836" s="286" t="s">
        <v>82</v>
      </c>
      <c r="G836" s="266"/>
      <c r="H836" s="22">
        <f>SUM(H837)</f>
        <v>7333.8</v>
      </c>
      <c r="I836" s="22" t="e">
        <f>SUM(H836/G864*100)</f>
        <v>#DIV/0!</v>
      </c>
    </row>
    <row r="837" spans="1:9" ht="28.5" hidden="1">
      <c r="A837" s="117" t="s">
        <v>56</v>
      </c>
      <c r="B837" s="292"/>
      <c r="C837" s="288" t="s">
        <v>123</v>
      </c>
      <c r="D837" s="288" t="s">
        <v>459</v>
      </c>
      <c r="E837" s="288" t="s">
        <v>136</v>
      </c>
      <c r="F837" s="285"/>
      <c r="G837" s="266">
        <f>SUM(G838:G840)</f>
        <v>0</v>
      </c>
      <c r="H837" s="22">
        <f>SUM(H839:H843)</f>
        <v>7333.8</v>
      </c>
      <c r="I837" s="22" t="e">
        <f>SUM(H837/G865*100)</f>
        <v>#DIV/0!</v>
      </c>
    </row>
    <row r="838" spans="1:9" ht="15" hidden="1">
      <c r="A838" s="122" t="s">
        <v>57</v>
      </c>
      <c r="B838" s="292"/>
      <c r="C838" s="288" t="s">
        <v>123</v>
      </c>
      <c r="D838" s="288" t="s">
        <v>459</v>
      </c>
      <c r="E838" s="288" t="s">
        <v>136</v>
      </c>
      <c r="F838" s="285" t="s">
        <v>246</v>
      </c>
      <c r="G838" s="266"/>
      <c r="H838" s="22"/>
      <c r="I838" s="22"/>
    </row>
    <row r="839" spans="1:9" ht="5.25" customHeight="1" hidden="1">
      <c r="A839" s="122" t="s">
        <v>369</v>
      </c>
      <c r="B839" s="326"/>
      <c r="C839" s="288" t="s">
        <v>123</v>
      </c>
      <c r="D839" s="288" t="s">
        <v>459</v>
      </c>
      <c r="E839" s="288" t="s">
        <v>136</v>
      </c>
      <c r="F839" s="286" t="s">
        <v>370</v>
      </c>
      <c r="G839" s="266"/>
      <c r="H839" s="22"/>
      <c r="I839" s="22" t="e">
        <f aca="true" t="shared" si="10" ref="I839:I846">SUM(H839/G867*100)</f>
        <v>#DIV/0!</v>
      </c>
    </row>
    <row r="840" spans="1:9" ht="42.75" hidden="1">
      <c r="A840" s="117" t="s">
        <v>257</v>
      </c>
      <c r="B840" s="282"/>
      <c r="C840" s="288" t="s">
        <v>123</v>
      </c>
      <c r="D840" s="288" t="s">
        <v>459</v>
      </c>
      <c r="E840" s="288" t="s">
        <v>371</v>
      </c>
      <c r="F840" s="286"/>
      <c r="G840" s="266">
        <f>SUM(G841)</f>
        <v>0</v>
      </c>
      <c r="H840" s="22">
        <f>SUM(H844+H847+H842)</f>
        <v>4633.8</v>
      </c>
      <c r="I840" s="22">
        <f t="shared" si="10"/>
        <v>56.83900643974241</v>
      </c>
    </row>
    <row r="841" spans="1:9" ht="15" hidden="1">
      <c r="A841" s="122" t="s">
        <v>245</v>
      </c>
      <c r="B841" s="326"/>
      <c r="C841" s="288" t="s">
        <v>123</v>
      </c>
      <c r="D841" s="288" t="s">
        <v>459</v>
      </c>
      <c r="E841" s="288" t="s">
        <v>371</v>
      </c>
      <c r="F841" s="286" t="s">
        <v>246</v>
      </c>
      <c r="G841" s="266"/>
      <c r="H841" s="22">
        <f>SUM(H842)</f>
        <v>900</v>
      </c>
      <c r="I841" s="22" t="e">
        <f t="shared" si="10"/>
        <v>#DIV/0!</v>
      </c>
    </row>
    <row r="842" spans="1:9" ht="15">
      <c r="A842" s="117" t="s">
        <v>372</v>
      </c>
      <c r="B842" s="282"/>
      <c r="C842" s="288" t="s">
        <v>123</v>
      </c>
      <c r="D842" s="288" t="s">
        <v>459</v>
      </c>
      <c r="E842" s="288" t="s">
        <v>373</v>
      </c>
      <c r="F842" s="285"/>
      <c r="G842" s="266">
        <f>SUM(G843)</f>
        <v>7709.9</v>
      </c>
      <c r="H842" s="22">
        <f>SUM(H843)</f>
        <v>900</v>
      </c>
      <c r="I842" s="22" t="e">
        <f t="shared" si="10"/>
        <v>#DIV/0!</v>
      </c>
    </row>
    <row r="843" spans="1:9" ht="15">
      <c r="A843" s="117" t="s">
        <v>94</v>
      </c>
      <c r="B843" s="289"/>
      <c r="C843" s="288" t="s">
        <v>123</v>
      </c>
      <c r="D843" s="288" t="s">
        <v>459</v>
      </c>
      <c r="E843" s="288" t="s">
        <v>80</v>
      </c>
      <c r="F843" s="285"/>
      <c r="G843" s="266">
        <f>SUM(G844)+G846</f>
        <v>7709.9</v>
      </c>
      <c r="H843" s="22">
        <v>900</v>
      </c>
      <c r="I843" s="22" t="e">
        <f t="shared" si="10"/>
        <v>#DIV/0!</v>
      </c>
    </row>
    <row r="844" spans="1:9" ht="16.5" customHeight="1">
      <c r="A844" s="117" t="s">
        <v>204</v>
      </c>
      <c r="B844" s="289"/>
      <c r="C844" s="288" t="s">
        <v>123</v>
      </c>
      <c r="D844" s="288" t="s">
        <v>459</v>
      </c>
      <c r="E844" s="288" t="s">
        <v>81</v>
      </c>
      <c r="F844" s="285"/>
      <c r="G844" s="266">
        <f>SUM(G845)</f>
        <v>7629.9</v>
      </c>
      <c r="H844" s="22">
        <f>SUM(H845)</f>
        <v>3733.8</v>
      </c>
      <c r="I844" s="22">
        <f t="shared" si="10"/>
        <v>53.704422869471415</v>
      </c>
    </row>
    <row r="845" spans="1:9" ht="28.5">
      <c r="A845" s="122" t="s">
        <v>516</v>
      </c>
      <c r="B845" s="326"/>
      <c r="C845" s="288" t="s">
        <v>123</v>
      </c>
      <c r="D845" s="288" t="s">
        <v>459</v>
      </c>
      <c r="E845" s="288" t="s">
        <v>81</v>
      </c>
      <c r="F845" s="286" t="s">
        <v>512</v>
      </c>
      <c r="G845" s="266">
        <v>7629.9</v>
      </c>
      <c r="H845" s="22">
        <f>SUM(H846)</f>
        <v>3733.8</v>
      </c>
      <c r="I845" s="22">
        <f t="shared" si="10"/>
        <v>53.704422869471415</v>
      </c>
    </row>
    <row r="846" spans="1:9" ht="14.25" customHeight="1">
      <c r="A846" s="117" t="s">
        <v>156</v>
      </c>
      <c r="B846" s="326"/>
      <c r="C846" s="288" t="s">
        <v>123</v>
      </c>
      <c r="D846" s="288" t="s">
        <v>459</v>
      </c>
      <c r="E846" s="288" t="s">
        <v>216</v>
      </c>
      <c r="F846" s="286"/>
      <c r="G846" s="266">
        <f>SUM(G851)</f>
        <v>80</v>
      </c>
      <c r="H846" s="22">
        <v>3733.8</v>
      </c>
      <c r="I846" s="22">
        <f t="shared" si="10"/>
        <v>58.91039901547782</v>
      </c>
    </row>
    <row r="847" spans="1:9" ht="28.5" hidden="1">
      <c r="A847" s="117" t="s">
        <v>462</v>
      </c>
      <c r="B847" s="326"/>
      <c r="C847" s="288" t="s">
        <v>123</v>
      </c>
      <c r="D847" s="288" t="s">
        <v>459</v>
      </c>
      <c r="E847" s="288" t="s">
        <v>464</v>
      </c>
      <c r="F847" s="286"/>
      <c r="G847" s="266">
        <f>SUM(G848)</f>
        <v>0</v>
      </c>
      <c r="H847" s="22">
        <f>SUM(H852)</f>
        <v>0</v>
      </c>
      <c r="I847" s="22">
        <f>SUM(H847/G877*100)</f>
        <v>0</v>
      </c>
    </row>
    <row r="848" spans="1:9" ht="15" hidden="1">
      <c r="A848" s="117" t="s">
        <v>156</v>
      </c>
      <c r="B848" s="326"/>
      <c r="C848" s="288" t="s">
        <v>123</v>
      </c>
      <c r="D848" s="288" t="s">
        <v>459</v>
      </c>
      <c r="E848" s="288" t="s">
        <v>464</v>
      </c>
      <c r="F848" s="286" t="s">
        <v>512</v>
      </c>
      <c r="G848" s="266"/>
      <c r="H848" s="22"/>
      <c r="I848" s="22"/>
    </row>
    <row r="849" spans="1:9" ht="21" customHeight="1" hidden="1">
      <c r="A849" s="122" t="s">
        <v>413</v>
      </c>
      <c r="B849" s="326"/>
      <c r="C849" s="288" t="s">
        <v>123</v>
      </c>
      <c r="D849" s="288" t="s">
        <v>459</v>
      </c>
      <c r="E849" s="288" t="s">
        <v>152</v>
      </c>
      <c r="F849" s="286"/>
      <c r="G849" s="266">
        <f>SUM(G850)</f>
        <v>0</v>
      </c>
      <c r="H849" s="22"/>
      <c r="I849" s="22"/>
    </row>
    <row r="850" spans="1:9" ht="33.75" customHeight="1" hidden="1">
      <c r="A850" s="122" t="s">
        <v>142</v>
      </c>
      <c r="B850" s="326"/>
      <c r="C850" s="288" t="s">
        <v>123</v>
      </c>
      <c r="D850" s="288" t="s">
        <v>459</v>
      </c>
      <c r="E850" s="288" t="s">
        <v>152</v>
      </c>
      <c r="F850" s="286" t="s">
        <v>512</v>
      </c>
      <c r="G850" s="266"/>
      <c r="H850" s="22"/>
      <c r="I850" s="22"/>
    </row>
    <row r="851" spans="1:9" ht="15">
      <c r="A851" s="182" t="s">
        <v>153</v>
      </c>
      <c r="B851" s="326"/>
      <c r="C851" s="288" t="s">
        <v>123</v>
      </c>
      <c r="D851" s="288" t="s">
        <v>459</v>
      </c>
      <c r="E851" s="288" t="s">
        <v>639</v>
      </c>
      <c r="F851" s="286"/>
      <c r="G851" s="266">
        <f>SUM(G852)</f>
        <v>80</v>
      </c>
      <c r="H851" s="22"/>
      <c r="I851" s="22"/>
    </row>
    <row r="852" spans="1:9" ht="28.5">
      <c r="A852" s="122" t="s">
        <v>516</v>
      </c>
      <c r="B852" s="326"/>
      <c r="C852" s="288" t="s">
        <v>123</v>
      </c>
      <c r="D852" s="288" t="s">
        <v>459</v>
      </c>
      <c r="E852" s="288" t="s">
        <v>639</v>
      </c>
      <c r="F852" s="286" t="s">
        <v>512</v>
      </c>
      <c r="G852" s="266">
        <v>80</v>
      </c>
      <c r="H852" s="22">
        <f>SUM(H853:H859)</f>
        <v>0</v>
      </c>
      <c r="I852" s="22" t="e">
        <f>SUM(H852/G880*100)</f>
        <v>#DIV/0!</v>
      </c>
    </row>
    <row r="853" spans="1:9" ht="15">
      <c r="A853" s="117" t="s">
        <v>374</v>
      </c>
      <c r="B853" s="282"/>
      <c r="C853" s="288" t="s">
        <v>123</v>
      </c>
      <c r="D853" s="288" t="s">
        <v>459</v>
      </c>
      <c r="E853" s="288" t="s">
        <v>375</v>
      </c>
      <c r="F853" s="285"/>
      <c r="G853" s="266">
        <f>SUM(G854)</f>
        <v>43198.49999999999</v>
      </c>
      <c r="H853" s="22"/>
      <c r="I853" s="22" t="e">
        <f>SUM(H853/G881*100)</f>
        <v>#DIV/0!</v>
      </c>
    </row>
    <row r="854" spans="1:9" ht="28.5">
      <c r="A854" s="117" t="s">
        <v>56</v>
      </c>
      <c r="B854" s="289"/>
      <c r="C854" s="288" t="s">
        <v>123</v>
      </c>
      <c r="D854" s="288" t="s">
        <v>459</v>
      </c>
      <c r="E854" s="288" t="s">
        <v>376</v>
      </c>
      <c r="F854" s="285"/>
      <c r="G854" s="266">
        <f>SUM(G855:G857)</f>
        <v>43198.49999999999</v>
      </c>
      <c r="H854" s="22"/>
      <c r="I854" s="22" t="e">
        <f>SUM(H854/G882*100)</f>
        <v>#DIV/0!</v>
      </c>
    </row>
    <row r="855" spans="1:9" ht="28.5">
      <c r="A855" s="117" t="s">
        <v>494</v>
      </c>
      <c r="B855" s="282"/>
      <c r="C855" s="288" t="s">
        <v>123</v>
      </c>
      <c r="D855" s="288" t="s">
        <v>459</v>
      </c>
      <c r="E855" s="288" t="s">
        <v>376</v>
      </c>
      <c r="F855" s="284" t="s">
        <v>495</v>
      </c>
      <c r="G855" s="266">
        <v>37991.2</v>
      </c>
      <c r="H855" s="22"/>
      <c r="I855" s="22"/>
    </row>
    <row r="856" spans="1:9" ht="15">
      <c r="A856" s="117" t="s">
        <v>499</v>
      </c>
      <c r="B856" s="282"/>
      <c r="C856" s="288" t="s">
        <v>123</v>
      </c>
      <c r="D856" s="288" t="s">
        <v>459</v>
      </c>
      <c r="E856" s="288" t="s">
        <v>376</v>
      </c>
      <c r="F856" s="284" t="s">
        <v>119</v>
      </c>
      <c r="G856" s="267">
        <v>4673.6</v>
      </c>
      <c r="H856" s="22"/>
      <c r="I856" s="22"/>
    </row>
    <row r="857" spans="1:9" ht="14.25" customHeight="1">
      <c r="A857" s="117" t="s">
        <v>500</v>
      </c>
      <c r="B857" s="282"/>
      <c r="C857" s="288" t="s">
        <v>123</v>
      </c>
      <c r="D857" s="288" t="s">
        <v>459</v>
      </c>
      <c r="E857" s="288" t="s">
        <v>376</v>
      </c>
      <c r="F857" s="285" t="s">
        <v>175</v>
      </c>
      <c r="G857" s="266">
        <v>533.7</v>
      </c>
      <c r="H857" s="22"/>
      <c r="I857" s="22"/>
    </row>
    <row r="858" spans="1:9" ht="42.75" hidden="1">
      <c r="A858" s="122" t="s">
        <v>62</v>
      </c>
      <c r="B858" s="326"/>
      <c r="C858" s="288" t="s">
        <v>123</v>
      </c>
      <c r="D858" s="288" t="s">
        <v>459</v>
      </c>
      <c r="E858" s="288" t="s">
        <v>377</v>
      </c>
      <c r="F858" s="286"/>
      <c r="G858" s="266">
        <f>SUM(G859)</f>
        <v>0</v>
      </c>
      <c r="H858" s="22"/>
      <c r="I858" s="22" t="e">
        <f>SUM(H858/G886*100)</f>
        <v>#DIV/0!</v>
      </c>
    </row>
    <row r="859" spans="1:9" ht="15" hidden="1">
      <c r="A859" s="122" t="s">
        <v>57</v>
      </c>
      <c r="B859" s="326"/>
      <c r="C859" s="288" t="s">
        <v>123</v>
      </c>
      <c r="D859" s="288" t="s">
        <v>459</v>
      </c>
      <c r="E859" s="288" t="s">
        <v>377</v>
      </c>
      <c r="F859" s="286" t="s">
        <v>246</v>
      </c>
      <c r="G859" s="266"/>
      <c r="H859" s="22"/>
      <c r="I859" s="22" t="e">
        <f>SUM(H859/G887*100)</f>
        <v>#DIV/0!</v>
      </c>
    </row>
    <row r="860" spans="1:9" ht="15.75" hidden="1">
      <c r="A860" s="122" t="s">
        <v>378</v>
      </c>
      <c r="B860" s="326"/>
      <c r="C860" s="288" t="s">
        <v>123</v>
      </c>
      <c r="D860" s="288" t="s">
        <v>459</v>
      </c>
      <c r="E860" s="288" t="s">
        <v>379</v>
      </c>
      <c r="F860" s="286"/>
      <c r="G860" s="266">
        <f>SUM(G863+G861)</f>
        <v>0</v>
      </c>
      <c r="H860" s="85" t="e">
        <f>SUM(H861+H871)</f>
        <v>#REF!</v>
      </c>
      <c r="I860" s="85" t="e">
        <f>SUM(H860/G888*100)</f>
        <v>#REF!</v>
      </c>
    </row>
    <row r="861" spans="1:9" ht="15" hidden="1">
      <c r="A861" s="122" t="s">
        <v>245</v>
      </c>
      <c r="B861" s="326"/>
      <c r="C861" s="288" t="s">
        <v>123</v>
      </c>
      <c r="D861" s="288" t="s">
        <v>459</v>
      </c>
      <c r="E861" s="288" t="s">
        <v>379</v>
      </c>
      <c r="F861" s="286" t="s">
        <v>246</v>
      </c>
      <c r="G861" s="266"/>
      <c r="H861" s="22">
        <f>SUM(H862)+H868</f>
        <v>0</v>
      </c>
      <c r="I861" s="22" t="e">
        <f>SUM(H861/#REF!*100)</f>
        <v>#REF!</v>
      </c>
    </row>
    <row r="862" spans="1:9" ht="28.5" hidden="1">
      <c r="A862" s="122" t="s">
        <v>380</v>
      </c>
      <c r="B862" s="326"/>
      <c r="C862" s="288" t="s">
        <v>123</v>
      </c>
      <c r="D862" s="288" t="s">
        <v>459</v>
      </c>
      <c r="E862" s="288" t="s">
        <v>381</v>
      </c>
      <c r="F862" s="286"/>
      <c r="G862" s="266">
        <f>SUM(G863)</f>
        <v>0</v>
      </c>
      <c r="H862" s="22">
        <f>SUM(H863)</f>
        <v>0</v>
      </c>
      <c r="I862" s="22" t="e">
        <f>SUM(H862/#REF!*100)</f>
        <v>#REF!</v>
      </c>
    </row>
    <row r="863" spans="1:9" ht="15" hidden="1">
      <c r="A863" s="122" t="s">
        <v>245</v>
      </c>
      <c r="B863" s="326"/>
      <c r="C863" s="288" t="s">
        <v>123</v>
      </c>
      <c r="D863" s="288" t="s">
        <v>459</v>
      </c>
      <c r="E863" s="288" t="s">
        <v>381</v>
      </c>
      <c r="F863" s="286" t="s">
        <v>246</v>
      </c>
      <c r="G863" s="266"/>
      <c r="H863" s="22">
        <f>SUM(H866)</f>
        <v>0</v>
      </c>
      <c r="I863" s="22" t="e">
        <f>SUM(H863/#REF!*100)</f>
        <v>#REF!</v>
      </c>
    </row>
    <row r="864" spans="1:9" ht="15" hidden="1">
      <c r="A864" s="122" t="s">
        <v>127</v>
      </c>
      <c r="B864" s="289"/>
      <c r="C864" s="288" t="s">
        <v>123</v>
      </c>
      <c r="D864" s="288" t="s">
        <v>459</v>
      </c>
      <c r="E864" s="288" t="s">
        <v>128</v>
      </c>
      <c r="F864" s="285"/>
      <c r="G864" s="266">
        <f>SUM(G865)</f>
        <v>0</v>
      </c>
      <c r="H864" s="22"/>
      <c r="I864" s="22"/>
    </row>
    <row r="865" spans="1:9" ht="42.75" hidden="1">
      <c r="A865" s="117" t="s">
        <v>207</v>
      </c>
      <c r="B865" s="289"/>
      <c r="C865" s="288" t="s">
        <v>123</v>
      </c>
      <c r="D865" s="288" t="s">
        <v>459</v>
      </c>
      <c r="E865" s="288" t="s">
        <v>297</v>
      </c>
      <c r="F865" s="285"/>
      <c r="G865" s="266">
        <f>SUM(G866:G867)</f>
        <v>0</v>
      </c>
      <c r="H865" s="22"/>
      <c r="I865" s="22"/>
    </row>
    <row r="866" spans="1:9" ht="15" hidden="1">
      <c r="A866" s="122" t="s">
        <v>57</v>
      </c>
      <c r="B866" s="289"/>
      <c r="C866" s="288" t="s">
        <v>123</v>
      </c>
      <c r="D866" s="288" t="s">
        <v>459</v>
      </c>
      <c r="E866" s="288" t="s">
        <v>297</v>
      </c>
      <c r="F866" s="285" t="s">
        <v>246</v>
      </c>
      <c r="G866" s="266"/>
      <c r="H866" s="22">
        <f>SUM(H867)</f>
        <v>0</v>
      </c>
      <c r="I866" s="22" t="e">
        <f>SUM(H866/#REF!*100)</f>
        <v>#REF!</v>
      </c>
    </row>
    <row r="867" spans="1:9" ht="15" hidden="1">
      <c r="A867" s="122" t="s">
        <v>142</v>
      </c>
      <c r="B867" s="289"/>
      <c r="C867" s="288" t="s">
        <v>123</v>
      </c>
      <c r="D867" s="288" t="s">
        <v>459</v>
      </c>
      <c r="E867" s="288" t="s">
        <v>297</v>
      </c>
      <c r="F867" s="285" t="s">
        <v>82</v>
      </c>
      <c r="G867" s="266"/>
      <c r="H867" s="22"/>
      <c r="I867" s="22" t="e">
        <f>SUM(H867/#REF!*100)</f>
        <v>#REF!</v>
      </c>
    </row>
    <row r="868" spans="1:9" ht="14.25" customHeight="1">
      <c r="A868" s="118" t="s">
        <v>234</v>
      </c>
      <c r="B868" s="289"/>
      <c r="C868" s="288" t="s">
        <v>123</v>
      </c>
      <c r="D868" s="288" t="s">
        <v>121</v>
      </c>
      <c r="E868" s="288"/>
      <c r="F868" s="285"/>
      <c r="G868" s="266">
        <f>SUM(G872+G877+G870)</f>
        <v>8152.5</v>
      </c>
      <c r="H868" s="22">
        <f>SUM(H869)</f>
        <v>0</v>
      </c>
      <c r="I868" s="22" t="e">
        <f>SUM(H868/#REF!*100)</f>
        <v>#REF!</v>
      </c>
    </row>
    <row r="869" spans="1:9" ht="15" hidden="1">
      <c r="A869" s="117" t="s">
        <v>406</v>
      </c>
      <c r="B869" s="289"/>
      <c r="C869" s="288" t="s">
        <v>123</v>
      </c>
      <c r="D869" s="288" t="s">
        <v>121</v>
      </c>
      <c r="E869" s="288" t="s">
        <v>408</v>
      </c>
      <c r="F869" s="285"/>
      <c r="G869" s="266">
        <f>SUM(G870)</f>
        <v>0</v>
      </c>
      <c r="H869" s="22">
        <f>SUM(H870)</f>
        <v>0</v>
      </c>
      <c r="I869" s="22" t="e">
        <f>SUM(H869/#REF!*100)</f>
        <v>#REF!</v>
      </c>
    </row>
    <row r="870" spans="1:9" ht="15" hidden="1">
      <c r="A870" s="117" t="s">
        <v>386</v>
      </c>
      <c r="B870" s="289"/>
      <c r="C870" s="288" t="s">
        <v>123</v>
      </c>
      <c r="D870" s="288" t="s">
        <v>121</v>
      </c>
      <c r="E870" s="288" t="s">
        <v>387</v>
      </c>
      <c r="F870" s="285"/>
      <c r="G870" s="266">
        <f>SUM(G871)</f>
        <v>0</v>
      </c>
      <c r="H870" s="22"/>
      <c r="I870" s="22" t="e">
        <f>SUM(H870/#REF!*100)</f>
        <v>#REF!</v>
      </c>
    </row>
    <row r="871" spans="1:11" ht="28.5" hidden="1">
      <c r="A871" s="117" t="s">
        <v>307</v>
      </c>
      <c r="B871" s="289"/>
      <c r="C871" s="288" t="s">
        <v>123</v>
      </c>
      <c r="D871" s="288" t="s">
        <v>121</v>
      </c>
      <c r="E871" s="288" t="s">
        <v>387</v>
      </c>
      <c r="F871" s="285" t="s">
        <v>308</v>
      </c>
      <c r="G871" s="266"/>
      <c r="H871" s="22" t="e">
        <f>SUM(H872+H886+#REF!+#REF!+H915)</f>
        <v>#REF!</v>
      </c>
      <c r="I871" s="22" t="e">
        <f>SUM(H871/G894*100)</f>
        <v>#REF!</v>
      </c>
      <c r="K871" s="112"/>
    </row>
    <row r="872" spans="1:9" ht="42.75">
      <c r="A872" s="118" t="s">
        <v>290</v>
      </c>
      <c r="B872" s="289"/>
      <c r="C872" s="288" t="s">
        <v>123</v>
      </c>
      <c r="D872" s="288" t="s">
        <v>121</v>
      </c>
      <c r="E872" s="288" t="s">
        <v>291</v>
      </c>
      <c r="F872" s="285"/>
      <c r="G872" s="266">
        <f>SUM(G873)</f>
        <v>6952.5</v>
      </c>
      <c r="H872" s="22">
        <f>SUM(H873+H876)</f>
        <v>46235.5</v>
      </c>
      <c r="I872" s="22">
        <f>SUM(H872/G895*100)</f>
        <v>503.39695362940535</v>
      </c>
    </row>
    <row r="873" spans="1:9" ht="28.5">
      <c r="A873" s="117" t="s">
        <v>56</v>
      </c>
      <c r="B873" s="289"/>
      <c r="C873" s="288" t="s">
        <v>123</v>
      </c>
      <c r="D873" s="288" t="s">
        <v>121</v>
      </c>
      <c r="E873" s="288" t="s">
        <v>292</v>
      </c>
      <c r="F873" s="285"/>
      <c r="G873" s="266">
        <f>SUM(G874:G876)</f>
        <v>6952.5</v>
      </c>
      <c r="H873" s="22">
        <f>SUM(H874)</f>
        <v>146.8</v>
      </c>
      <c r="I873" s="22" t="e">
        <f>SUM(H873/#REF!*100)</f>
        <v>#REF!</v>
      </c>
    </row>
    <row r="874" spans="1:9" ht="28.5">
      <c r="A874" s="117" t="s">
        <v>494</v>
      </c>
      <c r="B874" s="326"/>
      <c r="C874" s="288" t="s">
        <v>123</v>
      </c>
      <c r="D874" s="288" t="s">
        <v>121</v>
      </c>
      <c r="E874" s="288" t="s">
        <v>292</v>
      </c>
      <c r="F874" s="286" t="s">
        <v>495</v>
      </c>
      <c r="G874" s="266">
        <v>6338.1</v>
      </c>
      <c r="H874" s="22">
        <f>SUM(H875)</f>
        <v>146.8</v>
      </c>
      <c r="I874" s="22" t="e">
        <f>SUM(H874/#REF!*100)</f>
        <v>#REF!</v>
      </c>
    </row>
    <row r="875" spans="1:9" ht="15">
      <c r="A875" s="117" t="s">
        <v>499</v>
      </c>
      <c r="B875" s="326"/>
      <c r="C875" s="288" t="s">
        <v>123</v>
      </c>
      <c r="D875" s="288" t="s">
        <v>121</v>
      </c>
      <c r="E875" s="288" t="s">
        <v>292</v>
      </c>
      <c r="F875" s="286" t="s">
        <v>119</v>
      </c>
      <c r="G875" s="266">
        <v>610</v>
      </c>
      <c r="H875" s="22">
        <v>146.8</v>
      </c>
      <c r="I875" s="22" t="e">
        <f>SUM(H875/#REF!*100)</f>
        <v>#REF!</v>
      </c>
    </row>
    <row r="876" spans="1:9" ht="15">
      <c r="A876" s="117" t="s">
        <v>500</v>
      </c>
      <c r="B876" s="326"/>
      <c r="C876" s="288" t="s">
        <v>123</v>
      </c>
      <c r="D876" s="288" t="s">
        <v>121</v>
      </c>
      <c r="E876" s="288" t="s">
        <v>292</v>
      </c>
      <c r="F876" s="286" t="s">
        <v>175</v>
      </c>
      <c r="G876" s="266">
        <v>4.4</v>
      </c>
      <c r="H876" s="22">
        <f>SUM(H877)</f>
        <v>46088.7</v>
      </c>
      <c r="I876" s="22" t="e">
        <f>SUM(H876/#REF!*100)</f>
        <v>#REF!</v>
      </c>
    </row>
    <row r="877" spans="1:9" ht="15">
      <c r="A877" s="122" t="s">
        <v>748</v>
      </c>
      <c r="B877" s="289"/>
      <c r="C877" s="288" t="s">
        <v>123</v>
      </c>
      <c r="D877" s="288" t="s">
        <v>121</v>
      </c>
      <c r="E877" s="288" t="s">
        <v>128</v>
      </c>
      <c r="F877" s="285"/>
      <c r="G877" s="266">
        <f>SUM(G880)+G883+G878</f>
        <v>1200</v>
      </c>
      <c r="H877" s="22">
        <f>SUM(H881:H884)</f>
        <v>46088.7</v>
      </c>
      <c r="I877" s="22">
        <f>SUM(H877/G901*100)</f>
        <v>621.3424827437445</v>
      </c>
    </row>
    <row r="878" spans="1:9" ht="42.75" hidden="1">
      <c r="A878" s="117" t="s">
        <v>207</v>
      </c>
      <c r="B878" s="289"/>
      <c r="C878" s="288" t="s">
        <v>123</v>
      </c>
      <c r="D878" s="288" t="s">
        <v>121</v>
      </c>
      <c r="E878" s="288" t="s">
        <v>297</v>
      </c>
      <c r="F878" s="285"/>
      <c r="G878" s="266">
        <f>SUM(G879)</f>
        <v>0</v>
      </c>
      <c r="H878" s="22"/>
      <c r="I878" s="22"/>
    </row>
    <row r="879" spans="1:9" ht="15" hidden="1">
      <c r="A879" s="122" t="s">
        <v>57</v>
      </c>
      <c r="B879" s="289"/>
      <c r="C879" s="288" t="s">
        <v>123</v>
      </c>
      <c r="D879" s="288" t="s">
        <v>121</v>
      </c>
      <c r="E879" s="288" t="s">
        <v>297</v>
      </c>
      <c r="F879" s="285" t="s">
        <v>246</v>
      </c>
      <c r="G879" s="266"/>
      <c r="H879" s="22">
        <f>SUM(H880)</f>
        <v>0</v>
      </c>
      <c r="I879" s="22">
        <f>SUM(H879/G900*100)</f>
        <v>0</v>
      </c>
    </row>
    <row r="880" spans="1:9" ht="28.5" hidden="1">
      <c r="A880" s="117" t="s">
        <v>482</v>
      </c>
      <c r="B880" s="289"/>
      <c r="C880" s="288" t="s">
        <v>123</v>
      </c>
      <c r="D880" s="288" t="s">
        <v>121</v>
      </c>
      <c r="E880" s="288" t="s">
        <v>309</v>
      </c>
      <c r="F880" s="285"/>
      <c r="G880" s="266">
        <f>SUM(G881:G882)</f>
        <v>0</v>
      </c>
      <c r="H880" s="22"/>
      <c r="I880" s="22"/>
    </row>
    <row r="881" spans="1:9" ht="42.75" hidden="1">
      <c r="A881" s="122" t="s">
        <v>95</v>
      </c>
      <c r="B881" s="289"/>
      <c r="C881" s="288" t="s">
        <v>123</v>
      </c>
      <c r="D881" s="288" t="s">
        <v>121</v>
      </c>
      <c r="E881" s="288" t="s">
        <v>309</v>
      </c>
      <c r="F881" s="285" t="s">
        <v>308</v>
      </c>
      <c r="G881" s="266"/>
      <c r="H881" s="22">
        <v>46088.7</v>
      </c>
      <c r="I881" s="22">
        <f>SUM(H881/G908*100)</f>
        <v>621.3424827437445</v>
      </c>
    </row>
    <row r="882" spans="1:9" ht="15" hidden="1">
      <c r="A882" s="117" t="s">
        <v>156</v>
      </c>
      <c r="B882" s="289"/>
      <c r="C882" s="288" t="s">
        <v>123</v>
      </c>
      <c r="D882" s="288" t="s">
        <v>121</v>
      </c>
      <c r="E882" s="288" t="s">
        <v>309</v>
      </c>
      <c r="F882" s="285" t="s">
        <v>82</v>
      </c>
      <c r="G882" s="266"/>
      <c r="H882" s="22"/>
      <c r="I882" s="22">
        <f>SUM(H882/G909*100)</f>
        <v>0</v>
      </c>
    </row>
    <row r="883" spans="1:9" ht="15">
      <c r="A883" s="117" t="s">
        <v>515</v>
      </c>
      <c r="B883" s="289"/>
      <c r="C883" s="288" t="s">
        <v>123</v>
      </c>
      <c r="D883" s="288" t="s">
        <v>121</v>
      </c>
      <c r="E883" s="288" t="s">
        <v>310</v>
      </c>
      <c r="F883" s="285"/>
      <c r="G883" s="266">
        <f>SUM(G884:G886)</f>
        <v>1200</v>
      </c>
      <c r="H883" s="22"/>
      <c r="I883" s="22" t="e">
        <f>SUM(H883/#REF!*100)</f>
        <v>#REF!</v>
      </c>
    </row>
    <row r="884" spans="1:9" ht="28.5">
      <c r="A884" s="117" t="s">
        <v>494</v>
      </c>
      <c r="B884" s="289"/>
      <c r="C884" s="288" t="s">
        <v>123</v>
      </c>
      <c r="D884" s="288" t="s">
        <v>121</v>
      </c>
      <c r="E884" s="288" t="s">
        <v>310</v>
      </c>
      <c r="F884" s="285" t="s">
        <v>495</v>
      </c>
      <c r="G884" s="266">
        <v>200</v>
      </c>
      <c r="H884" s="22">
        <f>SUM(H885)</f>
        <v>0</v>
      </c>
      <c r="I884" s="22" t="e">
        <f>SUM(H884/#REF!*100)</f>
        <v>#REF!</v>
      </c>
    </row>
    <row r="885" spans="1:9" ht="15">
      <c r="A885" s="117" t="s">
        <v>499</v>
      </c>
      <c r="B885" s="289"/>
      <c r="C885" s="288" t="s">
        <v>123</v>
      </c>
      <c r="D885" s="288" t="s">
        <v>121</v>
      </c>
      <c r="E885" s="288" t="s">
        <v>310</v>
      </c>
      <c r="F885" s="285" t="s">
        <v>119</v>
      </c>
      <c r="G885" s="266">
        <v>1000</v>
      </c>
      <c r="H885" s="22"/>
      <c r="I885" s="22" t="e">
        <f>SUM(H885/#REF!*100)</f>
        <v>#REF!</v>
      </c>
    </row>
    <row r="886" spans="1:9" ht="15" hidden="1">
      <c r="A886" s="117" t="s">
        <v>500</v>
      </c>
      <c r="B886" s="289"/>
      <c r="C886" s="288" t="s">
        <v>123</v>
      </c>
      <c r="D886" s="288" t="s">
        <v>121</v>
      </c>
      <c r="E886" s="288" t="s">
        <v>310</v>
      </c>
      <c r="F886" s="285" t="s">
        <v>175</v>
      </c>
      <c r="G886" s="266"/>
      <c r="H886" s="22" t="e">
        <f>SUM(#REF!+#REF!+#REF!+#REF!)</f>
        <v>#REF!</v>
      </c>
      <c r="I886" s="22" t="e">
        <f>SUM(H886/G910*100)</f>
        <v>#REF!</v>
      </c>
    </row>
    <row r="887" spans="1:9" ht="15" hidden="1">
      <c r="A887" s="117" t="s">
        <v>156</v>
      </c>
      <c r="B887" s="289"/>
      <c r="C887" s="288" t="s">
        <v>123</v>
      </c>
      <c r="D887" s="288" t="s">
        <v>121</v>
      </c>
      <c r="E887" s="288" t="s">
        <v>310</v>
      </c>
      <c r="F887" s="285" t="s">
        <v>82</v>
      </c>
      <c r="G887" s="266"/>
      <c r="H887" s="22"/>
      <c r="I887" s="22"/>
    </row>
    <row r="888" spans="1:9" ht="15">
      <c r="A888" s="120" t="s">
        <v>306</v>
      </c>
      <c r="B888" s="289" t="s">
        <v>265</v>
      </c>
      <c r="C888" s="288"/>
      <c r="D888" s="288"/>
      <c r="E888" s="288"/>
      <c r="F888" s="285"/>
      <c r="G888" s="268">
        <f>SUM(G894)+G889</f>
        <v>71337.4</v>
      </c>
      <c r="H888" s="22"/>
      <c r="I888" s="22"/>
    </row>
    <row r="889" spans="1:9" ht="15">
      <c r="A889" s="117" t="s">
        <v>115</v>
      </c>
      <c r="B889" s="289"/>
      <c r="C889" s="308" t="s">
        <v>116</v>
      </c>
      <c r="D889" s="288"/>
      <c r="E889" s="288"/>
      <c r="F889" s="285"/>
      <c r="G889" s="266">
        <f>SUM(G890)</f>
        <v>41.5</v>
      </c>
      <c r="H889" s="22"/>
      <c r="I889" s="22"/>
    </row>
    <row r="890" spans="1:9" ht="15">
      <c r="A890" s="122" t="s">
        <v>117</v>
      </c>
      <c r="B890" s="332"/>
      <c r="C890" s="308" t="s">
        <v>116</v>
      </c>
      <c r="D890" s="308" t="s">
        <v>116</v>
      </c>
      <c r="E890" s="288"/>
      <c r="F890" s="285"/>
      <c r="G890" s="266">
        <f>SUM(G891)</f>
        <v>41.5</v>
      </c>
      <c r="H890" s="22"/>
      <c r="I890" s="22"/>
    </row>
    <row r="891" spans="1:9" ht="15">
      <c r="A891" s="122" t="s">
        <v>593</v>
      </c>
      <c r="B891" s="327"/>
      <c r="C891" s="308" t="s">
        <v>116</v>
      </c>
      <c r="D891" s="308" t="s">
        <v>116</v>
      </c>
      <c r="E891" s="308" t="s">
        <v>128</v>
      </c>
      <c r="F891" s="285"/>
      <c r="G891" s="266">
        <f>SUM(G892)</f>
        <v>41.5</v>
      </c>
      <c r="H891" s="22"/>
      <c r="I891" s="22"/>
    </row>
    <row r="892" spans="1:9" ht="15">
      <c r="A892" s="161" t="s">
        <v>613</v>
      </c>
      <c r="B892" s="327"/>
      <c r="C892" s="308" t="s">
        <v>116</v>
      </c>
      <c r="D892" s="308" t="s">
        <v>116</v>
      </c>
      <c r="E892" s="308" t="s">
        <v>96</v>
      </c>
      <c r="F892" s="285"/>
      <c r="G892" s="266">
        <f>SUM(G893)</f>
        <v>41.5</v>
      </c>
      <c r="H892" s="22"/>
      <c r="I892" s="22"/>
    </row>
    <row r="893" spans="1:9" ht="28.5">
      <c r="A893" s="122" t="s">
        <v>516</v>
      </c>
      <c r="B893" s="289"/>
      <c r="C893" s="308" t="s">
        <v>116</v>
      </c>
      <c r="D893" s="308" t="s">
        <v>116</v>
      </c>
      <c r="E893" s="308" t="s">
        <v>96</v>
      </c>
      <c r="F893" s="285" t="s">
        <v>512</v>
      </c>
      <c r="G893" s="266">
        <v>41.5</v>
      </c>
      <c r="H893" s="22">
        <v>21799.8</v>
      </c>
      <c r="I893" s="22">
        <f>SUM(H893/G920*100)</f>
        <v>217.79545023128492</v>
      </c>
    </row>
    <row r="894" spans="1:9" ht="15">
      <c r="A894" s="117" t="s">
        <v>326</v>
      </c>
      <c r="B894" s="282"/>
      <c r="C894" s="288" t="s">
        <v>299</v>
      </c>
      <c r="D894" s="288"/>
      <c r="E894" s="288"/>
      <c r="F894" s="285"/>
      <c r="G894" s="266">
        <f>SUM(G895+G910+G936+G947)+G933</f>
        <v>71295.9</v>
      </c>
      <c r="H894" s="22"/>
      <c r="I894" s="22"/>
    </row>
    <row r="895" spans="1:9" ht="21" customHeight="1">
      <c r="A895" s="117" t="s">
        <v>177</v>
      </c>
      <c r="B895" s="282"/>
      <c r="C895" s="288" t="s">
        <v>299</v>
      </c>
      <c r="D895" s="288" t="s">
        <v>459</v>
      </c>
      <c r="E895" s="288"/>
      <c r="F895" s="285"/>
      <c r="G895" s="266">
        <f>SUM(G900)+G896+G898</f>
        <v>9184.7</v>
      </c>
      <c r="H895" s="22"/>
      <c r="I895" s="22"/>
    </row>
    <row r="896" spans="1:9" ht="15">
      <c r="A896" s="117" t="s">
        <v>386</v>
      </c>
      <c r="B896" s="282"/>
      <c r="C896" s="288" t="s">
        <v>299</v>
      </c>
      <c r="D896" s="288" t="s">
        <v>459</v>
      </c>
      <c r="E896" s="283" t="s">
        <v>506</v>
      </c>
      <c r="F896" s="285"/>
      <c r="G896" s="266">
        <f>SUM(G897)</f>
        <v>930.2</v>
      </c>
      <c r="H896" s="22"/>
      <c r="I896" s="22" t="e">
        <f>SUM(H896/#REF!*100)</f>
        <v>#REF!</v>
      </c>
    </row>
    <row r="897" spans="1:9" ht="27.75" customHeight="1">
      <c r="A897" s="122" t="s">
        <v>516</v>
      </c>
      <c r="B897" s="282"/>
      <c r="C897" s="288" t="s">
        <v>299</v>
      </c>
      <c r="D897" s="288" t="s">
        <v>459</v>
      </c>
      <c r="E897" s="283" t="s">
        <v>506</v>
      </c>
      <c r="F897" s="285" t="s">
        <v>512</v>
      </c>
      <c r="G897" s="266">
        <v>930.2</v>
      </c>
      <c r="H897" s="22"/>
      <c r="I897" s="22" t="e">
        <f>SUM(H897/#REF!*100)</f>
        <v>#REF!</v>
      </c>
    </row>
    <row r="898" spans="1:9" ht="27.75" customHeight="1">
      <c r="A898" s="121" t="s">
        <v>785</v>
      </c>
      <c r="B898" s="298"/>
      <c r="C898" s="288" t="s">
        <v>299</v>
      </c>
      <c r="D898" s="288" t="s">
        <v>459</v>
      </c>
      <c r="E898" s="299" t="s">
        <v>1050</v>
      </c>
      <c r="F898" s="300"/>
      <c r="G898" s="343">
        <f>SUM(G899)</f>
        <v>836.9</v>
      </c>
      <c r="H898" s="22"/>
      <c r="I898" s="22"/>
    </row>
    <row r="899" spans="1:9" ht="27.75" customHeight="1">
      <c r="A899" s="122" t="s">
        <v>516</v>
      </c>
      <c r="B899" s="298"/>
      <c r="C899" s="288" t="s">
        <v>299</v>
      </c>
      <c r="D899" s="288" t="s">
        <v>459</v>
      </c>
      <c r="E899" s="299" t="s">
        <v>1050</v>
      </c>
      <c r="F899" s="300" t="s">
        <v>512</v>
      </c>
      <c r="G899" s="343">
        <v>836.9</v>
      </c>
      <c r="H899" s="22"/>
      <c r="I899" s="22"/>
    </row>
    <row r="900" spans="1:9" ht="15">
      <c r="A900" s="117" t="s">
        <v>201</v>
      </c>
      <c r="B900" s="282"/>
      <c r="C900" s="288" t="s">
        <v>299</v>
      </c>
      <c r="D900" s="288" t="s">
        <v>459</v>
      </c>
      <c r="E900" s="288" t="s">
        <v>181</v>
      </c>
      <c r="F900" s="285"/>
      <c r="G900" s="267">
        <f>SUM(G901)</f>
        <v>7417.6</v>
      </c>
      <c r="H900" s="22" t="e">
        <f>SUM(#REF!)</f>
        <v>#REF!</v>
      </c>
      <c r="I900" s="22" t="e">
        <f>SUM(H900/#REF!*100)</f>
        <v>#REF!</v>
      </c>
    </row>
    <row r="901" spans="1:9" ht="15">
      <c r="A901" s="117" t="s">
        <v>94</v>
      </c>
      <c r="B901" s="289"/>
      <c r="C901" s="288" t="s">
        <v>299</v>
      </c>
      <c r="D901" s="288" t="s">
        <v>459</v>
      </c>
      <c r="E901" s="288" t="s">
        <v>83</v>
      </c>
      <c r="F901" s="285"/>
      <c r="G901" s="266">
        <f>SUM(G909)+G902</f>
        <v>7417.6</v>
      </c>
      <c r="H901" s="22">
        <f>SUM(H907:H907)</f>
        <v>7467.6</v>
      </c>
      <c r="I901" s="22">
        <f>SUM(H901/G923*100)</f>
        <v>58.82130535469541</v>
      </c>
    </row>
    <row r="902" spans="1:9" ht="15" hidden="1">
      <c r="A902" s="122" t="s">
        <v>156</v>
      </c>
      <c r="B902" s="289"/>
      <c r="C902" s="288" t="s">
        <v>299</v>
      </c>
      <c r="D902" s="288" t="s">
        <v>459</v>
      </c>
      <c r="E902" s="288" t="s">
        <v>140</v>
      </c>
      <c r="F902" s="285"/>
      <c r="G902" s="266">
        <f>SUM(G904+G906)</f>
        <v>0</v>
      </c>
      <c r="H902" s="22"/>
      <c r="I902" s="22"/>
    </row>
    <row r="903" spans="1:9" ht="15" hidden="1">
      <c r="A903" s="122" t="s">
        <v>142</v>
      </c>
      <c r="B903" s="289"/>
      <c r="C903" s="288" t="s">
        <v>299</v>
      </c>
      <c r="D903" s="288" t="s">
        <v>459</v>
      </c>
      <c r="E903" s="288" t="s">
        <v>140</v>
      </c>
      <c r="F903" s="285" t="s">
        <v>82</v>
      </c>
      <c r="G903" s="266"/>
      <c r="H903" s="22"/>
      <c r="I903" s="22"/>
    </row>
    <row r="904" spans="1:9" ht="28.5" hidden="1">
      <c r="A904" s="122" t="s">
        <v>413</v>
      </c>
      <c r="B904" s="289"/>
      <c r="C904" s="288" t="s">
        <v>299</v>
      </c>
      <c r="D904" s="288" t="s">
        <v>459</v>
      </c>
      <c r="E904" s="288" t="s">
        <v>141</v>
      </c>
      <c r="F904" s="285"/>
      <c r="G904" s="266">
        <f>SUM(G905)</f>
        <v>0</v>
      </c>
      <c r="H904" s="22"/>
      <c r="I904" s="22"/>
    </row>
    <row r="905" spans="1:9" ht="15" hidden="1">
      <c r="A905" s="122" t="s">
        <v>142</v>
      </c>
      <c r="B905" s="289"/>
      <c r="C905" s="288" t="s">
        <v>299</v>
      </c>
      <c r="D905" s="288" t="s">
        <v>459</v>
      </c>
      <c r="E905" s="288" t="s">
        <v>141</v>
      </c>
      <c r="F905" s="285" t="s">
        <v>82</v>
      </c>
      <c r="G905" s="266"/>
      <c r="H905" s="22"/>
      <c r="I905" s="22"/>
    </row>
    <row r="906" spans="1:9" ht="15" hidden="1">
      <c r="A906" s="117" t="s">
        <v>214</v>
      </c>
      <c r="B906" s="289"/>
      <c r="C906" s="288" t="s">
        <v>299</v>
      </c>
      <c r="D906" s="288" t="s">
        <v>459</v>
      </c>
      <c r="E906" s="288" t="s">
        <v>217</v>
      </c>
      <c r="F906" s="285"/>
      <c r="G906" s="266">
        <f>SUM(G907)</f>
        <v>0</v>
      </c>
      <c r="H906" s="22"/>
      <c r="I906" s="22"/>
    </row>
    <row r="907" spans="1:9" ht="15" hidden="1">
      <c r="A907" s="117" t="s">
        <v>156</v>
      </c>
      <c r="B907" s="289"/>
      <c r="C907" s="288" t="s">
        <v>299</v>
      </c>
      <c r="D907" s="288" t="s">
        <v>459</v>
      </c>
      <c r="E907" s="288" t="s">
        <v>217</v>
      </c>
      <c r="F907" s="285" t="s">
        <v>82</v>
      </c>
      <c r="G907" s="266"/>
      <c r="H907" s="22">
        <v>7467.6</v>
      </c>
      <c r="I907" s="22">
        <f>SUM(H907/G931*100)</f>
        <v>59.28831160582435</v>
      </c>
    </row>
    <row r="908" spans="1:9" ht="28.5">
      <c r="A908" s="117" t="s">
        <v>301</v>
      </c>
      <c r="B908" s="289"/>
      <c r="C908" s="288" t="s">
        <v>299</v>
      </c>
      <c r="D908" s="288" t="s">
        <v>459</v>
      </c>
      <c r="E908" s="288" t="s">
        <v>300</v>
      </c>
      <c r="F908" s="285"/>
      <c r="G908" s="266">
        <f>SUM(G909)</f>
        <v>7417.6</v>
      </c>
      <c r="H908" s="22">
        <f>SUM(H909:H910)</f>
        <v>1817.2</v>
      </c>
      <c r="I908" s="22" t="e">
        <f>SUM(H908/#REF!*100)</f>
        <v>#REF!</v>
      </c>
    </row>
    <row r="909" spans="1:9" ht="28.5">
      <c r="A909" s="122" t="s">
        <v>516</v>
      </c>
      <c r="B909" s="326"/>
      <c r="C909" s="288" t="s">
        <v>299</v>
      </c>
      <c r="D909" s="288" t="s">
        <v>459</v>
      </c>
      <c r="E909" s="288" t="s">
        <v>300</v>
      </c>
      <c r="F909" s="286" t="s">
        <v>512</v>
      </c>
      <c r="G909" s="266">
        <v>7417.6</v>
      </c>
      <c r="H909" s="22">
        <v>1817.2</v>
      </c>
      <c r="I909" s="22" t="e">
        <f>SUM(H909/#REF!*100)</f>
        <v>#REF!</v>
      </c>
    </row>
    <row r="910" spans="1:9" ht="15">
      <c r="A910" s="117" t="s">
        <v>240</v>
      </c>
      <c r="B910" s="282"/>
      <c r="C910" s="288" t="s">
        <v>299</v>
      </c>
      <c r="D910" s="288" t="s">
        <v>461</v>
      </c>
      <c r="E910" s="288"/>
      <c r="F910" s="285"/>
      <c r="G910" s="266">
        <f>SUM(G913+G922)+G911</f>
        <v>22951.699999999997</v>
      </c>
      <c r="H910" s="22"/>
      <c r="I910" s="22" t="e">
        <f>SUM(H910/#REF!*100)</f>
        <v>#REF!</v>
      </c>
    </row>
    <row r="911" spans="1:9" ht="28.5">
      <c r="A911" s="121" t="s">
        <v>785</v>
      </c>
      <c r="B911" s="298"/>
      <c r="C911" s="288" t="s">
        <v>299</v>
      </c>
      <c r="D911" s="288" t="s">
        <v>461</v>
      </c>
      <c r="E911" s="299" t="s">
        <v>1050</v>
      </c>
      <c r="F911" s="300"/>
      <c r="G911" s="343">
        <f>SUM(G912)</f>
        <v>247</v>
      </c>
      <c r="H911" s="22"/>
      <c r="I911" s="22"/>
    </row>
    <row r="912" spans="1:9" ht="28.5">
      <c r="A912" s="122" t="s">
        <v>516</v>
      </c>
      <c r="B912" s="298"/>
      <c r="C912" s="288" t="s">
        <v>299</v>
      </c>
      <c r="D912" s="288" t="s">
        <v>461</v>
      </c>
      <c r="E912" s="299" t="s">
        <v>1050</v>
      </c>
      <c r="F912" s="300" t="s">
        <v>512</v>
      </c>
      <c r="G912" s="343">
        <v>247</v>
      </c>
      <c r="H912" s="22"/>
      <c r="I912" s="22"/>
    </row>
    <row r="913" spans="1:9" ht="15">
      <c r="A913" s="117" t="s">
        <v>201</v>
      </c>
      <c r="B913" s="282"/>
      <c r="C913" s="288" t="s">
        <v>299</v>
      </c>
      <c r="D913" s="288" t="s">
        <v>461</v>
      </c>
      <c r="E913" s="288" t="s">
        <v>181</v>
      </c>
      <c r="F913" s="285"/>
      <c r="G913" s="266">
        <f>SUM(G914)</f>
        <v>10009.3</v>
      </c>
      <c r="H913" s="22">
        <f>SUM(H914)</f>
        <v>340</v>
      </c>
      <c r="I913" s="22" t="e">
        <f>SUM(H913/#REF!*100)</f>
        <v>#REF!</v>
      </c>
    </row>
    <row r="914" spans="1:9" ht="15">
      <c r="A914" s="117" t="s">
        <v>94</v>
      </c>
      <c r="B914" s="289"/>
      <c r="C914" s="288" t="s">
        <v>299</v>
      </c>
      <c r="D914" s="288" t="s">
        <v>461</v>
      </c>
      <c r="E914" s="288" t="s">
        <v>83</v>
      </c>
      <c r="F914" s="285"/>
      <c r="G914" s="266">
        <f>SUM(G915+G920)</f>
        <v>10009.3</v>
      </c>
      <c r="H914" s="22">
        <v>340</v>
      </c>
      <c r="I914" s="22" t="e">
        <f>SUM(H914/#REF!*100)</f>
        <v>#REF!</v>
      </c>
    </row>
    <row r="915" spans="1:9" ht="15" hidden="1">
      <c r="A915" s="122" t="s">
        <v>156</v>
      </c>
      <c r="B915" s="289"/>
      <c r="C915" s="288" t="s">
        <v>299</v>
      </c>
      <c r="D915" s="288" t="s">
        <v>461</v>
      </c>
      <c r="E915" s="288" t="s">
        <v>140</v>
      </c>
      <c r="F915" s="285"/>
      <c r="G915" s="266">
        <f>SUM(G918)+G916</f>
        <v>0</v>
      </c>
      <c r="H915" s="22">
        <f>SUM(H916)</f>
        <v>9494.7</v>
      </c>
      <c r="I915" s="22" t="e">
        <f>SUM(H915/#REF!*100)</f>
        <v>#REF!</v>
      </c>
    </row>
    <row r="916" spans="1:9" ht="28.5" hidden="1">
      <c r="A916" s="122" t="s">
        <v>413</v>
      </c>
      <c r="B916" s="289"/>
      <c r="C916" s="288" t="s">
        <v>299</v>
      </c>
      <c r="D916" s="288" t="s">
        <v>461</v>
      </c>
      <c r="E916" s="288" t="s">
        <v>141</v>
      </c>
      <c r="F916" s="285"/>
      <c r="G916" s="266">
        <f>SUM(G917)</f>
        <v>0</v>
      </c>
      <c r="H916" s="22">
        <f>SUM(H917)</f>
        <v>9494.7</v>
      </c>
      <c r="I916" s="22" t="e">
        <f>SUM(H916/#REF!*100)</f>
        <v>#REF!</v>
      </c>
    </row>
    <row r="917" spans="1:9" ht="15" hidden="1">
      <c r="A917" s="122" t="s">
        <v>142</v>
      </c>
      <c r="B917" s="289"/>
      <c r="C917" s="288" t="s">
        <v>299</v>
      </c>
      <c r="D917" s="288" t="s">
        <v>461</v>
      </c>
      <c r="E917" s="288" t="s">
        <v>141</v>
      </c>
      <c r="F917" s="285" t="s">
        <v>82</v>
      </c>
      <c r="G917" s="266"/>
      <c r="H917" s="22">
        <f>SUM(H918:H919)</f>
        <v>9494.7</v>
      </c>
      <c r="I917" s="22" t="e">
        <f>SUM(H917/#REF!*100)</f>
        <v>#REF!</v>
      </c>
    </row>
    <row r="918" spans="1:9" ht="15" hidden="1">
      <c r="A918" s="117" t="s">
        <v>214</v>
      </c>
      <c r="B918" s="289"/>
      <c r="C918" s="288" t="s">
        <v>299</v>
      </c>
      <c r="D918" s="288" t="s">
        <v>461</v>
      </c>
      <c r="E918" s="288" t="s">
        <v>217</v>
      </c>
      <c r="F918" s="285"/>
      <c r="G918" s="266">
        <f>SUM(G919)</f>
        <v>0</v>
      </c>
      <c r="H918" s="22">
        <v>9494.7</v>
      </c>
      <c r="I918" s="22" t="e">
        <f>SUM(H918/#REF!*100)</f>
        <v>#REF!</v>
      </c>
    </row>
    <row r="919" spans="1:9" ht="15" hidden="1">
      <c r="A919" s="122" t="s">
        <v>142</v>
      </c>
      <c r="B919" s="289"/>
      <c r="C919" s="288" t="s">
        <v>299</v>
      </c>
      <c r="D919" s="288" t="s">
        <v>461</v>
      </c>
      <c r="E919" s="288" t="s">
        <v>217</v>
      </c>
      <c r="F919" s="285" t="s">
        <v>82</v>
      </c>
      <c r="G919" s="266"/>
      <c r="H919" s="22"/>
      <c r="I919" s="22" t="e">
        <f>SUM(H919/#REF!*100)</f>
        <v>#REF!</v>
      </c>
    </row>
    <row r="920" spans="1:9" ht="28.5">
      <c r="A920" s="117" t="s">
        <v>301</v>
      </c>
      <c r="B920" s="289"/>
      <c r="C920" s="288" t="s">
        <v>299</v>
      </c>
      <c r="D920" s="288" t="s">
        <v>461</v>
      </c>
      <c r="E920" s="288" t="s">
        <v>300</v>
      </c>
      <c r="F920" s="285"/>
      <c r="G920" s="266">
        <f>SUM(G921)</f>
        <v>10009.3</v>
      </c>
      <c r="H920" s="22">
        <f>SUM(H921)</f>
        <v>7467.6</v>
      </c>
      <c r="I920" s="22" t="e">
        <f>SUM(H920/#REF!*100)</f>
        <v>#REF!</v>
      </c>
    </row>
    <row r="921" spans="1:9" ht="28.5">
      <c r="A921" s="122" t="s">
        <v>516</v>
      </c>
      <c r="B921" s="326"/>
      <c r="C921" s="288" t="s">
        <v>299</v>
      </c>
      <c r="D921" s="288" t="s">
        <v>461</v>
      </c>
      <c r="E921" s="288" t="s">
        <v>300</v>
      </c>
      <c r="F921" s="286" t="s">
        <v>512</v>
      </c>
      <c r="G921" s="266">
        <v>10009.3</v>
      </c>
      <c r="H921" s="22">
        <v>7467.6</v>
      </c>
      <c r="I921" s="22" t="e">
        <f>SUM(H921/#REF!*100)</f>
        <v>#REF!</v>
      </c>
    </row>
    <row r="922" spans="1:9" ht="15">
      <c r="A922" s="117" t="s">
        <v>241</v>
      </c>
      <c r="B922" s="282"/>
      <c r="C922" s="288" t="s">
        <v>299</v>
      </c>
      <c r="D922" s="288" t="s">
        <v>461</v>
      </c>
      <c r="E922" s="288" t="s">
        <v>242</v>
      </c>
      <c r="F922" s="285"/>
      <c r="G922" s="266">
        <f>SUM(G923)</f>
        <v>12695.4</v>
      </c>
      <c r="H922" s="22">
        <f>SUM(H923)</f>
        <v>0</v>
      </c>
      <c r="I922" s="22" t="e">
        <f>SUM(H922/G945*100)</f>
        <v>#DIV/0!</v>
      </c>
    </row>
    <row r="923" spans="1:9" ht="15">
      <c r="A923" s="117" t="s">
        <v>94</v>
      </c>
      <c r="B923" s="282"/>
      <c r="C923" s="288" t="s">
        <v>299</v>
      </c>
      <c r="D923" s="288" t="s">
        <v>461</v>
      </c>
      <c r="E923" s="288" t="s">
        <v>302</v>
      </c>
      <c r="F923" s="285"/>
      <c r="G923" s="266">
        <f>SUM(G931:G931)+G924</f>
        <v>12695.4</v>
      </c>
      <c r="H923" s="22"/>
      <c r="I923" s="22" t="e">
        <f>SUM(H923/G946*100)</f>
        <v>#DIV/0!</v>
      </c>
    </row>
    <row r="924" spans="1:9" ht="27.75" customHeight="1">
      <c r="A924" s="122" t="s">
        <v>156</v>
      </c>
      <c r="B924" s="282"/>
      <c r="C924" s="288" t="s">
        <v>299</v>
      </c>
      <c r="D924" s="288" t="s">
        <v>461</v>
      </c>
      <c r="E924" s="288" t="s">
        <v>218</v>
      </c>
      <c r="F924" s="285"/>
      <c r="G924" s="266">
        <f>SUM(G925)+G927+G929</f>
        <v>100</v>
      </c>
      <c r="H924" s="22">
        <f>SUM(H925:H926)</f>
        <v>6864.8</v>
      </c>
      <c r="I924" s="22">
        <f>SUM(H924/G951*100)</f>
        <v>53.32380493715919</v>
      </c>
    </row>
    <row r="925" spans="1:9" ht="28.5">
      <c r="A925" s="122" t="s">
        <v>143</v>
      </c>
      <c r="B925" s="289"/>
      <c r="C925" s="288" t="s">
        <v>299</v>
      </c>
      <c r="D925" s="288" t="s">
        <v>461</v>
      </c>
      <c r="E925" s="288" t="s">
        <v>144</v>
      </c>
      <c r="F925" s="285"/>
      <c r="G925" s="266">
        <f>SUM(G926)</f>
        <v>38.2</v>
      </c>
      <c r="H925" s="22">
        <v>6864.8</v>
      </c>
      <c r="I925" s="22">
        <f>SUM(H925/G952*100)</f>
        <v>60.462043879195704</v>
      </c>
    </row>
    <row r="926" spans="1:9" ht="31.5" customHeight="1">
      <c r="A926" s="122" t="s">
        <v>516</v>
      </c>
      <c r="B926" s="326"/>
      <c r="C926" s="288" t="s">
        <v>299</v>
      </c>
      <c r="D926" s="288" t="s">
        <v>461</v>
      </c>
      <c r="E926" s="288" t="s">
        <v>144</v>
      </c>
      <c r="F926" s="286" t="s">
        <v>512</v>
      </c>
      <c r="G926" s="266">
        <v>38.2</v>
      </c>
      <c r="H926" s="22"/>
      <c r="I926" s="22" t="e">
        <f>SUM(H926/#REF!*100)</f>
        <v>#REF!</v>
      </c>
    </row>
    <row r="927" spans="1:9" ht="19.5" customHeight="1" hidden="1">
      <c r="A927" s="122" t="s">
        <v>413</v>
      </c>
      <c r="B927" s="289"/>
      <c r="C927" s="288" t="s">
        <v>299</v>
      </c>
      <c r="D927" s="288" t="s">
        <v>461</v>
      </c>
      <c r="E927" s="288" t="s">
        <v>484</v>
      </c>
      <c r="F927" s="285"/>
      <c r="G927" s="266">
        <f>SUM(G928)</f>
        <v>0</v>
      </c>
      <c r="H927" s="22"/>
      <c r="I927" s="22"/>
    </row>
    <row r="928" spans="1:9" ht="15" hidden="1">
      <c r="A928" s="122" t="s">
        <v>142</v>
      </c>
      <c r="B928" s="289"/>
      <c r="C928" s="288" t="s">
        <v>299</v>
      </c>
      <c r="D928" s="288" t="s">
        <v>461</v>
      </c>
      <c r="E928" s="288" t="s">
        <v>484</v>
      </c>
      <c r="F928" s="285" t="s">
        <v>82</v>
      </c>
      <c r="G928" s="266"/>
      <c r="H928" s="22"/>
      <c r="I928" s="22"/>
    </row>
    <row r="929" spans="1:9" ht="15">
      <c r="A929" s="182" t="s">
        <v>153</v>
      </c>
      <c r="B929" s="326"/>
      <c r="C929" s="288" t="s">
        <v>299</v>
      </c>
      <c r="D929" s="288" t="s">
        <v>461</v>
      </c>
      <c r="E929" s="288" t="s">
        <v>642</v>
      </c>
      <c r="F929" s="286"/>
      <c r="G929" s="266">
        <f>SUM(G930)</f>
        <v>61.8</v>
      </c>
      <c r="H929" s="22" t="e">
        <f>SUM(H930+#REF!)</f>
        <v>#REF!</v>
      </c>
      <c r="I929" s="22" t="e">
        <f>SUM(H929/#REF!*100)</f>
        <v>#REF!</v>
      </c>
    </row>
    <row r="930" spans="1:9" ht="28.5">
      <c r="A930" s="122" t="s">
        <v>516</v>
      </c>
      <c r="B930" s="326"/>
      <c r="C930" s="288" t="s">
        <v>299</v>
      </c>
      <c r="D930" s="288" t="s">
        <v>461</v>
      </c>
      <c r="E930" s="288" t="s">
        <v>642</v>
      </c>
      <c r="F930" s="286" t="s">
        <v>512</v>
      </c>
      <c r="G930" s="266">
        <v>61.8</v>
      </c>
      <c r="H930" s="22" t="e">
        <f>SUM(#REF!)</f>
        <v>#REF!</v>
      </c>
      <c r="I930" s="22" t="e">
        <f>SUM(H930/#REF!*100)</f>
        <v>#REF!</v>
      </c>
    </row>
    <row r="931" spans="1:9" ht="27.75" customHeight="1">
      <c r="A931" s="122" t="s">
        <v>301</v>
      </c>
      <c r="B931" s="282"/>
      <c r="C931" s="288" t="s">
        <v>299</v>
      </c>
      <c r="D931" s="288" t="s">
        <v>461</v>
      </c>
      <c r="E931" s="288" t="s">
        <v>303</v>
      </c>
      <c r="F931" s="285"/>
      <c r="G931" s="266">
        <f>SUM(G932)</f>
        <v>12595.4</v>
      </c>
      <c r="H931" s="22"/>
      <c r="I931" s="22"/>
    </row>
    <row r="932" spans="1:9" ht="28.5">
      <c r="A932" s="122" t="s">
        <v>516</v>
      </c>
      <c r="B932" s="326"/>
      <c r="C932" s="288" t="s">
        <v>299</v>
      </c>
      <c r="D932" s="288" t="s">
        <v>461</v>
      </c>
      <c r="E932" s="288" t="s">
        <v>303</v>
      </c>
      <c r="F932" s="286" t="s">
        <v>512</v>
      </c>
      <c r="G932" s="266">
        <v>12595.4</v>
      </c>
      <c r="H932" s="22">
        <v>340</v>
      </c>
      <c r="I932" s="22" t="e">
        <f>SUM(H932/#REF!*100)</f>
        <v>#REF!</v>
      </c>
    </row>
    <row r="933" spans="1:9" ht="15">
      <c r="A933" s="122" t="s">
        <v>1045</v>
      </c>
      <c r="B933" s="326"/>
      <c r="C933" s="288" t="s">
        <v>299</v>
      </c>
      <c r="D933" s="288" t="s">
        <v>105</v>
      </c>
      <c r="E933" s="288"/>
      <c r="F933" s="286"/>
      <c r="G933" s="266">
        <f>SUM(G934)</f>
        <v>1.8</v>
      </c>
      <c r="H933" s="22"/>
      <c r="I933" s="22"/>
    </row>
    <row r="934" spans="1:9" ht="28.5">
      <c r="A934" s="121" t="s">
        <v>785</v>
      </c>
      <c r="B934" s="298"/>
      <c r="C934" s="288" t="s">
        <v>299</v>
      </c>
      <c r="D934" s="288" t="s">
        <v>105</v>
      </c>
      <c r="E934" s="299" t="s">
        <v>1050</v>
      </c>
      <c r="F934" s="300"/>
      <c r="G934" s="343">
        <f>SUM(G935)</f>
        <v>1.8</v>
      </c>
      <c r="H934" s="22"/>
      <c r="I934" s="22"/>
    </row>
    <row r="935" spans="1:9" ht="28.5">
      <c r="A935" s="122" t="s">
        <v>516</v>
      </c>
      <c r="B935" s="298"/>
      <c r="C935" s="288" t="s">
        <v>299</v>
      </c>
      <c r="D935" s="288" t="s">
        <v>105</v>
      </c>
      <c r="E935" s="299" t="s">
        <v>1050</v>
      </c>
      <c r="F935" s="300" t="s">
        <v>512</v>
      </c>
      <c r="G935" s="343">
        <v>1.8</v>
      </c>
      <c r="H935" s="22"/>
      <c r="I935" s="22"/>
    </row>
    <row r="936" spans="1:9" ht="14.25" customHeight="1">
      <c r="A936" s="122" t="s">
        <v>243</v>
      </c>
      <c r="B936" s="282"/>
      <c r="C936" s="288" t="s">
        <v>299</v>
      </c>
      <c r="D936" s="288" t="s">
        <v>121</v>
      </c>
      <c r="E936" s="288"/>
      <c r="F936" s="285"/>
      <c r="G936" s="266">
        <f>SUM(G939+G945)+G937</f>
        <v>17921.5</v>
      </c>
      <c r="H936" s="22">
        <v>1424.2</v>
      </c>
      <c r="I936" s="22" t="e">
        <f>SUM(H936/#REF!*100)</f>
        <v>#REF!</v>
      </c>
    </row>
    <row r="937" spans="1:9" ht="28.5">
      <c r="A937" s="121" t="s">
        <v>785</v>
      </c>
      <c r="B937" s="298"/>
      <c r="C937" s="288" t="s">
        <v>299</v>
      </c>
      <c r="D937" s="288" t="s">
        <v>121</v>
      </c>
      <c r="E937" s="299" t="s">
        <v>1050</v>
      </c>
      <c r="F937" s="300"/>
      <c r="G937" s="266">
        <f>SUM(G938)</f>
        <v>142.3</v>
      </c>
      <c r="H937" s="22"/>
      <c r="I937" s="22"/>
    </row>
    <row r="938" spans="1:9" ht="28.5">
      <c r="A938" s="122" t="s">
        <v>516</v>
      </c>
      <c r="B938" s="298"/>
      <c r="C938" s="288" t="s">
        <v>299</v>
      </c>
      <c r="D938" s="288" t="s">
        <v>121</v>
      </c>
      <c r="E938" s="299" t="s">
        <v>1050</v>
      </c>
      <c r="F938" s="300" t="s">
        <v>512</v>
      </c>
      <c r="G938" s="266">
        <v>142.3</v>
      </c>
      <c r="H938" s="22"/>
      <c r="I938" s="22" t="e">
        <f>SUM(H938/#REF!*100)</f>
        <v>#REF!</v>
      </c>
    </row>
    <row r="939" spans="1:9" ht="15">
      <c r="A939" s="117" t="s">
        <v>94</v>
      </c>
      <c r="B939" s="282"/>
      <c r="C939" s="288" t="s">
        <v>299</v>
      </c>
      <c r="D939" s="288" t="s">
        <v>121</v>
      </c>
      <c r="E939" s="288" t="s">
        <v>513</v>
      </c>
      <c r="F939" s="285"/>
      <c r="G939" s="266">
        <f>SUM(G943)+G940</f>
        <v>17779.2</v>
      </c>
      <c r="H939" s="22"/>
      <c r="I939" s="22" t="e">
        <f>SUM(H939/#REF!*100)</f>
        <v>#REF!</v>
      </c>
    </row>
    <row r="940" spans="1:9" ht="27.75" customHeight="1">
      <c r="A940" s="122" t="s">
        <v>156</v>
      </c>
      <c r="B940" s="282"/>
      <c r="C940" s="288" t="s">
        <v>299</v>
      </c>
      <c r="D940" s="288" t="s">
        <v>121</v>
      </c>
      <c r="E940" s="288" t="s">
        <v>218</v>
      </c>
      <c r="F940" s="285"/>
      <c r="G940" s="266">
        <f>SUM(G941)</f>
        <v>17000</v>
      </c>
      <c r="H940" s="22">
        <f>SUM(H941:H942)</f>
        <v>0</v>
      </c>
      <c r="I940" s="22" t="e">
        <f>SUM(H940/G967*100)</f>
        <v>#DIV/0!</v>
      </c>
    </row>
    <row r="941" spans="1:9" ht="30" customHeight="1">
      <c r="A941" s="122" t="s">
        <v>413</v>
      </c>
      <c r="B941" s="289"/>
      <c r="C941" s="288" t="s">
        <v>299</v>
      </c>
      <c r="D941" s="288" t="s">
        <v>121</v>
      </c>
      <c r="E941" s="288" t="s">
        <v>484</v>
      </c>
      <c r="F941" s="285"/>
      <c r="G941" s="266">
        <f>SUM(G942)</f>
        <v>17000</v>
      </c>
      <c r="H941" s="22"/>
      <c r="I941" s="22"/>
    </row>
    <row r="942" spans="1:9" ht="28.5">
      <c r="A942" s="122" t="s">
        <v>516</v>
      </c>
      <c r="B942" s="298"/>
      <c r="C942" s="288" t="s">
        <v>299</v>
      </c>
      <c r="D942" s="288" t="s">
        <v>121</v>
      </c>
      <c r="E942" s="288" t="s">
        <v>484</v>
      </c>
      <c r="F942" s="300" t="s">
        <v>512</v>
      </c>
      <c r="G942" s="266">
        <v>17000</v>
      </c>
      <c r="H942" s="22"/>
      <c r="I942" s="22" t="e">
        <f>SUM(H942/#REF!*100)</f>
        <v>#REF!</v>
      </c>
    </row>
    <row r="943" spans="1:9" ht="28.5">
      <c r="A943" s="122" t="s">
        <v>301</v>
      </c>
      <c r="B943" s="282"/>
      <c r="C943" s="288" t="s">
        <v>299</v>
      </c>
      <c r="D943" s="288" t="s">
        <v>121</v>
      </c>
      <c r="E943" s="288" t="s">
        <v>514</v>
      </c>
      <c r="F943" s="285"/>
      <c r="G943" s="266">
        <f>SUM(G944)</f>
        <v>779.2</v>
      </c>
      <c r="H943" s="22"/>
      <c r="I943" s="22" t="e">
        <f>SUM(H943/#REF!*100)</f>
        <v>#REF!</v>
      </c>
    </row>
    <row r="944" spans="1:9" ht="27.75" customHeight="1">
      <c r="A944" s="122" t="s">
        <v>516</v>
      </c>
      <c r="B944" s="326"/>
      <c r="C944" s="288" t="s">
        <v>299</v>
      </c>
      <c r="D944" s="288" t="s">
        <v>121</v>
      </c>
      <c r="E944" s="288" t="s">
        <v>514</v>
      </c>
      <c r="F944" s="286" t="s">
        <v>512</v>
      </c>
      <c r="G944" s="266">
        <v>779.2</v>
      </c>
      <c r="H944" s="88"/>
      <c r="I944" s="88" t="e">
        <f>SUM(H944/#REF!*100)</f>
        <v>#REF!</v>
      </c>
    </row>
    <row r="945" spans="1:9" ht="16.5" hidden="1" thickBot="1">
      <c r="A945" s="118" t="s">
        <v>3</v>
      </c>
      <c r="B945" s="282"/>
      <c r="C945" s="288" t="s">
        <v>299</v>
      </c>
      <c r="D945" s="288" t="s">
        <v>459</v>
      </c>
      <c r="E945" s="288" t="s">
        <v>266</v>
      </c>
      <c r="F945" s="284"/>
      <c r="G945" s="266">
        <f>SUM(G946)</f>
        <v>0</v>
      </c>
      <c r="H945" s="89" t="e">
        <f>SUM(H11+H35+H54+#REF!+H379+#REF!+H592+#REF!+#REF!+H860)</f>
        <v>#REF!</v>
      </c>
      <c r="I945" s="89" t="e">
        <f>SUM(H945/G958*100)</f>
        <v>#REF!</v>
      </c>
    </row>
    <row r="946" spans="1:9" ht="33.75" customHeight="1" hidden="1" thickBot="1">
      <c r="A946" s="117" t="s">
        <v>346</v>
      </c>
      <c r="B946" s="282"/>
      <c r="C946" s="288" t="s">
        <v>299</v>
      </c>
      <c r="D946" s="288" t="s">
        <v>459</v>
      </c>
      <c r="E946" s="288" t="s">
        <v>266</v>
      </c>
      <c r="F946" s="284" t="s">
        <v>267</v>
      </c>
      <c r="G946" s="266"/>
      <c r="H946" s="90">
        <f>-76000-174.5-350</f>
        <v>-76524.5</v>
      </c>
      <c r="I946" s="90">
        <f>-76000-174.5-350</f>
        <v>-76524.5</v>
      </c>
    </row>
    <row r="947" spans="1:7" ht="22.5" customHeight="1">
      <c r="A947" s="118" t="s">
        <v>239</v>
      </c>
      <c r="B947" s="292"/>
      <c r="C947" s="288" t="s">
        <v>299</v>
      </c>
      <c r="D947" s="288" t="s">
        <v>299</v>
      </c>
      <c r="E947" s="288"/>
      <c r="F947" s="285"/>
      <c r="G947" s="266">
        <f>SUM(G950)+G955+G948</f>
        <v>21236.199999999997</v>
      </c>
    </row>
    <row r="948" spans="1:7" ht="15">
      <c r="A948" s="117" t="s">
        <v>386</v>
      </c>
      <c r="B948" s="282"/>
      <c r="C948" s="288" t="s">
        <v>299</v>
      </c>
      <c r="D948" s="288" t="s">
        <v>299</v>
      </c>
      <c r="E948" s="283" t="s">
        <v>506</v>
      </c>
      <c r="F948" s="285"/>
      <c r="G948" s="266">
        <f>SUM(G949)</f>
        <v>100</v>
      </c>
    </row>
    <row r="949" spans="1:7" ht="28.5">
      <c r="A949" s="122" t="s">
        <v>516</v>
      </c>
      <c r="B949" s="282"/>
      <c r="C949" s="288" t="s">
        <v>299</v>
      </c>
      <c r="D949" s="288" t="s">
        <v>299</v>
      </c>
      <c r="E949" s="283" t="s">
        <v>506</v>
      </c>
      <c r="F949" s="285" t="s">
        <v>512</v>
      </c>
      <c r="G949" s="266">
        <v>100</v>
      </c>
    </row>
    <row r="950" spans="1:7" ht="28.5">
      <c r="A950" s="118" t="s">
        <v>178</v>
      </c>
      <c r="B950" s="282"/>
      <c r="C950" s="288" t="s">
        <v>299</v>
      </c>
      <c r="D950" s="288" t="s">
        <v>299</v>
      </c>
      <c r="E950" s="288" t="s">
        <v>179</v>
      </c>
      <c r="F950" s="285"/>
      <c r="G950" s="266">
        <f>SUM(G951)</f>
        <v>12873.8</v>
      </c>
    </row>
    <row r="951" spans="1:7" ht="28.5">
      <c r="A951" s="117" t="s">
        <v>56</v>
      </c>
      <c r="B951" s="282"/>
      <c r="C951" s="288" t="s">
        <v>299</v>
      </c>
      <c r="D951" s="288" t="s">
        <v>299</v>
      </c>
      <c r="E951" s="288" t="s">
        <v>180</v>
      </c>
      <c r="F951" s="285"/>
      <c r="G951" s="266">
        <f>SUM(G952:G954)</f>
        <v>12873.8</v>
      </c>
    </row>
    <row r="952" spans="1:7" ht="28.5">
      <c r="A952" s="117" t="s">
        <v>494</v>
      </c>
      <c r="B952" s="282"/>
      <c r="C952" s="288" t="s">
        <v>299</v>
      </c>
      <c r="D952" s="288" t="s">
        <v>299</v>
      </c>
      <c r="E952" s="288" t="s">
        <v>180</v>
      </c>
      <c r="F952" s="284" t="s">
        <v>495</v>
      </c>
      <c r="G952" s="266">
        <v>11353.9</v>
      </c>
    </row>
    <row r="953" spans="1:7" ht="15">
      <c r="A953" s="117" t="s">
        <v>499</v>
      </c>
      <c r="B953" s="282"/>
      <c r="C953" s="288" t="s">
        <v>299</v>
      </c>
      <c r="D953" s="288" t="s">
        <v>299</v>
      </c>
      <c r="E953" s="288" t="s">
        <v>180</v>
      </c>
      <c r="F953" s="284" t="s">
        <v>119</v>
      </c>
      <c r="G953" s="267">
        <v>1472.8</v>
      </c>
    </row>
    <row r="954" spans="1:7" ht="15">
      <c r="A954" s="117" t="s">
        <v>500</v>
      </c>
      <c r="B954" s="282"/>
      <c r="C954" s="288" t="s">
        <v>299</v>
      </c>
      <c r="D954" s="288" t="s">
        <v>299</v>
      </c>
      <c r="E954" s="288" t="s">
        <v>180</v>
      </c>
      <c r="F954" s="285" t="s">
        <v>175</v>
      </c>
      <c r="G954" s="266">
        <v>47.1</v>
      </c>
    </row>
    <row r="955" spans="1:7" ht="15">
      <c r="A955" s="122" t="s">
        <v>748</v>
      </c>
      <c r="B955" s="282"/>
      <c r="C955" s="288" t="s">
        <v>299</v>
      </c>
      <c r="D955" s="288" t="s">
        <v>299</v>
      </c>
      <c r="E955" s="288" t="s">
        <v>128</v>
      </c>
      <c r="F955" s="285"/>
      <c r="G955" s="266">
        <f>SUM(G956)</f>
        <v>8262.4</v>
      </c>
    </row>
    <row r="956" spans="1:7" ht="34.5" customHeight="1">
      <c r="A956" s="117" t="s">
        <v>643</v>
      </c>
      <c r="B956" s="282"/>
      <c r="C956" s="288" t="s">
        <v>299</v>
      </c>
      <c r="D956" s="288" t="s">
        <v>299</v>
      </c>
      <c r="E956" s="288" t="s">
        <v>644</v>
      </c>
      <c r="F956" s="285"/>
      <c r="G956" s="266">
        <f>SUM(G957)</f>
        <v>8262.4</v>
      </c>
    </row>
    <row r="957" spans="1:7" ht="33.75" customHeight="1" thickBot="1">
      <c r="A957" s="173" t="s">
        <v>516</v>
      </c>
      <c r="B957" s="339"/>
      <c r="C957" s="340" t="s">
        <v>299</v>
      </c>
      <c r="D957" s="340" t="s">
        <v>299</v>
      </c>
      <c r="E957" s="341" t="s">
        <v>644</v>
      </c>
      <c r="F957" s="342" t="s">
        <v>512</v>
      </c>
      <c r="G957" s="272">
        <v>8262.4</v>
      </c>
    </row>
    <row r="958" spans="1:7" ht="24" customHeight="1" thickBot="1">
      <c r="A958" s="135" t="s">
        <v>171</v>
      </c>
      <c r="B958" s="142"/>
      <c r="C958" s="134"/>
      <c r="D958" s="134"/>
      <c r="E958" s="134"/>
      <c r="F958" s="143"/>
      <c r="G958" s="273">
        <f>SUM(G11+G35+G54+G341+G386+G566+G630+G783+G888)</f>
        <v>3757318.2999999993</v>
      </c>
    </row>
    <row r="959" ht="12.75" customHeight="1">
      <c r="G959" s="113"/>
    </row>
    <row r="960" ht="15" hidden="1">
      <c r="G960" s="130">
        <v>3276110.9</v>
      </c>
    </row>
    <row r="961" ht="15" hidden="1"/>
    <row r="962" ht="15" hidden="1">
      <c r="G962" s="114">
        <f>SUM(G958-G960)</f>
        <v>481207.39999999944</v>
      </c>
    </row>
    <row r="963" ht="18.75" customHeight="1" hidden="1">
      <c r="G963" s="115">
        <f>SUM(G958-3735218.3)</f>
        <v>22099.999999999534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62" r:id="rId1"/>
  <ignoredErrors>
    <ignoredError sqref="B11 C12:C14 D13:D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54.875" style="360" customWidth="1"/>
    <col min="2" max="2" width="22.375" style="360" customWidth="1"/>
    <col min="3" max="3" width="0.875" style="360" hidden="1" customWidth="1"/>
    <col min="4" max="4" width="16.125" style="360" hidden="1" customWidth="1"/>
    <col min="5" max="5" width="9.125" style="360" customWidth="1"/>
    <col min="6" max="6" width="10.875" style="360" bestFit="1" customWidth="1"/>
    <col min="7" max="16384" width="9.125" style="360" customWidth="1"/>
  </cols>
  <sheetData>
    <row r="1" spans="2:7" ht="18" customHeight="1">
      <c r="B1" s="16" t="s">
        <v>782</v>
      </c>
      <c r="C1" s="361"/>
      <c r="D1" s="362" t="s">
        <v>756</v>
      </c>
      <c r="G1" s="363"/>
    </row>
    <row r="2" spans="2:7" ht="12.75">
      <c r="B2" s="4" t="s">
        <v>1053</v>
      </c>
      <c r="C2" s="361"/>
      <c r="D2" s="361"/>
      <c r="G2" s="363"/>
    </row>
    <row r="3" spans="2:7" ht="12.75">
      <c r="B3" s="4" t="s">
        <v>269</v>
      </c>
      <c r="C3" s="361"/>
      <c r="D3" s="361"/>
      <c r="G3" s="363"/>
    </row>
    <row r="4" spans="2:7" ht="12.75">
      <c r="B4" s="364" t="s">
        <v>270</v>
      </c>
      <c r="C4" s="361"/>
      <c r="D4" s="361"/>
      <c r="G4" s="363"/>
    </row>
    <row r="5" spans="2:7" ht="15" customHeight="1">
      <c r="B5" s="471" t="s">
        <v>1052</v>
      </c>
      <c r="C5" s="471"/>
      <c r="D5" s="28"/>
      <c r="G5" s="363"/>
    </row>
    <row r="6" ht="12.75">
      <c r="B6" s="363"/>
    </row>
    <row r="9" s="363" customFormat="1" ht="15">
      <c r="A9" s="365" t="s">
        <v>757</v>
      </c>
    </row>
    <row r="10" spans="1:4" s="363" customFormat="1" ht="15">
      <c r="A10" s="365" t="s">
        <v>758</v>
      </c>
      <c r="C10" s="365"/>
      <c r="D10" s="365"/>
    </row>
    <row r="11" ht="15.75">
      <c r="A11" s="366"/>
    </row>
    <row r="12" s="365" customFormat="1" ht="15"/>
    <row r="13" s="365" customFormat="1" ht="15">
      <c r="A13" s="365" t="s">
        <v>759</v>
      </c>
    </row>
    <row r="14" s="365" customFormat="1" ht="15"/>
    <row r="15" s="365" customFormat="1" ht="15.75" thickBot="1">
      <c r="B15" s="365" t="s">
        <v>760</v>
      </c>
    </row>
    <row r="16" spans="1:4" s="365" customFormat="1" ht="40.5" customHeight="1" thickBot="1">
      <c r="A16" s="367" t="s">
        <v>274</v>
      </c>
      <c r="B16" s="368" t="s">
        <v>761</v>
      </c>
      <c r="C16" s="368" t="s">
        <v>762</v>
      </c>
      <c r="D16" s="368" t="s">
        <v>762</v>
      </c>
    </row>
    <row r="17" spans="1:6" s="365" customFormat="1" ht="45.75" customHeight="1">
      <c r="A17" s="369" t="s">
        <v>763</v>
      </c>
      <c r="B17" s="370">
        <f>SUM(B18-B19)</f>
        <v>81489.40000000002</v>
      </c>
      <c r="C17" s="370">
        <f>SUM(C18-C19)</f>
        <v>31656.5</v>
      </c>
      <c r="D17" s="370">
        <f>SUM(D18-D19)</f>
        <v>148939.8</v>
      </c>
      <c r="F17" s="371"/>
    </row>
    <row r="18" spans="1:4" s="365" customFormat="1" ht="24" customHeight="1">
      <c r="A18" s="372" t="s">
        <v>764</v>
      </c>
      <c r="B18" s="373">
        <f>102441.7-10+29344.5-286.8</f>
        <v>131489.40000000002</v>
      </c>
      <c r="C18" s="373">
        <f>31656.5+100580.5</f>
        <v>132237</v>
      </c>
      <c r="D18" s="373">
        <f>259071.6+50000</f>
        <v>309071.6</v>
      </c>
    </row>
    <row r="19" spans="1:4" s="365" customFormat="1" ht="25.5" customHeight="1" thickBot="1">
      <c r="A19" s="374" t="s">
        <v>765</v>
      </c>
      <c r="B19" s="373">
        <v>50000</v>
      </c>
      <c r="C19" s="373">
        <v>100580.5</v>
      </c>
      <c r="D19" s="373">
        <v>160131.8</v>
      </c>
    </row>
    <row r="20" spans="1:4" s="365" customFormat="1" ht="45.75" thickBot="1">
      <c r="A20" s="375" t="s">
        <v>766</v>
      </c>
      <c r="B20" s="376">
        <f>SUM(B22-B23)</f>
        <v>32000</v>
      </c>
      <c r="C20" s="376">
        <f>SUM(C22-C23)</f>
        <v>0</v>
      </c>
      <c r="D20" s="376">
        <f>SUM(D22-D23)</f>
        <v>-50000</v>
      </c>
    </row>
    <row r="21" spans="1:4" s="365" customFormat="1" ht="15" hidden="1">
      <c r="A21" s="377"/>
      <c r="B21" s="373"/>
      <c r="C21" s="373"/>
      <c r="D21" s="373"/>
    </row>
    <row r="22" spans="1:4" s="365" customFormat="1" ht="24" customHeight="1">
      <c r="A22" s="372" t="s">
        <v>764</v>
      </c>
      <c r="B22" s="373">
        <v>47000</v>
      </c>
      <c r="C22" s="373"/>
      <c r="D22" s="373"/>
    </row>
    <row r="23" spans="1:4" s="365" customFormat="1" ht="25.5" customHeight="1" thickBot="1">
      <c r="A23" s="378" t="s">
        <v>765</v>
      </c>
      <c r="B23" s="379">
        <v>15000</v>
      </c>
      <c r="C23" s="379"/>
      <c r="D23" s="379">
        <v>50000</v>
      </c>
    </row>
    <row r="24" spans="1:4" s="365" customFormat="1" ht="21" customHeight="1" thickBot="1">
      <c r="A24" s="380" t="s">
        <v>767</v>
      </c>
      <c r="B24" s="376">
        <f>SUM(B25-B26)</f>
        <v>113489.40000000002</v>
      </c>
      <c r="C24" s="376">
        <f>SUM(C25-C26)</f>
        <v>31656.5</v>
      </c>
      <c r="D24" s="376">
        <f>SUM(D25-D26)</f>
        <v>98939.79999999999</v>
      </c>
    </row>
    <row r="25" spans="1:4" s="365" customFormat="1" ht="24" customHeight="1">
      <c r="A25" s="381" t="s">
        <v>764</v>
      </c>
      <c r="B25" s="370">
        <f>SUM(B18+B22)</f>
        <v>178489.40000000002</v>
      </c>
      <c r="C25" s="370">
        <f>SUM(C18+C22)</f>
        <v>132237</v>
      </c>
      <c r="D25" s="370">
        <f>SUM(D18+D22)</f>
        <v>309071.6</v>
      </c>
    </row>
    <row r="26" spans="1:4" s="365" customFormat="1" ht="21.75" customHeight="1" thickBot="1">
      <c r="A26" s="374" t="s">
        <v>765</v>
      </c>
      <c r="B26" s="382">
        <f>SUM(B23)+B19</f>
        <v>65000</v>
      </c>
      <c r="C26" s="382">
        <f>SUM(C23)+C19</f>
        <v>100580.5</v>
      </c>
      <c r="D26" s="382">
        <f>SUM(D23)+D19</f>
        <v>210131.8</v>
      </c>
    </row>
  </sheetData>
  <sheetProtection/>
  <mergeCells count="1">
    <mergeCell ref="B5:C5"/>
  </mergeCells>
  <printOptions/>
  <pageMargins left="1.1023622047244095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54.625" style="360" customWidth="1"/>
    <col min="2" max="2" width="12.75390625" style="360" hidden="1" customWidth="1"/>
    <col min="3" max="3" width="17.375" style="360" customWidth="1"/>
    <col min="4" max="4" width="15.875" style="360" customWidth="1"/>
    <col min="5" max="16384" width="9.125" style="360" customWidth="1"/>
  </cols>
  <sheetData>
    <row r="1" spans="4:7" ht="18" customHeight="1">
      <c r="D1" s="16" t="s">
        <v>756</v>
      </c>
      <c r="G1" s="363"/>
    </row>
    <row r="2" spans="4:7" ht="12.75">
      <c r="D2" s="4" t="s">
        <v>1053</v>
      </c>
      <c r="G2" s="363"/>
    </row>
    <row r="3" spans="4:7" ht="12.75">
      <c r="D3" s="4" t="s">
        <v>269</v>
      </c>
      <c r="G3" s="363"/>
    </row>
    <row r="4" spans="4:7" ht="12.75">
      <c r="D4" s="4" t="s">
        <v>270</v>
      </c>
      <c r="G4" s="363"/>
    </row>
    <row r="5" spans="4:7" ht="14.25" customHeight="1">
      <c r="D5" s="471" t="s">
        <v>1052</v>
      </c>
      <c r="E5" s="471"/>
      <c r="G5" s="363"/>
    </row>
    <row r="6" ht="12.75">
      <c r="C6" s="363"/>
    </row>
    <row r="9" s="363" customFormat="1" ht="15">
      <c r="A9" s="365" t="s">
        <v>757</v>
      </c>
    </row>
    <row r="10" spans="1:4" s="363" customFormat="1" ht="15">
      <c r="A10" s="365" t="s">
        <v>768</v>
      </c>
      <c r="C10" s="365"/>
      <c r="D10" s="365"/>
    </row>
    <row r="11" ht="15.75">
      <c r="A11" s="366"/>
    </row>
    <row r="12" s="365" customFormat="1" ht="15"/>
    <row r="13" s="365" customFormat="1" ht="15">
      <c r="A13" s="365" t="s">
        <v>759</v>
      </c>
    </row>
    <row r="14" s="365" customFormat="1" ht="15"/>
    <row r="15" spans="2:3" s="365" customFormat="1" ht="15.75" thickBot="1">
      <c r="B15" s="365" t="s">
        <v>760</v>
      </c>
      <c r="C15" s="365" t="s">
        <v>760</v>
      </c>
    </row>
    <row r="16" spans="1:4" s="365" customFormat="1" ht="40.5" customHeight="1" thickBot="1">
      <c r="A16" s="383" t="s">
        <v>274</v>
      </c>
      <c r="B16" s="368" t="s">
        <v>762</v>
      </c>
      <c r="C16" s="368" t="s">
        <v>769</v>
      </c>
      <c r="D16" s="368" t="s">
        <v>770</v>
      </c>
    </row>
    <row r="17" spans="1:4" s="365" customFormat="1" ht="45.75" customHeight="1">
      <c r="A17" s="384" t="s">
        <v>763</v>
      </c>
      <c r="B17" s="370">
        <f>SUM(B18-B19)</f>
        <v>98939.80000000002</v>
      </c>
      <c r="C17" s="385">
        <f>SUM(C18-C19)</f>
        <v>63800.5</v>
      </c>
      <c r="D17" s="370">
        <f>SUM(D18-D19)</f>
        <v>36307.70000000001</v>
      </c>
    </row>
    <row r="18" spans="1:4" s="365" customFormat="1" ht="24" customHeight="1">
      <c r="A18" s="386" t="s">
        <v>764</v>
      </c>
      <c r="B18" s="373">
        <v>259071.6</v>
      </c>
      <c r="C18" s="387">
        <f>192618.5+102431.7+28800.5+25000+29344.5+10000-286.8</f>
        <v>387908.4</v>
      </c>
      <c r="D18" s="388">
        <f>348850.7+21400+4907.7+29344.5+10000+10000-286.8</f>
        <v>424216.10000000003</v>
      </c>
    </row>
    <row r="19" spans="1:4" s="365" customFormat="1" ht="25.5" customHeight="1" thickBot="1">
      <c r="A19" s="389" t="s">
        <v>765</v>
      </c>
      <c r="B19" s="373">
        <v>160131.8</v>
      </c>
      <c r="C19" s="387">
        <f>102431.7+192618.5+29344.5-286.8</f>
        <v>324107.9</v>
      </c>
      <c r="D19" s="373">
        <f>SUM(C18)</f>
        <v>387908.4</v>
      </c>
    </row>
    <row r="20" spans="1:4" s="365" customFormat="1" ht="45.75" thickBot="1">
      <c r="A20" s="375" t="s">
        <v>766</v>
      </c>
      <c r="B20" s="376">
        <f>SUM(B22-B23)</f>
        <v>0</v>
      </c>
      <c r="C20" s="390">
        <f>SUM(C22-C23)</f>
        <v>-35000</v>
      </c>
      <c r="D20" s="376">
        <f>SUM(D22-D23)</f>
        <v>-31400</v>
      </c>
    </row>
    <row r="21" spans="1:4" s="365" customFormat="1" ht="15" hidden="1">
      <c r="A21" s="391"/>
      <c r="B21" s="373"/>
      <c r="C21" s="392"/>
      <c r="D21" s="373"/>
    </row>
    <row r="22" spans="1:4" s="365" customFormat="1" ht="24" customHeight="1">
      <c r="A22" s="386" t="s">
        <v>764</v>
      </c>
      <c r="B22" s="373">
        <v>50000</v>
      </c>
      <c r="C22" s="392"/>
      <c r="D22" s="373"/>
    </row>
    <row r="23" spans="1:4" s="365" customFormat="1" ht="25.5" customHeight="1" thickBot="1">
      <c r="A23" s="393" t="s">
        <v>765</v>
      </c>
      <c r="B23" s="379">
        <v>50000</v>
      </c>
      <c r="C23" s="394">
        <v>35000</v>
      </c>
      <c r="D23" s="379">
        <v>31400</v>
      </c>
    </row>
    <row r="24" spans="1:4" s="365" customFormat="1" ht="21" customHeight="1" thickBot="1">
      <c r="A24" s="380" t="s">
        <v>767</v>
      </c>
      <c r="B24" s="376">
        <f>SUM(B25-B26)</f>
        <v>98939.79999999999</v>
      </c>
      <c r="C24" s="390">
        <f>SUM(C25-C26)</f>
        <v>28800.5</v>
      </c>
      <c r="D24" s="376">
        <f>SUM(D25-D26)</f>
        <v>4907.700000000012</v>
      </c>
    </row>
    <row r="25" spans="1:4" s="365" customFormat="1" ht="24" customHeight="1">
      <c r="A25" s="395" t="s">
        <v>764</v>
      </c>
      <c r="B25" s="370">
        <f>SUM(B18+B22)</f>
        <v>309071.6</v>
      </c>
      <c r="C25" s="385">
        <f>SUM(C18+C22)</f>
        <v>387908.4</v>
      </c>
      <c r="D25" s="370">
        <f>SUM(D18+D22)</f>
        <v>424216.10000000003</v>
      </c>
    </row>
    <row r="26" spans="1:4" s="365" customFormat="1" ht="21.75" customHeight="1" thickBot="1">
      <c r="A26" s="389" t="s">
        <v>765</v>
      </c>
      <c r="B26" s="382">
        <f>SUM(B23)+B19</f>
        <v>210131.8</v>
      </c>
      <c r="C26" s="396">
        <f>SUM(C23)+C19</f>
        <v>359107.9</v>
      </c>
      <c r="D26" s="382">
        <f>SUM(D23)+D19</f>
        <v>419308.4</v>
      </c>
    </row>
  </sheetData>
  <sheetProtection/>
  <mergeCells count="1">
    <mergeCell ref="D5:E5"/>
  </mergeCells>
  <printOptions/>
  <pageMargins left="1.299212598425197" right="0.31496062992125984" top="0.7480314960629921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625" style="41" customWidth="1"/>
    <col min="2" max="2" width="57.75390625" style="44" customWidth="1"/>
    <col min="3" max="3" width="18.875" style="45" hidden="1" customWidth="1"/>
    <col min="4" max="4" width="12.25390625" style="42" hidden="1" customWidth="1"/>
    <col min="5" max="5" width="21.25390625" style="45" customWidth="1"/>
    <col min="6" max="6" width="17.625" style="42" hidden="1" customWidth="1"/>
    <col min="7" max="7" width="10.125" style="42" hidden="1" customWidth="1"/>
    <col min="8" max="16384" width="9.125" style="42" customWidth="1"/>
  </cols>
  <sheetData>
    <row r="1" spans="2:5" ht="12.75">
      <c r="B1" s="165"/>
      <c r="C1" s="165" t="s">
        <v>483</v>
      </c>
      <c r="D1" s="165"/>
      <c r="E1" s="73" t="s">
        <v>1043</v>
      </c>
    </row>
    <row r="2" spans="2:5" ht="12" customHeight="1">
      <c r="B2" s="43"/>
      <c r="C2" s="43" t="s">
        <v>268</v>
      </c>
      <c r="D2" s="165"/>
      <c r="E2" s="43" t="s">
        <v>1053</v>
      </c>
    </row>
    <row r="3" spans="1:5" ht="15.75" customHeight="1">
      <c r="A3" s="70"/>
      <c r="B3" s="43"/>
      <c r="C3" s="43" t="s">
        <v>269</v>
      </c>
      <c r="D3" s="165"/>
      <c r="E3" s="43" t="s">
        <v>269</v>
      </c>
    </row>
    <row r="4" spans="3:5" ht="15">
      <c r="C4" s="43" t="s">
        <v>270</v>
      </c>
      <c r="D4" s="165"/>
      <c r="E4" s="43" t="s">
        <v>270</v>
      </c>
    </row>
    <row r="5" spans="3:6" ht="19.5" customHeight="1">
      <c r="C5" s="471" t="s">
        <v>622</v>
      </c>
      <c r="D5" s="471"/>
      <c r="E5" s="471" t="s">
        <v>1052</v>
      </c>
      <c r="F5" s="471"/>
    </row>
    <row r="6" spans="1:5" ht="74.25" customHeight="1">
      <c r="A6" s="475" t="s">
        <v>623</v>
      </c>
      <c r="B6" s="476"/>
      <c r="C6" s="476"/>
      <c r="E6" s="42"/>
    </row>
    <row r="7" spans="1:2" s="45" customFormat="1" ht="15">
      <c r="A7" s="41"/>
      <c r="B7" s="44"/>
    </row>
    <row r="8" spans="1:5" s="45" customFormat="1" ht="12.75" customHeight="1">
      <c r="A8" s="477" t="s">
        <v>63</v>
      </c>
      <c r="B8" s="480" t="s">
        <v>9</v>
      </c>
      <c r="C8" s="474" t="s">
        <v>10</v>
      </c>
      <c r="D8" s="474" t="s">
        <v>10</v>
      </c>
      <c r="E8" s="474" t="s">
        <v>10</v>
      </c>
    </row>
    <row r="9" spans="1:5" s="45" customFormat="1" ht="11.25" customHeight="1">
      <c r="A9" s="478"/>
      <c r="B9" s="480"/>
      <c r="C9" s="474"/>
      <c r="D9" s="474"/>
      <c r="E9" s="474"/>
    </row>
    <row r="10" spans="1:5" s="166" customFormat="1" ht="37.5" customHeight="1">
      <c r="A10" s="479"/>
      <c r="B10" s="480"/>
      <c r="C10" s="474"/>
      <c r="D10" s="474"/>
      <c r="E10" s="474"/>
    </row>
    <row r="11" spans="1:6" s="51" customFormat="1" ht="30" customHeight="1">
      <c r="A11" s="46" t="s">
        <v>11</v>
      </c>
      <c r="B11" s="53" t="s">
        <v>12</v>
      </c>
      <c r="C11" s="164">
        <f>C12+C17+C22+C27</f>
        <v>73995.59999999998</v>
      </c>
      <c r="D11" s="48">
        <f>D12+D17+D22+D27</f>
        <v>98939.79999999999</v>
      </c>
      <c r="E11" s="164">
        <f>E12+E17+E22+E27</f>
        <v>120501.90000000002</v>
      </c>
      <c r="F11" s="51">
        <v>73995.6</v>
      </c>
    </row>
    <row r="12" spans="1:5" s="51" customFormat="1" ht="30" customHeight="1">
      <c r="A12" s="46" t="s">
        <v>32</v>
      </c>
      <c r="B12" s="170" t="s">
        <v>33</v>
      </c>
      <c r="C12" s="164">
        <f>SUM(C13-C15)</f>
        <v>73995.59999999998</v>
      </c>
      <c r="D12" s="48">
        <f>SUM(D13-D15)</f>
        <v>148939.8</v>
      </c>
      <c r="E12" s="164">
        <f>SUM(E13-E15)</f>
        <v>81489.40000000002</v>
      </c>
    </row>
    <row r="13" spans="1:7" s="51" customFormat="1" ht="33" customHeight="1">
      <c r="A13" s="46" t="s">
        <v>34</v>
      </c>
      <c r="B13" s="47" t="s">
        <v>35</v>
      </c>
      <c r="C13" s="164">
        <f>SUM(C14)</f>
        <v>291614.1</v>
      </c>
      <c r="D13" s="48">
        <f>259071.6+50000</f>
        <v>309071.6</v>
      </c>
      <c r="E13" s="164">
        <f>SUM(E14)</f>
        <v>131489.40000000002</v>
      </c>
      <c r="G13" s="167">
        <f>SUM(C13+C18)</f>
        <v>291614.1</v>
      </c>
    </row>
    <row r="14" spans="1:5" s="51" customFormat="1" ht="50.25" customHeight="1">
      <c r="A14" s="46" t="s">
        <v>36</v>
      </c>
      <c r="B14" s="58" t="s">
        <v>624</v>
      </c>
      <c r="C14" s="164">
        <f>223995.6-15000+82618.5</f>
        <v>291614.1</v>
      </c>
      <c r="D14" s="48">
        <v>100580.5</v>
      </c>
      <c r="E14" s="164">
        <f>65000+73995.6-15000-21553.9-10+29344.5-286.8</f>
        <v>131489.40000000002</v>
      </c>
    </row>
    <row r="15" spans="1:5" s="51" customFormat="1" ht="49.5" customHeight="1">
      <c r="A15" s="46" t="s">
        <v>37</v>
      </c>
      <c r="B15" s="75" t="s">
        <v>347</v>
      </c>
      <c r="C15" s="164">
        <f>SUM(C16)</f>
        <v>217618.5</v>
      </c>
      <c r="D15" s="48">
        <v>160131.8</v>
      </c>
      <c r="E15" s="164">
        <f>SUM(E16)</f>
        <v>50000</v>
      </c>
    </row>
    <row r="16" spans="1:5" s="51" customFormat="1" ht="46.5" customHeight="1">
      <c r="A16" s="46" t="s">
        <v>348</v>
      </c>
      <c r="B16" s="58" t="s">
        <v>625</v>
      </c>
      <c r="C16" s="164">
        <v>217618.5</v>
      </c>
      <c r="D16" s="48">
        <v>60000</v>
      </c>
      <c r="E16" s="164">
        <v>50000</v>
      </c>
    </row>
    <row r="17" spans="1:5" s="51" customFormat="1" ht="36" customHeight="1">
      <c r="A17" s="46" t="s">
        <v>628</v>
      </c>
      <c r="B17" s="49" t="s">
        <v>172</v>
      </c>
      <c r="C17" s="164">
        <f>SUM(C18)-C20</f>
        <v>-15000</v>
      </c>
      <c r="D17" s="48">
        <f>SUM(D18)-D20</f>
        <v>-50000</v>
      </c>
      <c r="E17" s="164">
        <f>SUM(E18)-E20</f>
        <v>32000</v>
      </c>
    </row>
    <row r="18" spans="1:5" s="51" customFormat="1" ht="45" customHeight="1">
      <c r="A18" s="46" t="s">
        <v>786</v>
      </c>
      <c r="B18" s="50" t="s">
        <v>350</v>
      </c>
      <c r="C18" s="164"/>
      <c r="D18" s="48"/>
      <c r="E18" s="164">
        <v>47000</v>
      </c>
    </row>
    <row r="19" spans="1:5" s="51" customFormat="1" ht="47.25" customHeight="1">
      <c r="A19" s="46" t="s">
        <v>787</v>
      </c>
      <c r="B19" s="49" t="s">
        <v>173</v>
      </c>
      <c r="C19" s="164"/>
      <c r="D19" s="48"/>
      <c r="E19" s="164">
        <v>47000</v>
      </c>
    </row>
    <row r="20" spans="1:5" s="51" customFormat="1" ht="49.5" customHeight="1">
      <c r="A20" s="46" t="s">
        <v>629</v>
      </c>
      <c r="B20" s="52" t="s">
        <v>437</v>
      </c>
      <c r="C20" s="164">
        <v>15000</v>
      </c>
      <c r="D20" s="48">
        <v>50000</v>
      </c>
      <c r="E20" s="164">
        <v>15000</v>
      </c>
    </row>
    <row r="21" spans="1:5" s="51" customFormat="1" ht="66.75" customHeight="1">
      <c r="A21" s="46" t="s">
        <v>630</v>
      </c>
      <c r="B21" s="58" t="s">
        <v>627</v>
      </c>
      <c r="C21" s="164">
        <v>15000</v>
      </c>
      <c r="D21" s="48"/>
      <c r="E21" s="164">
        <v>15000</v>
      </c>
    </row>
    <row r="22" spans="1:5" s="51" customFormat="1" ht="32.25" customHeight="1">
      <c r="A22" s="46" t="s">
        <v>351</v>
      </c>
      <c r="B22" s="53" t="s">
        <v>626</v>
      </c>
      <c r="C22" s="164">
        <f aca="true" t="shared" si="0" ref="C22:E25">SUM(C23)</f>
        <v>15000</v>
      </c>
      <c r="D22" s="48">
        <f t="shared" si="0"/>
        <v>0</v>
      </c>
      <c r="E22" s="164">
        <f t="shared" si="0"/>
        <v>7012.5</v>
      </c>
    </row>
    <row r="23" spans="1:5" s="51" customFormat="1" ht="32.25" customHeight="1">
      <c r="A23" s="46" t="s">
        <v>352</v>
      </c>
      <c r="B23" s="53" t="s">
        <v>353</v>
      </c>
      <c r="C23" s="164">
        <f>SUM(C24)</f>
        <v>15000</v>
      </c>
      <c r="D23" s="48">
        <f t="shared" si="0"/>
        <v>0</v>
      </c>
      <c r="E23" s="164">
        <f>SUM(E24)</f>
        <v>7012.5</v>
      </c>
    </row>
    <row r="24" spans="1:5" s="51" customFormat="1" ht="31.5" customHeight="1">
      <c r="A24" s="46" t="s">
        <v>354</v>
      </c>
      <c r="B24" s="53" t="s">
        <v>355</v>
      </c>
      <c r="C24" s="164">
        <f>SUM(C25)</f>
        <v>15000</v>
      </c>
      <c r="D24" s="48">
        <f t="shared" si="0"/>
        <v>0</v>
      </c>
      <c r="E24" s="164">
        <f>SUM(E25)</f>
        <v>7012.5</v>
      </c>
    </row>
    <row r="25" spans="1:5" s="51" customFormat="1" ht="32.25" customHeight="1">
      <c r="A25" s="46" t="s">
        <v>356</v>
      </c>
      <c r="B25" s="53" t="s">
        <v>357</v>
      </c>
      <c r="C25" s="164">
        <f t="shared" si="0"/>
        <v>15000</v>
      </c>
      <c r="D25" s="48">
        <f t="shared" si="0"/>
        <v>0</v>
      </c>
      <c r="E25" s="164">
        <f t="shared" si="0"/>
        <v>7012.5</v>
      </c>
    </row>
    <row r="26" spans="1:5" s="51" customFormat="1" ht="38.25" customHeight="1">
      <c r="A26" s="46" t="s">
        <v>358</v>
      </c>
      <c r="B26" s="53" t="s">
        <v>359</v>
      </c>
      <c r="C26" s="164">
        <v>15000</v>
      </c>
      <c r="D26" s="48"/>
      <c r="E26" s="164">
        <f>6563.9+49.5+263.5+7+128.6</f>
        <v>7012.5</v>
      </c>
    </row>
    <row r="27" spans="1:7" ht="35.25" customHeight="1" hidden="1">
      <c r="A27" s="54" t="s">
        <v>360</v>
      </c>
      <c r="B27" s="168" t="s">
        <v>176</v>
      </c>
      <c r="C27" s="56">
        <f>C28+C31</f>
        <v>0</v>
      </c>
      <c r="D27" s="56">
        <f>D28+D31</f>
        <v>0</v>
      </c>
      <c r="E27" s="56">
        <f>E28+E31</f>
        <v>0</v>
      </c>
      <c r="F27" s="51"/>
      <c r="G27" s="51"/>
    </row>
    <row r="28" spans="1:7" ht="30.75" customHeight="1" hidden="1">
      <c r="A28" s="54" t="s">
        <v>361</v>
      </c>
      <c r="B28" s="55" t="s">
        <v>362</v>
      </c>
      <c r="C28" s="56">
        <f>SUM(C29)</f>
        <v>0</v>
      </c>
      <c r="D28" s="56">
        <f>SUM(D29)</f>
        <v>0</v>
      </c>
      <c r="E28" s="56">
        <f>SUM(E29)</f>
        <v>0</v>
      </c>
      <c r="F28" s="51"/>
      <c r="G28" s="51"/>
    </row>
    <row r="29" spans="1:7" ht="123.75" customHeight="1" hidden="1">
      <c r="A29" s="54" t="s">
        <v>363</v>
      </c>
      <c r="B29" s="57" t="s">
        <v>232</v>
      </c>
      <c r="C29" s="56"/>
      <c r="D29" s="56">
        <f>SUM(D30)</f>
        <v>0</v>
      </c>
      <c r="E29" s="56"/>
      <c r="F29" s="51"/>
      <c r="G29" s="51"/>
    </row>
    <row r="30" spans="1:7" ht="110.25" customHeight="1" hidden="1">
      <c r="A30" s="54" t="s">
        <v>233</v>
      </c>
      <c r="B30" s="58" t="s">
        <v>311</v>
      </c>
      <c r="C30" s="56">
        <v>-10000</v>
      </c>
      <c r="D30" s="56"/>
      <c r="E30" s="56">
        <v>-10000</v>
      </c>
      <c r="F30" s="51"/>
      <c r="G30" s="51"/>
    </row>
    <row r="31" spans="1:7" ht="30" customHeight="1" hidden="1">
      <c r="A31" s="54" t="s">
        <v>312</v>
      </c>
      <c r="B31" s="55" t="s">
        <v>313</v>
      </c>
      <c r="C31" s="56">
        <f>SUM(C32)</f>
        <v>0</v>
      </c>
      <c r="D31" s="56">
        <f>SUM(D32)</f>
        <v>0</v>
      </c>
      <c r="E31" s="56">
        <f>SUM(E32)</f>
        <v>0</v>
      </c>
      <c r="F31" s="51"/>
      <c r="G31" s="51"/>
    </row>
    <row r="32" spans="1:7" ht="30" customHeight="1" hidden="1">
      <c r="A32" s="54" t="s">
        <v>314</v>
      </c>
      <c r="B32" s="55" t="s">
        <v>315</v>
      </c>
      <c r="C32" s="56"/>
      <c r="D32" s="56">
        <f>SUM(D33)</f>
        <v>0</v>
      </c>
      <c r="E32" s="56"/>
      <c r="F32" s="51"/>
      <c r="G32" s="51"/>
    </row>
    <row r="33" spans="1:7" ht="45" customHeight="1" hidden="1">
      <c r="A33" s="54" t="s">
        <v>316</v>
      </c>
      <c r="B33" s="58" t="s">
        <v>317</v>
      </c>
      <c r="C33" s="56">
        <v>10000</v>
      </c>
      <c r="D33" s="56"/>
      <c r="E33" s="56">
        <v>10000</v>
      </c>
      <c r="F33" s="51"/>
      <c r="G33" s="51"/>
    </row>
    <row r="34" spans="1:7" ht="15">
      <c r="A34" s="59"/>
      <c r="C34" s="60"/>
      <c r="D34" s="51"/>
      <c r="E34" s="60"/>
      <c r="F34" s="51"/>
      <c r="G34" s="51"/>
    </row>
  </sheetData>
  <sheetProtection/>
  <mergeCells count="8">
    <mergeCell ref="E8:E10"/>
    <mergeCell ref="C5:D5"/>
    <mergeCell ref="A6:C6"/>
    <mergeCell ref="A8:A10"/>
    <mergeCell ref="B8:B10"/>
    <mergeCell ref="C8:C10"/>
    <mergeCell ref="D8:D10"/>
    <mergeCell ref="E5:F5"/>
  </mergeCells>
  <printOptions/>
  <pageMargins left="1.299212598425197" right="0.11811023622047245" top="0.7480314960629921" bottom="0.15748031496062992" header="0.31496062992125984" footer="0.31496062992125984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30.625" style="41" customWidth="1"/>
    <col min="2" max="2" width="55.00390625" style="399" customWidth="1"/>
    <col min="3" max="3" width="16.375" style="45" hidden="1" customWidth="1"/>
    <col min="4" max="4" width="15.25390625" style="42" hidden="1" customWidth="1"/>
    <col min="5" max="5" width="14.75390625" style="42" customWidth="1"/>
    <col min="6" max="6" width="15.125" style="42" customWidth="1"/>
    <col min="7" max="16384" width="9.125" style="42" customWidth="1"/>
  </cols>
  <sheetData>
    <row r="1" spans="2:6" ht="12.75">
      <c r="B1" s="397"/>
      <c r="C1" s="73" t="s">
        <v>771</v>
      </c>
      <c r="D1" s="361"/>
      <c r="F1" s="73" t="s">
        <v>1044</v>
      </c>
    </row>
    <row r="2" spans="2:6" ht="12" customHeight="1">
      <c r="B2" s="398"/>
      <c r="C2" s="43" t="s">
        <v>268</v>
      </c>
      <c r="D2" s="361"/>
      <c r="F2" s="43" t="s">
        <v>1053</v>
      </c>
    </row>
    <row r="3" spans="2:6" ht="12.75">
      <c r="B3" s="398"/>
      <c r="C3" s="43" t="s">
        <v>269</v>
      </c>
      <c r="D3" s="361"/>
      <c r="F3" s="43" t="s">
        <v>269</v>
      </c>
    </row>
    <row r="4" spans="3:6" ht="15">
      <c r="C4" s="43" t="s">
        <v>270</v>
      </c>
      <c r="D4" s="361"/>
      <c r="F4" s="43" t="s">
        <v>270</v>
      </c>
    </row>
    <row r="5" spans="3:6" ht="17.25" customHeight="1">
      <c r="C5" s="471" t="s">
        <v>772</v>
      </c>
      <c r="D5" s="471"/>
      <c r="E5" s="481" t="s">
        <v>1055</v>
      </c>
      <c r="F5" s="481"/>
    </row>
    <row r="6" spans="1:3" ht="75.75" customHeight="1">
      <c r="A6" s="475" t="s">
        <v>773</v>
      </c>
      <c r="B6" s="476"/>
      <c r="C6" s="476"/>
    </row>
    <row r="7" spans="1:2" s="45" customFormat="1" ht="15">
      <c r="A7" s="41"/>
      <c r="B7" s="399"/>
    </row>
    <row r="8" spans="1:6" s="45" customFormat="1" ht="12.75" customHeight="1">
      <c r="A8" s="482" t="s">
        <v>63</v>
      </c>
      <c r="B8" s="485" t="s">
        <v>9</v>
      </c>
      <c r="C8" s="486" t="s">
        <v>774</v>
      </c>
      <c r="D8" s="486" t="s">
        <v>775</v>
      </c>
      <c r="E8" s="486" t="s">
        <v>774</v>
      </c>
      <c r="F8" s="486" t="s">
        <v>775</v>
      </c>
    </row>
    <row r="9" spans="1:6" s="45" customFormat="1" ht="11.25" customHeight="1">
      <c r="A9" s="483"/>
      <c r="B9" s="485"/>
      <c r="C9" s="486"/>
      <c r="D9" s="486"/>
      <c r="E9" s="486"/>
      <c r="F9" s="486"/>
    </row>
    <row r="10" spans="1:6" s="400" customFormat="1" ht="37.5" customHeight="1">
      <c r="A10" s="484"/>
      <c r="B10" s="485"/>
      <c r="C10" s="486"/>
      <c r="D10" s="486"/>
      <c r="E10" s="486"/>
      <c r="F10" s="486"/>
    </row>
    <row r="11" spans="1:6" s="404" customFormat="1" ht="34.5" customHeight="1">
      <c r="A11" s="401" t="s">
        <v>11</v>
      </c>
      <c r="B11" s="402" t="s">
        <v>12</v>
      </c>
      <c r="C11" s="403">
        <f>C12+C17+C22+C27</f>
        <v>28800.5</v>
      </c>
      <c r="D11" s="403">
        <f>D12+D17+D22+D27</f>
        <v>4907.700000000012</v>
      </c>
      <c r="E11" s="403">
        <f>E12+E17+E22+E27</f>
        <v>28800.5</v>
      </c>
      <c r="F11" s="403">
        <f>F12+F17+F22+F27</f>
        <v>4907.700000000012</v>
      </c>
    </row>
    <row r="12" spans="1:6" s="404" customFormat="1" ht="30" customHeight="1">
      <c r="A12" s="46" t="s">
        <v>32</v>
      </c>
      <c r="B12" s="405" t="s">
        <v>33</v>
      </c>
      <c r="C12" s="403">
        <f>SUM(C13-C15)</f>
        <v>53800.5</v>
      </c>
      <c r="D12" s="403">
        <f>SUM(D13-D15)</f>
        <v>26307.70000000001</v>
      </c>
      <c r="E12" s="403">
        <f>SUM(E13-E15)</f>
        <v>63800.5</v>
      </c>
      <c r="F12" s="403">
        <f>SUM(F13-F15)</f>
        <v>36307.70000000001</v>
      </c>
    </row>
    <row r="13" spans="1:6" s="404" customFormat="1" ht="30" customHeight="1">
      <c r="A13" s="46" t="s">
        <v>34</v>
      </c>
      <c r="B13" s="405" t="s">
        <v>35</v>
      </c>
      <c r="C13" s="164">
        <f>SUM(C14)</f>
        <v>345414.6</v>
      </c>
      <c r="D13" s="164">
        <f>SUM(D14)</f>
        <v>371722.3</v>
      </c>
      <c r="E13" s="164">
        <f>SUM(E14)</f>
        <v>387908.4</v>
      </c>
      <c r="F13" s="164">
        <f>SUM(F14)</f>
        <v>424216.10000000003</v>
      </c>
    </row>
    <row r="14" spans="1:6" s="404" customFormat="1" ht="45">
      <c r="A14" s="46" t="s">
        <v>36</v>
      </c>
      <c r="B14" s="58" t="s">
        <v>624</v>
      </c>
      <c r="C14" s="164">
        <f>233995.6+28800.5+82618.5</f>
        <v>345414.6</v>
      </c>
      <c r="D14" s="164">
        <f>229342+33454.1+4907.7+82618.5+21400</f>
        <v>371722.3</v>
      </c>
      <c r="E14" s="164">
        <f>192618.5+102431.7+28800.5+25000+29344.5+10000-286.8</f>
        <v>387908.4</v>
      </c>
      <c r="F14" s="164">
        <f>348850.7+21400+4907.7+29344.5+10000+10000-286.8</f>
        <v>424216.10000000003</v>
      </c>
    </row>
    <row r="15" spans="1:6" s="404" customFormat="1" ht="46.5" customHeight="1">
      <c r="A15" s="46" t="s">
        <v>37</v>
      </c>
      <c r="B15" s="75" t="s">
        <v>347</v>
      </c>
      <c r="C15" s="164">
        <f>SUM(C16)</f>
        <v>291614.1</v>
      </c>
      <c r="D15" s="164">
        <f>SUM(D16)</f>
        <v>345414.6</v>
      </c>
      <c r="E15" s="164">
        <f>SUM(E16)</f>
        <v>324107.9</v>
      </c>
      <c r="F15" s="164">
        <f>SUM(F16)</f>
        <v>387908.4</v>
      </c>
    </row>
    <row r="16" spans="1:6" s="404" customFormat="1" ht="57" customHeight="1">
      <c r="A16" s="46" t="s">
        <v>348</v>
      </c>
      <c r="B16" s="58" t="s">
        <v>625</v>
      </c>
      <c r="C16" s="164">
        <f>208995.6+82618.5</f>
        <v>291614.1</v>
      </c>
      <c r="D16" s="164">
        <f>233995.6+28800.5+82618.5</f>
        <v>345414.6</v>
      </c>
      <c r="E16" s="164">
        <f>102431.7+192618.5+29344.5-286.8</f>
        <v>324107.9</v>
      </c>
      <c r="F16" s="164">
        <f>SUM(E14)</f>
        <v>387908.4</v>
      </c>
    </row>
    <row r="17" spans="1:6" s="404" customFormat="1" ht="30" customHeight="1">
      <c r="A17" s="46" t="s">
        <v>628</v>
      </c>
      <c r="B17" s="49" t="s">
        <v>172</v>
      </c>
      <c r="C17" s="403">
        <f>SUM(C18)-C20</f>
        <v>-25000</v>
      </c>
      <c r="D17" s="403">
        <f>SUM(D18)-D20</f>
        <v>-21400</v>
      </c>
      <c r="E17" s="403">
        <f>SUM(E18)-E20</f>
        <v>-35000</v>
      </c>
      <c r="F17" s="403">
        <f>SUM(F18)-F20</f>
        <v>-31400</v>
      </c>
    </row>
    <row r="18" spans="1:6" s="404" customFormat="1" ht="45" customHeight="1" hidden="1">
      <c r="A18" s="46" t="s">
        <v>349</v>
      </c>
      <c r="B18" s="49" t="s">
        <v>350</v>
      </c>
      <c r="C18" s="164"/>
      <c r="D18" s="164"/>
      <c r="E18" s="164"/>
      <c r="F18" s="164"/>
    </row>
    <row r="19" spans="1:6" s="51" customFormat="1" ht="45" customHeight="1" hidden="1">
      <c r="A19" s="46" t="s">
        <v>436</v>
      </c>
      <c r="B19" s="49" t="s">
        <v>173</v>
      </c>
      <c r="C19" s="164"/>
      <c r="D19" s="164"/>
      <c r="E19" s="164"/>
      <c r="F19" s="164"/>
    </row>
    <row r="20" spans="1:6" s="51" customFormat="1" ht="53.25" customHeight="1">
      <c r="A20" s="46" t="s">
        <v>629</v>
      </c>
      <c r="B20" s="52" t="s">
        <v>437</v>
      </c>
      <c r="C20" s="164">
        <f>SUM(C21)</f>
        <v>25000</v>
      </c>
      <c r="D20" s="164">
        <f>SUM(D21)</f>
        <v>21400</v>
      </c>
      <c r="E20" s="164">
        <f>SUM(E21)</f>
        <v>35000</v>
      </c>
      <c r="F20" s="164">
        <f>SUM(F21)</f>
        <v>31400</v>
      </c>
    </row>
    <row r="21" spans="1:6" s="51" customFormat="1" ht="60" customHeight="1">
      <c r="A21" s="46" t="s">
        <v>630</v>
      </c>
      <c r="B21" s="58" t="s">
        <v>776</v>
      </c>
      <c r="C21" s="164">
        <v>25000</v>
      </c>
      <c r="D21" s="164">
        <v>21400</v>
      </c>
      <c r="E21" s="164">
        <f>25000+10000</f>
        <v>35000</v>
      </c>
      <c r="F21" s="164">
        <f>21400+10000</f>
        <v>31400</v>
      </c>
    </row>
    <row r="22" spans="1:4" s="404" customFormat="1" ht="32.25" customHeight="1" hidden="1">
      <c r="A22" s="401" t="s">
        <v>351</v>
      </c>
      <c r="B22" s="402" t="s">
        <v>777</v>
      </c>
      <c r="C22" s="406">
        <f aca="true" t="shared" si="0" ref="C22:D25">SUM(C23)</f>
        <v>0</v>
      </c>
      <c r="D22" s="406">
        <f t="shared" si="0"/>
        <v>0</v>
      </c>
    </row>
    <row r="23" spans="1:4" s="404" customFormat="1" ht="32.25" customHeight="1" hidden="1">
      <c r="A23" s="46" t="s">
        <v>352</v>
      </c>
      <c r="B23" s="53" t="s">
        <v>353</v>
      </c>
      <c r="C23" s="48">
        <f t="shared" si="0"/>
        <v>0</v>
      </c>
      <c r="D23" s="48">
        <f t="shared" si="0"/>
        <v>0</v>
      </c>
    </row>
    <row r="24" spans="1:4" s="404" customFormat="1" ht="32.25" customHeight="1" hidden="1">
      <c r="A24" s="46" t="s">
        <v>354</v>
      </c>
      <c r="B24" s="53" t="s">
        <v>355</v>
      </c>
      <c r="C24" s="48">
        <f t="shared" si="0"/>
        <v>0</v>
      </c>
      <c r="D24" s="48">
        <f t="shared" si="0"/>
        <v>0</v>
      </c>
    </row>
    <row r="25" spans="1:4" s="404" customFormat="1" ht="32.25" customHeight="1" hidden="1">
      <c r="A25" s="46" t="s">
        <v>356</v>
      </c>
      <c r="B25" s="53" t="s">
        <v>357</v>
      </c>
      <c r="C25" s="48">
        <f t="shared" si="0"/>
        <v>0</v>
      </c>
      <c r="D25" s="48">
        <f t="shared" si="0"/>
        <v>0</v>
      </c>
    </row>
    <row r="26" spans="1:4" s="51" customFormat="1" ht="38.25" customHeight="1" hidden="1">
      <c r="A26" s="46" t="s">
        <v>358</v>
      </c>
      <c r="B26" s="53" t="s">
        <v>359</v>
      </c>
      <c r="C26" s="48"/>
      <c r="D26" s="48"/>
    </row>
    <row r="27" spans="1:6" ht="33" customHeight="1" hidden="1">
      <c r="A27" s="407" t="s">
        <v>360</v>
      </c>
      <c r="B27" s="408" t="s">
        <v>176</v>
      </c>
      <c r="C27" s="409">
        <f>C28+C31</f>
        <v>0</v>
      </c>
      <c r="D27" s="409">
        <f>D28+D31</f>
        <v>0</v>
      </c>
      <c r="E27" s="51"/>
      <c r="F27" s="51"/>
    </row>
    <row r="28" spans="1:6" ht="0.75" customHeight="1" hidden="1">
      <c r="A28" s="54" t="s">
        <v>361</v>
      </c>
      <c r="B28" s="410" t="s">
        <v>362</v>
      </c>
      <c r="C28" s="56">
        <f>SUM(C29)</f>
        <v>0</v>
      </c>
      <c r="D28" s="56">
        <f>SUM(D29)</f>
        <v>0</v>
      </c>
      <c r="E28" s="51"/>
      <c r="F28" s="51"/>
    </row>
    <row r="29" spans="1:6" ht="128.25" customHeight="1" hidden="1">
      <c r="A29" s="54" t="s">
        <v>363</v>
      </c>
      <c r="B29" s="411" t="s">
        <v>232</v>
      </c>
      <c r="C29" s="56">
        <f>SUM(C30)</f>
        <v>0</v>
      </c>
      <c r="D29" s="56">
        <f>SUM(D30)</f>
        <v>0</v>
      </c>
      <c r="E29" s="51"/>
      <c r="F29" s="51"/>
    </row>
    <row r="30" spans="1:6" ht="42.75" customHeight="1" hidden="1">
      <c r="A30" s="54" t="s">
        <v>233</v>
      </c>
      <c r="B30" s="58" t="s">
        <v>311</v>
      </c>
      <c r="C30" s="56"/>
      <c r="D30" s="56"/>
      <c r="E30" s="51"/>
      <c r="F30" s="51"/>
    </row>
    <row r="31" spans="1:6" ht="30" customHeight="1" hidden="1">
      <c r="A31" s="54" t="s">
        <v>312</v>
      </c>
      <c r="B31" s="410" t="s">
        <v>313</v>
      </c>
      <c r="C31" s="56">
        <f>SUM(C32)</f>
        <v>0</v>
      </c>
      <c r="D31" s="56">
        <f>SUM(D32)</f>
        <v>0</v>
      </c>
      <c r="E31" s="51"/>
      <c r="F31" s="51"/>
    </row>
    <row r="32" spans="1:6" ht="30" customHeight="1" hidden="1">
      <c r="A32" s="54" t="s">
        <v>314</v>
      </c>
      <c r="B32" s="410" t="s">
        <v>315</v>
      </c>
      <c r="C32" s="56">
        <f>SUM(C33)</f>
        <v>0</v>
      </c>
      <c r="D32" s="56">
        <f>SUM(D33)</f>
        <v>0</v>
      </c>
      <c r="E32" s="51"/>
      <c r="F32" s="51"/>
    </row>
    <row r="33" spans="1:6" ht="45" customHeight="1" hidden="1">
      <c r="A33" s="54" t="s">
        <v>316</v>
      </c>
      <c r="B33" s="58" t="s">
        <v>317</v>
      </c>
      <c r="C33" s="56"/>
      <c r="D33" s="56"/>
      <c r="E33" s="51"/>
      <c r="F33" s="51"/>
    </row>
    <row r="34" spans="1:6" ht="15" hidden="1">
      <c r="A34" s="59"/>
      <c r="C34" s="60"/>
      <c r="D34" s="51"/>
      <c r="E34" s="51"/>
      <c r="F34" s="51"/>
    </row>
  </sheetData>
  <sheetProtection/>
  <mergeCells count="9">
    <mergeCell ref="C5:D5"/>
    <mergeCell ref="E5:F5"/>
    <mergeCell ref="A6:C6"/>
    <mergeCell ref="A8:A10"/>
    <mergeCell ref="B8:B10"/>
    <mergeCell ref="C8:C10"/>
    <mergeCell ref="D8:D10"/>
    <mergeCell ref="E8:E10"/>
    <mergeCell ref="F8:F10"/>
  </mergeCells>
  <printOptions/>
  <pageMargins left="1.1023622047244095" right="0.31496062992125984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2014-12-23T07:18:06Z</cp:lastPrinted>
  <dcterms:created xsi:type="dcterms:W3CDTF">2010-10-13T06:28:56Z</dcterms:created>
  <dcterms:modified xsi:type="dcterms:W3CDTF">2014-12-23T07:22:48Z</dcterms:modified>
  <cp:category/>
  <cp:version/>
  <cp:contentType/>
  <cp:contentStatus/>
</cp:coreProperties>
</file>