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firstSheet="1" activeTab="8"/>
  </bookViews>
  <sheets>
    <sheet name="ГАДы" sheetId="1" r:id="rId1"/>
    <sheet name="функцион.2014" sheetId="2" r:id="rId2"/>
    <sheet name="функцион.2015-16" sheetId="3" r:id="rId3"/>
    <sheet name="ведомствен.2014" sheetId="4" r:id="rId4"/>
    <sheet name="ведомствен.2015-2016" sheetId="5" r:id="rId5"/>
    <sheet name="прогр.заимств." sheetId="6" r:id="rId6"/>
    <sheet name="прогр.заимств.2015-2016" sheetId="7" r:id="rId7"/>
    <sheet name="источн.2014" sheetId="8" r:id="rId8"/>
    <sheet name="источн.2015-2016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<sst xmlns="http://schemas.openxmlformats.org/spreadsheetml/2006/main" count="13748" uniqueCount="1114">
  <si>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</si>
  <si>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</si>
  <si>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</si>
  <si>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</si>
  <si>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</si>
  <si>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</si>
  <si>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</si>
  <si>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</si>
  <si>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</si>
  <si>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</si>
  <si>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</si>
  <si>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</si>
  <si>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</si>
  <si>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</si>
  <si>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</si>
  <si>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</si>
  <si>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</si>
  <si>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</si>
  <si>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</si>
  <si>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</si>
  <si>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</si>
  <si>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</si>
  <si>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</si>
  <si>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</si>
  <si>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</si>
  <si>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</si>
  <si>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</si>
  <si>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</si>
  <si>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</si>
  <si>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</si>
  <si>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</si>
  <si>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</si>
  <si>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</si>
  <si>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</si>
  <si>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</si>
  <si>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</si>
  <si>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</si>
  <si>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</si>
  <si>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</si>
  <si>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</si>
  <si>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</si>
  <si>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</si>
  <si>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</si>
  <si>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</si>
  <si>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</si>
  <si>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</si>
  <si>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</si>
  <si>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</si>
  <si>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</si>
  <si>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</si>
  <si>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</si>
  <si>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</si>
  <si>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</si>
  <si>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</si>
  <si>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</si>
  <si>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</si>
  <si>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</si>
  <si>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</si>
  <si>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</si>
  <si>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</si>
  <si>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</si>
  <si>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</si>
  <si>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</si>
  <si>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</si>
  <si>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</si>
  <si>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</si>
  <si>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</si>
  <si>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</si>
  <si>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</si>
  <si>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</si>
  <si>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</si>
  <si>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</si>
  <si>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</si>
  <si>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</si>
  <si>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</si>
  <si>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</si>
  <si>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</si>
  <si>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</si>
  <si>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</si>
  <si>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</si>
  <si>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</si>
  <si>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</si>
  <si>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</si>
  <si>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</si>
  <si>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</si>
  <si>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</si>
  <si>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</si>
  <si>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</si>
  <si>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</si>
  <si>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</si>
  <si>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</si>
  <si>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</si>
  <si>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</si>
  <si>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</si>
  <si>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</si>
  <si>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</si>
  <si>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</si>
  <si>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</si>
  <si>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</si>
  <si>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</si>
  <si>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</si>
  <si>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</si>
  <si>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</si>
  <si>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</si>
  <si>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</si>
  <si>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</si>
  <si>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</si>
  <si>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</si>
  <si>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</si>
  <si>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</si>
  <si>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</si>
  <si>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</si>
  <si>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</si>
  <si>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</si>
  <si>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</si>
  <si>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</si>
  <si>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</si>
  <si>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</si>
  <si>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</si>
  <si>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</si>
  <si>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</si>
  <si>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</si>
  <si>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</si>
  <si>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</si>
  <si>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</si>
  <si>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</si>
  <si>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</si>
  <si>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</si>
  <si>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</si>
  <si>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</si>
  <si>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</si>
  <si>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</si>
  <si>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</si>
  <si>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</si>
  <si>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</si>
  <si>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</si>
  <si>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</si>
  <si>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</si>
  <si>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</si>
  <si>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</si>
  <si>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</si>
  <si>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</si>
  <si>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</si>
  <si>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</si>
  <si>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</si>
  <si>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</si>
  <si>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</si>
  <si>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</si>
  <si>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</si>
  <si>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</si>
  <si>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</si>
  <si>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</si>
  <si>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</si>
  <si>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</si>
  <si>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</si>
  <si>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</si>
  <si>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</si>
  <si>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</si>
  <si>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</si>
  <si>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</si>
  <si>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</si>
  <si>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</si>
  <si>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</si>
  <si>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</si>
  <si>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</si>
  <si>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</si>
  <si>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</si>
  <si>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</si>
  <si>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</si>
  <si>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</si>
  <si>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</si>
  <si>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</si>
  <si>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</si>
  <si>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</si>
  <si>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</si>
  <si>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</si>
  <si>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</si>
  <si>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</si>
  <si>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</si>
  <si>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</si>
  <si>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</si>
  <si>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</si>
  <si>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</si>
  <si>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</si>
  <si>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</si>
  <si>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</si>
  <si>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</si>
  <si>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</si>
  <si>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</si>
  <si>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</si>
  <si>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</si>
  <si>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</si>
  <si>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</si>
  <si>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</si>
  <si>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</si>
  <si>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</si>
  <si>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</si>
  <si>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</si>
  <si>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</si>
  <si>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</si>
  <si>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</si>
  <si>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</si>
  <si>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</si>
  <si>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</si>
  <si>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</si>
  <si>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</si>
  <si>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</si>
  <si>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</si>
  <si>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</si>
  <si>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</si>
  <si>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</si>
  <si>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</si>
  <si>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</si>
  <si>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</si>
  <si>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</si>
  <si>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</si>
  <si>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</si>
  <si>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</si>
  <si>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</si>
  <si>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</si>
  <si>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</si>
  <si>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</si>
  <si>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</si>
  <si>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</si>
  <si>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</si>
  <si>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</si>
  <si>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</si>
  <si>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</si>
  <si>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</si>
  <si>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</si>
  <si>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</si>
  <si>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</si>
  <si>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</si>
  <si>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</si>
  <si>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</si>
  <si>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</si>
  <si>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</si>
  <si>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</si>
  <si>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</si>
  <si>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</si>
  <si>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</si>
  <si>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</si>
  <si>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</si>
  <si>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</si>
  <si>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</si>
  <si>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</si>
  <si>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</si>
  <si>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</si>
  <si>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</si>
  <si>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</si>
  <si>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</si>
  <si>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</si>
  <si>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</si>
  <si>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</si>
  <si>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</si>
  <si>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</si>
  <si>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</si>
  <si>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</si>
  <si>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</si>
  <si>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</si>
  <si>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</si>
  <si>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</si>
  <si>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</si>
  <si>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</si>
  <si>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</si>
  <si>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</si>
  <si>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</si>
  <si>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</si>
  <si>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</si>
  <si>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</si>
  <si>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</si>
  <si>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</si>
  <si>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</si>
  <si>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</si>
  <si>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</si>
  <si>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</si>
  <si>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</si>
  <si>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</si>
  <si>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</si>
  <si>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</si>
  <si>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</si>
  <si>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</si>
  <si>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</si>
  <si>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</si>
  <si>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</si>
  <si>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</si>
  <si>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</si>
  <si>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</si>
  <si>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</si>
  <si>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</si>
  <si>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</si>
  <si>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</si>
  <si>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</si>
  <si>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</si>
  <si>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</si>
  <si>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</si>
  <si>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</si>
  <si>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</si>
  <si>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</si>
  <si>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</si>
  <si>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</si>
  <si>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</si>
  <si>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</si>
  <si>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</si>
  <si>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</si>
  <si>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</si>
  <si>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</si>
  <si>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</si>
  <si>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</si>
  <si>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</si>
  <si>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</si>
  <si>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</si>
  <si>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</si>
  <si>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</si>
  <si>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</si>
  <si>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</si>
  <si>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</si>
  <si>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</si>
  <si>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</si>
  <si>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</si>
  <si>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</si>
  <si>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</si>
  <si>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</si>
  <si>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</si>
  <si>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</si>
  <si>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</si>
  <si>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</si>
  <si>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</si>
  <si>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</si>
  <si>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</si>
  <si>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</si>
  <si>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</si>
  <si>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</si>
  <si>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</si>
  <si>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</si>
  <si>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</si>
  <si>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</si>
  <si>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</si>
  <si>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</si>
  <si>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</si>
  <si>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</si>
  <si>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</si>
  <si>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</si>
  <si>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</si>
  <si>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</si>
  <si>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</si>
  <si>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</si>
  <si>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</si>
  <si>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</si>
  <si>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</si>
  <si>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</si>
  <si>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</si>
  <si>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</si>
  <si>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</si>
  <si>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</si>
  <si>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</si>
  <si>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</si>
  <si>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</si>
  <si>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</si>
  <si>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</si>
  <si>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</si>
  <si>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</si>
  <si>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</si>
  <si>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</si>
  <si>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</si>
  <si>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</si>
  <si>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</si>
  <si>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</si>
  <si>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</si>
  <si>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</si>
  <si>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</si>
  <si>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</si>
  <si>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</si>
  <si>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</si>
  <si>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</si>
  <si>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</si>
  <si>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</si>
  <si>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</si>
  <si>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</si>
  <si>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</si>
  <si>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</si>
  <si>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</si>
  <si>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</si>
  <si>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</si>
  <si>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</si>
  <si>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</si>
  <si>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</si>
  <si>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</si>
  <si>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</si>
  <si>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</si>
  <si>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</si>
  <si>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</si>
  <si>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</si>
  <si>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</si>
  <si>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</si>
  <si>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</si>
  <si>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</si>
  <si>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</si>
  <si>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</si>
  <si>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</si>
  <si>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</si>
  <si>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</si>
  <si>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</si>
  <si>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</si>
  <si>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</si>
  <si>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</si>
  <si>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</si>
  <si>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</si>
  <si>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</si>
  <si>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</si>
  <si>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</si>
  <si>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</si>
  <si>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</si>
  <si>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</si>
  <si>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</si>
  <si>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</si>
  <si>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</si>
  <si>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</si>
  <si>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</si>
  <si>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</si>
  <si>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</si>
  <si>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</si>
  <si>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</si>
  <si>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</si>
  <si>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</si>
  <si>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</si>
  <si>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</si>
  <si>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</si>
  <si>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</si>
  <si>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</si>
  <si>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</si>
  <si>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</si>
  <si>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</si>
  <si>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</si>
  <si>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</si>
  <si>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</si>
  <si>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</si>
  <si>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</si>
  <si>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</si>
  <si>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</si>
  <si>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</si>
  <si>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</si>
  <si>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</si>
  <si>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</si>
  <si>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</si>
  <si>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</si>
  <si>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</si>
  <si>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</si>
  <si>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</si>
  <si>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</si>
  <si>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</si>
  <si>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</si>
  <si>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</si>
  <si>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</si>
  <si>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</si>
  <si>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</si>
  <si>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</si>
  <si>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</si>
  <si>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</si>
  <si>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</si>
  <si>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</si>
  <si>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</si>
  <si>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</si>
  <si>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</si>
  <si>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</si>
  <si>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</si>
  <si>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</si>
  <si>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</si>
  <si>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</si>
  <si>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</si>
  <si>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</si>
  <si>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</si>
  <si>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</si>
  <si>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</si>
  <si>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</si>
  <si>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</si>
  <si>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</si>
  <si>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</si>
  <si>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</si>
  <si>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</si>
  <si>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</si>
  <si>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</si>
  <si>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</si>
  <si>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</si>
  <si>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Приложение 10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</si>
  <si>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</si>
  <si>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</si>
  <si>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</si>
  <si>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</si>
  <si>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</si>
  <si>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</si>
  <si>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</si>
  <si>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</si>
  <si>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</si>
  <si>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</si>
  <si>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</si>
  <si>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</si>
  <si>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</si>
  <si>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</si>
  <si>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</si>
  <si>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</si>
  <si>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</si>
  <si>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</si>
  <si>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</si>
  <si>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</si>
  <si>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</si>
  <si>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</si>
  <si>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</si>
  <si>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</si>
  <si>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</si>
  <si>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</si>
  <si>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</si>
  <si>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</si>
  <si>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</si>
  <si>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</si>
  <si>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</si>
  <si>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</si>
  <si>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</si>
  <si>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</si>
  <si>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</si>
  <si>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</si>
  <si>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</si>
  <si>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</si>
  <si>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</si>
  <si>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</si>
  <si>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</si>
  <si>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</si>
  <si>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</si>
  <si>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</si>
  <si>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</si>
  <si>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</si>
  <si>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</si>
  <si>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</si>
  <si>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</si>
  <si>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</si>
  <si>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</si>
  <si>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</si>
  <si>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</si>
  <si>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</si>
  <si>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</si>
  <si>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</si>
  <si>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</si>
  <si>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</si>
  <si>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</si>
  <si>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</si>
  <si>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</si>
  <si>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</si>
  <si>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</si>
  <si>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</si>
  <si>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</si>
  <si>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</si>
  <si>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</si>
  <si>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</si>
  <si>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</si>
  <si>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</si>
  <si>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</si>
  <si>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</si>
  <si>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</si>
  <si>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</si>
  <si>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</si>
  <si>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</si>
  <si>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</si>
  <si>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</si>
  <si>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</si>
  <si>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</si>
  <si>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</si>
  <si>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</si>
  <si>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</si>
  <si>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</si>
  <si>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</si>
  <si>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</si>
  <si>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</si>
  <si>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</si>
  <si>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</si>
  <si>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</si>
  <si>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</si>
  <si>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</si>
  <si>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</si>
  <si>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</si>
  <si>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</si>
  <si>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</si>
  <si>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</si>
  <si>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</si>
  <si>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</si>
  <si>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</si>
  <si>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</si>
  <si>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</si>
  <si>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</si>
  <si>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</si>
  <si>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</si>
  <si>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</si>
  <si>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</si>
  <si>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</si>
  <si>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</si>
  <si>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</si>
  <si>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</si>
  <si>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</si>
  <si>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</si>
  <si>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</si>
  <si>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</si>
  <si>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</si>
  <si>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</si>
  <si>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</si>
  <si>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</si>
  <si>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</si>
  <si>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</si>
  <si>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</si>
  <si>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</si>
  <si>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</si>
  <si>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</si>
  <si>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</si>
  <si>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</si>
  <si>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</si>
  <si>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</si>
  <si>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</si>
  <si>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</si>
  <si>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</si>
  <si>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</si>
  <si>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</si>
  <si>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</si>
  <si>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</si>
  <si>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</si>
  <si>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</si>
  <si>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</si>
  <si>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2014 год  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</si>
  <si>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</si>
  <si>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</si>
  <si>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</si>
  <si>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</si>
  <si>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</si>
  <si>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</si>
  <si>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</si>
  <si>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</si>
  <si>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</si>
  <si>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</si>
  <si>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</si>
  <si>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</si>
  <si>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</si>
  <si>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</si>
  <si>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</si>
  <si>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</si>
  <si>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</si>
  <si>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</si>
  <si>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471 82 24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</si>
  <si>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</si>
  <si>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</si>
  <si>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001 59 30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</si>
  <si>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</si>
  <si>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</si>
  <si>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</si>
  <si>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</si>
  <si>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Подпрограмма "Оказание молодым семьям господдержки для улучшения жил.условий"</t>
  </si>
  <si>
    <t>Национальный проект "Доступное и комфортное жилье - гражданам России" на территории МГО на 2011-2015 гг.</t>
  </si>
  <si>
    <t>795 19 14</t>
  </si>
  <si>
    <t>795 00 79</t>
  </si>
  <si>
    <t>Озеленение</t>
  </si>
  <si>
    <t>600 03 00</t>
  </si>
  <si>
    <t>795 00 69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</si>
  <si>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</si>
  <si>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</si>
  <si>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Бюджетные инвестиции в объекты капитального строительства государственной (муниципальной) собственности</t>
  </si>
  <si>
    <t>795 00 21</t>
  </si>
  <si>
    <t>420 82 24</t>
  </si>
  <si>
    <t>420 82 20</t>
  </si>
  <si>
    <t>421 82 24</t>
  </si>
  <si>
    <t>421 82 20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</si>
  <si>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</si>
  <si>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</si>
  <si>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421 82 59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</si>
  <si>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</si>
  <si>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Муниципальная программа  "Миасс - безопасный город" на 2014-2016 годы</t>
  </si>
  <si>
    <t>МП "Капитальное строительство на территории Миасского городского округа на 2014-2016 годы"</t>
  </si>
  <si>
    <t>Муниципальная программа "Капитальное строительство на территории Миасского городского округа на 2014-2016 годы"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</si>
  <si>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</si>
  <si>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</si>
  <si>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 xml:space="preserve">Муниципальная программа улучшения водоснабжения частного сектора МГО на 2013 - 2015 годы  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</si>
  <si>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</si>
  <si>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</si>
  <si>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</si>
  <si>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>Муниципальная программа "Внедрение спутниковых навигационных технологий с использованием системы ГЛОНАСС в Миасском городском округе на 2014-2015гг."</t>
  </si>
  <si>
    <t>795 00 47</t>
  </si>
  <si>
    <t>Государственные программы Челябинской области</t>
  </si>
  <si>
    <t>Государственная программа Челябинской области "Развитие образования в Челябинской области" на 2014-2015 годы</t>
  </si>
  <si>
    <t>544 00 00</t>
  </si>
  <si>
    <t>544 29 00</t>
  </si>
  <si>
    <t xml:space="preserve">Муниципальная программа "Доступная среда на 2014-2015 годы" </t>
  </si>
  <si>
    <t>Государственная программа Челябинской области "Развитие физической культуры и спорта в Челябинской области" на 2014 год</t>
  </si>
  <si>
    <t>544 16 00</t>
  </si>
  <si>
    <t xml:space="preserve"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 за счет средств бюджетов </t>
  </si>
  <si>
    <t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</t>
  </si>
  <si>
    <t>098 96 00</t>
  </si>
  <si>
    <t>Другие мероприятия по реализации муниципальных функций</t>
  </si>
  <si>
    <t>005 15 01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</si>
  <si>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</si>
  <si>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544 40 00</t>
  </si>
  <si>
    <t>Подпрограмма "Развитие адаптивной физической культуры и спорта" на 2014 год</t>
  </si>
  <si>
    <t>544 16 02</t>
  </si>
  <si>
    <t>098 96 01</t>
  </si>
  <si>
    <t>Обеспечение мероприятий по капитальному ремонту многоквартирных домов</t>
  </si>
  <si>
    <t>098 96 02</t>
  </si>
  <si>
    <t>Обеспечение мероприятий по переселению граждан из аварийного жилищного фонда</t>
  </si>
  <si>
    <t>098 95 00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</si>
  <si>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</si>
  <si>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 содействия реформированию жилищно-коммунального хозяйства</t>
  </si>
  <si>
    <t>Приложение 2</t>
  </si>
  <si>
    <t>Федеральные целевые программы</t>
  </si>
  <si>
    <t>100 00 00</t>
  </si>
  <si>
    <t>Федеральная целевая программа " Жилище"</t>
  </si>
  <si>
    <t>100 50 00</t>
  </si>
  <si>
    <t>Субсидии на меропрития подпрограммы "Обеспечение жильем молодых семей" Федеральной целевой программы "Жилище" на 2011-2015 годы</t>
  </si>
  <si>
    <t>100 50 20</t>
  </si>
  <si>
    <t>Госудаственная программа Челябинской области "Обеспечение доступным и комфортным жильем граждан Российской Федерации" в Челябинской области на 2014-2020гг.</t>
  </si>
  <si>
    <t>544 07 00</t>
  </si>
  <si>
    <t>544 07 04</t>
  </si>
  <si>
    <t>Подпрограмма "Развитие физической культуры, массового спорта и спорта высших достижений" на 2014 год</t>
  </si>
  <si>
    <t>544 16 01</t>
  </si>
  <si>
    <t>Государственная программа Челябинской области "Доступная среда" на 2014-2015 годы</t>
  </si>
  <si>
    <t>544 22 00</t>
  </si>
  <si>
    <t>Спорт высших достижений</t>
  </si>
  <si>
    <t>Физкультурно-оздоровительная работа и спортивные мероприятия</t>
  </si>
  <si>
    <t>512 00 00</t>
  </si>
  <si>
    <t>Оказание адресной финансовой поддержки спортивным организациям, лсуществляющий подготовку спортивного резерва для сборных команд РФ</t>
  </si>
  <si>
    <t>512 50 81</t>
  </si>
  <si>
    <t>420 82 22</t>
  </si>
  <si>
    <t>420 82 23</t>
  </si>
  <si>
    <t>Муниципальная программа "Безопасность образовательных организаций Миасского городского округа на 2014-2015 годы"</t>
  </si>
  <si>
    <t>795 00 43</t>
  </si>
  <si>
    <t>421 82 22</t>
  </si>
  <si>
    <t>Муниципальная программа "программа развития образования в Миасском городском округе на 2014-2015 годы"</t>
  </si>
  <si>
    <t>795 00 45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</si>
  <si>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 за счет средств субсидий из областного бюджета</t>
  </si>
  <si>
    <t>432 01 72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</si>
  <si>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</si>
  <si>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544 25 00</t>
  </si>
  <si>
    <t>Подпрограмма "Патриотическое воспитание молодых граждан Челябинской области" на 2014 год</t>
  </si>
  <si>
    <t>544 25 01</t>
  </si>
  <si>
    <t>Компенсация расходов автотранспортных предприятий, связанных с предоставлением сезонных льгот пенсионерам садоводам, пенсионерам 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</si>
  <si>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</si>
  <si>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340 82 20</t>
  </si>
  <si>
    <t>340 82 24</t>
  </si>
  <si>
    <t>Адресная субсидия гражданам в связи с ростом платы за коммунальные услуги</t>
  </si>
  <si>
    <t>505 78 00</t>
  </si>
  <si>
    <t>Муниципальная программа "Организация мероприятий и создание условий для обеспечения жизнедеятельности Миасского городского округа в 2014 году"</t>
  </si>
  <si>
    <t>795 00 82</t>
  </si>
  <si>
    <t>Муниципальная программа "Регулирование численности безнадзорных собак на территории Миасского городского округа на 2014-2016гг."</t>
  </si>
  <si>
    <t>795 00 81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</si>
  <si>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</si>
  <si>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"Модернизация объектов коммунальной инфраструктуры"</t>
  </si>
  <si>
    <t>544 07 02</t>
  </si>
  <si>
    <t>Приложение 3</t>
  </si>
  <si>
    <t>Миасского городского округа</t>
  </si>
  <si>
    <t>Код бюджетной классификации Российской Федерации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</si>
  <si>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</si>
  <si>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Муниципальнае программы</t>
  </si>
  <si>
    <t xml:space="preserve">01 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</si>
  <si>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</si>
  <si>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</si>
  <si>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2014 год</t>
  </si>
  <si>
    <t>505 50 82</t>
  </si>
  <si>
    <t>Реализация мероприятий государственной программы Российской федерации "Доступная среда" на 2011-2015 годы</t>
  </si>
  <si>
    <t>514 50 27</t>
  </si>
  <si>
    <t>Приложение 5</t>
  </si>
  <si>
    <t xml:space="preserve">Программа муниципальных внутренних заимствований </t>
  </si>
  <si>
    <t xml:space="preserve">на 2014 год </t>
  </si>
  <si>
    <t>1. Источники внутренних заимствований</t>
  </si>
  <si>
    <t>тыс.руб.</t>
  </si>
  <si>
    <t>Сумма,                 2014г.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</si>
  <si>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</si>
  <si>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</si>
  <si>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</si>
  <si>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</si>
  <si>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</si>
  <si>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</si>
  <si>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6</t>
  </si>
  <si>
    <t>на плановый период 2015 и 2016 гг.</t>
  </si>
  <si>
    <t>Сумма,                 2015г.</t>
  </si>
  <si>
    <t>Сумма,                 2016г.</t>
  </si>
  <si>
    <t>Приложение 11</t>
  </si>
  <si>
    <t xml:space="preserve">от                         № </t>
  </si>
  <si>
    <t xml:space="preserve">Источники 
внутреннего финансирования дефицита бюджета Миасского  городского округа 
на на  плановый период 2015 и 2016 гг.  </t>
  </si>
  <si>
    <t>Сумма, 2015 год
тыс. руб.</t>
  </si>
  <si>
    <t>Сумма, 2016 год
тыс. руб.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</si>
  <si>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</si>
  <si>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 средств бюджета</t>
  </si>
  <si>
    <t xml:space="preserve">Перечень 
главных администраторов доходов бюджета Миасского городского округа 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</si>
  <si>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</si>
  <si>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</si>
  <si>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</si>
  <si>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</si>
  <si>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color indexed="8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</si>
  <si>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</si>
  <si>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</si>
  <si>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</si>
  <si>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color indexed="8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</si>
  <si>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</si>
  <si>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</si>
  <si>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</si>
  <si>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</si>
  <si>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</si>
  <si>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</si>
  <si>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</si>
  <si>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</si>
  <si>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</si>
  <si>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</si>
  <si>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</si>
  <si>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</si>
  <si>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</si>
  <si>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</si>
  <si>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</si>
  <si>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color indexed="8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</si>
  <si>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</si>
  <si>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color indexed="8"/>
        <rFont val="Arial"/>
        <family val="2"/>
      </rPr>
      <t>*</t>
    </r>
  </si>
  <si>
    <t>019</t>
  </si>
  <si>
    <r>
      <t>Министерство промышленности и природных ресурсов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</si>
  <si>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1 16 25010 01 0000 140</t>
  </si>
  <si>
    <t>Денежные взыскания (штрафы) за нарушение законодательства Российской Федерации о недрах</t>
  </si>
  <si>
    <t>034</t>
  </si>
  <si>
    <r>
      <t xml:space="preserve">Главное контрольное управление Челябинской области </t>
    </r>
    <r>
      <rPr>
        <b/>
        <sz val="14"/>
        <color indexed="8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</si>
  <si>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</si>
  <si>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</si>
  <si>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</si>
  <si>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</si>
  <si>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</si>
  <si>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</si>
  <si>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</si>
  <si>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</si>
  <si>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</si>
  <si>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</si>
  <si>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</si>
  <si>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</si>
  <si>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</si>
  <si>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</si>
  <si>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</si>
  <si>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</si>
  <si>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</si>
  <si>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</si>
  <si>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</si>
  <si>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</si>
  <si>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</si>
  <si>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</si>
  <si>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</si>
  <si>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</si>
  <si>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</si>
  <si>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</si>
  <si>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</si>
  <si>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</si>
  <si>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</si>
  <si>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</si>
  <si>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</si>
  <si>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</si>
  <si>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</si>
  <si>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</si>
  <si>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</si>
  <si>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</si>
  <si>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</si>
  <si>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</si>
  <si>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</si>
  <si>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</si>
  <si>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</si>
  <si>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</si>
  <si>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</si>
  <si>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</si>
  <si>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</si>
  <si>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</si>
  <si>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</si>
  <si>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</si>
  <si>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</si>
  <si>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</si>
  <si>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</si>
  <si>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</si>
  <si>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</si>
  <si>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</si>
  <si>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</si>
  <si>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</si>
  <si>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</si>
  <si>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</si>
  <si>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</si>
  <si>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</si>
  <si>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</si>
  <si>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</si>
  <si>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</si>
  <si>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</si>
  <si>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</si>
  <si>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</si>
  <si>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</si>
  <si>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</si>
  <si>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</si>
  <si>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</si>
  <si>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</si>
  <si>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</si>
  <si>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</si>
  <si>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</si>
  <si>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</si>
  <si>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</si>
  <si>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</si>
  <si>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</si>
  <si>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</si>
  <si>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</si>
  <si>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</si>
  <si>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</si>
  <si>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</si>
  <si>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</si>
  <si>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</si>
  <si>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</si>
  <si>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</si>
  <si>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</si>
  <si>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</si>
  <si>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</si>
  <si>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</si>
  <si>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</si>
  <si>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</si>
  <si>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</si>
  <si>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</si>
  <si>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</si>
  <si>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</si>
  <si>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</si>
  <si>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</si>
  <si>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</si>
  <si>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2 02 02133 04 0000 151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</si>
  <si>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</si>
  <si>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Муниципальное казенное учреждение Миасского городского округа "Образование"</t>
  </si>
  <si>
    <t>1 13 01994 04 0010 130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</si>
  <si>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</si>
  <si>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</si>
  <si>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</si>
  <si>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</si>
  <si>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</si>
  <si>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</si>
  <si>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</si>
  <si>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</si>
  <si>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</si>
  <si>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</si>
  <si>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</si>
  <si>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</si>
  <si>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</si>
  <si>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</si>
  <si>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</si>
  <si>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</si>
  <si>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</si>
  <si>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</si>
  <si>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</si>
  <si>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Собрание депутатов Миасского городского округа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</si>
  <si>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</si>
  <si>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</si>
  <si>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</si>
  <si>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</si>
  <si>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</si>
  <si>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</si>
  <si>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</si>
  <si>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</si>
  <si>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</si>
  <si>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</si>
  <si>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</si>
  <si>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</si>
  <si>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</si>
  <si>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</si>
  <si>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</si>
  <si>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</si>
  <si>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</si>
  <si>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</si>
  <si>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</si>
  <si>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</si>
  <si>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</si>
  <si>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</si>
  <si>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</si>
  <si>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</si>
  <si>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</si>
  <si>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</si>
  <si>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</si>
  <si>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</si>
  <si>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</si>
  <si>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</si>
  <si>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</si>
  <si>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</si>
  <si>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</si>
  <si>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</si>
  <si>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</si>
  <si>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</si>
  <si>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1 17 01040 04 0000 180</t>
  </si>
  <si>
    <t>Невыясненные поступления, зачисляемые в бюджеты городских округов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</si>
  <si>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</si>
  <si>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</si>
  <si>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</si>
  <si>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</si>
  <si>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1 17 12040 04 0000 180</t>
  </si>
  <si>
    <t>Целевые отчисления от лотерей городских округов</t>
  </si>
  <si>
    <t>1 17 14020 04 0000 180</t>
  </si>
  <si>
    <t>Средства самообложения граждан, зачисляемые в бюджеты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</si>
  <si>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</si>
  <si>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</si>
  <si>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</si>
  <si>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</si>
  <si>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</si>
  <si>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</si>
  <si>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</si>
  <si>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</si>
  <si>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</si>
  <si>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</si>
  <si>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</si>
  <si>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</si>
  <si>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</si>
  <si>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</si>
  <si>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</si>
  <si>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</si>
  <si>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</si>
  <si>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</si>
  <si>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</si>
  <si>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</si>
  <si>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</si>
  <si>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</si>
  <si>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</si>
  <si>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</si>
  <si>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</si>
  <si>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</si>
  <si>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</si>
  <si>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</si>
  <si>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</si>
  <si>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</si>
  <si>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</si>
  <si>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</si>
  <si>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</si>
  <si>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</si>
  <si>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</si>
  <si>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</si>
  <si>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</si>
  <si>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</si>
  <si>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</si>
  <si>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</si>
  <si>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</si>
  <si>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</si>
  <si>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</si>
  <si>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*</t>
    </r>
    <r>
      <rPr>
        <sz val="10"/>
        <color indexed="8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</si>
  <si>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1</t>
  </si>
  <si>
    <t>Приложение 9</t>
  </si>
  <si>
    <t>Приложение  8</t>
  </si>
  <si>
    <t>Приложение 7</t>
  </si>
  <si>
    <t>РАСПРЕДЕЛЕНИЕ БЮДЖЕТНЫХ АССИГНОВАНИЙ НА ПЛАНОВЫЙ ПЕРИОД 2015-2016 ГОДЫ</t>
  </si>
  <si>
    <t>Коды бюджетной классификации</t>
  </si>
  <si>
    <t>на 2015 год  (тыс. руб.)</t>
  </si>
  <si>
    <t>на 2016 год  (тыс. руб.)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</si>
  <si>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</si>
  <si>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001 51 20</t>
  </si>
  <si>
    <t>001 59 03</t>
  </si>
  <si>
    <t>Целевая программа "Миасс - безопасный город"</t>
  </si>
  <si>
    <t>МП "Капитальное строительство на территории Миасского городского округа на 2014-2015 годы"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</si>
  <si>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</si>
  <si>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</si>
  <si>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МП "Экология Миасского городского округа 2014-2016"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</si>
  <si>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</si>
  <si>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</si>
  <si>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</si>
  <si>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жи-лых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</si>
  <si>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Муниципальная целевая программа "Развитие физической культуры и спорта в Миасском городском округе на 2012-2016 годы"</t>
  </si>
  <si>
    <t>Областная целевая программа "Развитие физической культуры и спорта в Челябинской области на 2012-2014 годы"</t>
  </si>
  <si>
    <t>522 08 00</t>
  </si>
  <si>
    <t>Приложение 4</t>
  </si>
  <si>
    <t>НА ПЛАНОВЫЙ ПЕРИОД 2015 И 2016 гг.</t>
  </si>
  <si>
    <t>на 2015 год                 (тыс. руб.)</t>
  </si>
  <si>
    <t>на 2016 год                 (тыс. руб.)</t>
  </si>
  <si>
    <t>МКУ "Управление по физической культуре, спорту, туризму"</t>
  </si>
  <si>
    <t>Организации  по внешкольной работе с детьми</t>
  </si>
  <si>
    <t>Учреждения культуры и мероприятия в сфере культуры и кинематографии</t>
  </si>
  <si>
    <t xml:space="preserve">Оздоровление детей </t>
  </si>
  <si>
    <t>432 02 00</t>
  </si>
  <si>
    <t>Проведение детей для детей и молодежи</t>
  </si>
  <si>
    <t>447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</si>
  <si>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</si>
  <si>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470 99 00</t>
  </si>
  <si>
    <t>904</t>
  </si>
  <si>
    <t xml:space="preserve">09 </t>
  </si>
  <si>
    <t>470 99 68</t>
  </si>
  <si>
    <t>471 99 00</t>
  </si>
  <si>
    <t>905</t>
  </si>
  <si>
    <t xml:space="preserve">471 82 30 </t>
  </si>
  <si>
    <t>Фельдшерско-акушерские пункты</t>
  </si>
  <si>
    <t>478 00 00</t>
  </si>
  <si>
    <t>478 82 00</t>
  </si>
  <si>
    <t>478 82 30</t>
  </si>
  <si>
    <t>Субсидии бюджетным 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</si>
  <si>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</si>
  <si>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</si>
  <si>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</si>
  <si>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</si>
  <si>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</si>
  <si>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</si>
  <si>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477 99 00</t>
  </si>
  <si>
    <t>Мероприятия в области здравоохранения</t>
  </si>
  <si>
    <t>079</t>
  </si>
  <si>
    <t xml:space="preserve">Нац.проект "Здоровье" на территории  Миасского городского округа на 2006-2010 гг. </t>
  </si>
  <si>
    <t>795 18 31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</si>
  <si>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</si>
  <si>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Муниципальная целевая программа модернизации здравоохранения Миасского городского округа на 2011-2012 г.г.</t>
  </si>
  <si>
    <t>795 00 30</t>
  </si>
  <si>
    <t>Муниципальная целевая программа  "Пожарная безопасность учреждений здравоохранения Миасского городского округа на 2010-2014гг."</t>
  </si>
  <si>
    <t>795 00 32</t>
  </si>
  <si>
    <t>Муниципальная целевая программа "Профилактика клещевого энцефалита в Миасском городском округе на 2010-2013 г.г."</t>
  </si>
  <si>
    <t>795 00 33</t>
  </si>
  <si>
    <t>Муниципальная целевая программа "Укрепление материально-технической базы учреждений здравоохранения Миасского городского округа на 2012-2013 годы"</t>
  </si>
  <si>
    <t>795 00 37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</si>
  <si>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</si>
  <si>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</si>
  <si>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</si>
  <si>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</si>
  <si>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</si>
  <si>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</si>
  <si>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</si>
  <si>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</si>
  <si>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к  Решению Собрания депутатов</t>
  </si>
  <si>
    <t>от 31.10.2014 г. №2</t>
  </si>
  <si>
    <t>к Решению Собрания</t>
  </si>
  <si>
    <t xml:space="preserve">от 31.10.2014 г. №2 </t>
  </si>
  <si>
    <t xml:space="preserve">от  31.10.2014 г. №2 </t>
  </si>
  <si>
    <t xml:space="preserve">от 31.10.2014 г.№2 </t>
  </si>
  <si>
    <t>от  31.10.2014 г. №2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</si>
</sst>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.5"/>
      <name val="Arial"/>
      <family val="2"/>
    </font>
    <font>
      <b/>
      <sz val="11.5"/>
      <name val="Arial Cyr"/>
      <family val="2"/>
    </font>
    <font>
      <i/>
      <sz val="11.5"/>
      <name val="Arial Cyr"/>
      <family val="0"/>
    </font>
    <font>
      <sz val="11.5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yr"/>
      <family val="0"/>
    </font>
    <font>
      <sz val="9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6" applyNumberFormat="1" applyFont="1" applyAlignment="1">
      <alignment horizontal="left"/>
      <protection/>
    </xf>
    <xf numFmtId="0" fontId="11" fillId="0" borderId="0" xfId="56" applyFont="1">
      <alignment/>
      <protection/>
    </xf>
    <xf numFmtId="0" fontId="0" fillId="0" borderId="0" xfId="0" applyFont="1" applyAlignment="1">
      <alignment horizontal="right"/>
    </xf>
    <xf numFmtId="0" fontId="9" fillId="0" borderId="0" xfId="56" applyFont="1" applyAlignment="1">
      <alignment/>
      <protection/>
    </xf>
    <xf numFmtId="0" fontId="11" fillId="0" borderId="0" xfId="56" applyFont="1" applyAlignment="1">
      <alignment/>
      <protection/>
    </xf>
    <xf numFmtId="49" fontId="7" fillId="0" borderId="15" xfId="56" applyNumberFormat="1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vertical="justify"/>
      <protection/>
    </xf>
    <xf numFmtId="164" fontId="7" fillId="0" borderId="15" xfId="56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6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7" fillId="0" borderId="15" xfId="56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6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49" fontId="7" fillId="0" borderId="0" xfId="56" applyNumberFormat="1" applyFont="1" applyAlignment="1">
      <alignment horizontal="left"/>
      <protection/>
    </xf>
    <xf numFmtId="0" fontId="7" fillId="0" borderId="0" xfId="56" applyFont="1" applyAlignment="1">
      <alignment/>
      <protection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16" fillId="0" borderId="0" xfId="56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9" fillId="0" borderId="16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164" fontId="36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25" borderId="2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25" borderId="22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vertical="justify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justify"/>
    </xf>
    <xf numFmtId="0" fontId="7" fillId="0" borderId="29" xfId="0" applyFont="1" applyBorder="1" applyAlignment="1">
      <alignment/>
    </xf>
    <xf numFmtId="49" fontId="13" fillId="25" borderId="18" xfId="0" applyNumberFormat="1" applyFont="1" applyFill="1" applyBorder="1" applyAlignment="1">
      <alignment horizontal="left" vertical="center" wrapText="1"/>
    </xf>
    <xf numFmtId="49" fontId="38" fillId="25" borderId="18" xfId="0" applyNumberFormat="1" applyFont="1" applyFill="1" applyBorder="1" applyAlignment="1">
      <alignment horizontal="left" vertical="center" wrapText="1"/>
    </xf>
    <xf numFmtId="49" fontId="7" fillId="25" borderId="18" xfId="0" applyNumberFormat="1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5" fontId="39" fillId="0" borderId="33" xfId="0" applyNumberFormat="1" applyFont="1" applyFill="1" applyBorder="1" applyAlignment="1">
      <alignment horizontal="center" vertical="center"/>
    </xf>
    <xf numFmtId="165" fontId="40" fillId="0" borderId="34" xfId="0" applyNumberFormat="1" applyFont="1" applyFill="1" applyBorder="1" applyAlignment="1">
      <alignment horizontal="center" vertical="center" wrapText="1"/>
    </xf>
    <xf numFmtId="165" fontId="40" fillId="0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/>
    </xf>
    <xf numFmtId="165" fontId="40" fillId="25" borderId="34" xfId="0" applyNumberFormat="1" applyFont="1" applyFill="1" applyBorder="1" applyAlignment="1">
      <alignment horizontal="center" vertical="center" wrapText="1"/>
    </xf>
    <xf numFmtId="165" fontId="40" fillId="25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justify"/>
    </xf>
    <xf numFmtId="0" fontId="7" fillId="0" borderId="38" xfId="0" applyFont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 vertical="top" wrapText="1"/>
    </xf>
    <xf numFmtId="0" fontId="7" fillId="25" borderId="22" xfId="0" applyFont="1" applyFill="1" applyBorder="1" applyAlignment="1">
      <alignment horizontal="left" vertical="justify" wrapText="1"/>
    </xf>
    <xf numFmtId="0" fontId="7" fillId="25" borderId="22" xfId="0" applyNumberFormat="1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/>
    </xf>
    <xf numFmtId="49" fontId="6" fillId="25" borderId="18" xfId="0" applyNumberFormat="1" applyFont="1" applyFill="1" applyBorder="1" applyAlignment="1">
      <alignment horizontal="left"/>
    </xf>
    <xf numFmtId="0" fontId="7" fillId="0" borderId="32" xfId="0" applyFont="1" applyBorder="1" applyAlignment="1">
      <alignment horizontal="left" vertical="justify" wrapText="1"/>
    </xf>
    <xf numFmtId="164" fontId="7" fillId="0" borderId="15" xfId="56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2" fillId="0" borderId="0" xfId="56" applyFont="1" applyAlignment="1">
      <alignment horizontal="center" vertical="center" wrapText="1"/>
      <protection/>
    </xf>
    <xf numFmtId="164" fontId="7" fillId="0" borderId="0" xfId="56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2" xfId="0" applyFont="1" applyFill="1" applyBorder="1" applyAlignment="1">
      <alignment vertical="center" wrapText="1"/>
    </xf>
    <xf numFmtId="0" fontId="5" fillId="0" borderId="15" xfId="55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 wrapText="1"/>
    </xf>
    <xf numFmtId="165" fontId="40" fillId="0" borderId="39" xfId="0" applyNumberFormat="1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164" fontId="39" fillId="0" borderId="4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 vertical="justify" wrapText="1"/>
    </xf>
    <xf numFmtId="49" fontId="7" fillId="0" borderId="18" xfId="0" applyNumberFormat="1" applyFont="1" applyBorder="1" applyAlignment="1">
      <alignment horizontal="justify" vertical="top" wrapText="1"/>
    </xf>
    <xf numFmtId="49" fontId="43" fillId="24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49" fontId="43" fillId="0" borderId="43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justify"/>
    </xf>
    <xf numFmtId="49" fontId="0" fillId="0" borderId="26" xfId="0" applyNumberFormat="1" applyBorder="1" applyAlignment="1">
      <alignment/>
    </xf>
    <xf numFmtId="2" fontId="2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left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justify" vertical="top" wrapText="1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left" vertical="center" wrapText="1"/>
    </xf>
    <xf numFmtId="49" fontId="13" fillId="25" borderId="43" xfId="0" applyNumberFormat="1" applyFont="1" applyFill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 vertical="center" wrapText="1"/>
    </xf>
    <xf numFmtId="49" fontId="13" fillId="25" borderId="16" xfId="0" applyNumberFormat="1" applyFont="1" applyFill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 vertical="center" wrapText="1"/>
    </xf>
    <xf numFmtId="49" fontId="6" fillId="25" borderId="43" xfId="0" applyNumberFormat="1" applyFont="1" applyFill="1" applyBorder="1" applyAlignment="1">
      <alignment horizontal="center"/>
    </xf>
    <xf numFmtId="49" fontId="6" fillId="25" borderId="43" xfId="0" applyNumberFormat="1" applyFont="1" applyFill="1" applyBorder="1" applyAlignment="1">
      <alignment horizontal="left"/>
    </xf>
    <xf numFmtId="49" fontId="13" fillId="25" borderId="43" xfId="0" applyNumberFormat="1" applyFont="1" applyFill="1" applyBorder="1" applyAlignment="1">
      <alignment horizontal="left" vertical="center" wrapText="1"/>
    </xf>
    <xf numFmtId="49" fontId="43" fillId="24" borderId="43" xfId="0" applyNumberFormat="1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49" fontId="38" fillId="25" borderId="1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25" borderId="43" xfId="0" applyNumberFormat="1" applyFont="1" applyFill="1" applyBorder="1" applyAlignment="1">
      <alignment horizontal="left"/>
    </xf>
    <xf numFmtId="49" fontId="8" fillId="0" borderId="43" xfId="0" applyNumberFormat="1" applyFont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/>
    </xf>
    <xf numFmtId="49" fontId="38" fillId="25" borderId="43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justify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25" borderId="45" xfId="0" applyFont="1" applyFill="1" applyBorder="1" applyAlignment="1">
      <alignment horizontal="justify"/>
    </xf>
    <xf numFmtId="0" fontId="6" fillId="25" borderId="45" xfId="0" applyFont="1" applyFill="1" applyBorder="1" applyAlignment="1">
      <alignment horizontal="left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45" xfId="0" applyFont="1" applyFill="1" applyBorder="1" applyAlignment="1">
      <alignment wrapText="1"/>
    </xf>
    <xf numFmtId="0" fontId="7" fillId="25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justify" wrapText="1"/>
    </xf>
    <xf numFmtId="0" fontId="7" fillId="25" borderId="13" xfId="0" applyFont="1" applyFill="1" applyBorder="1" applyAlignment="1">
      <alignment vertical="center" wrapText="1"/>
    </xf>
    <xf numFmtId="0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25" borderId="13" xfId="0" applyFont="1" applyFill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vertical="justify"/>
    </xf>
    <xf numFmtId="0" fontId="13" fillId="0" borderId="1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39" fillId="0" borderId="41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164" fontId="39" fillId="0" borderId="34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 wrapText="1"/>
    </xf>
    <xf numFmtId="164" fontId="39" fillId="0" borderId="33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 wrapText="1"/>
    </xf>
    <xf numFmtId="164" fontId="39" fillId="0" borderId="4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164" fontId="41" fillId="0" borderId="34" xfId="0" applyNumberFormat="1" applyFont="1" applyFill="1" applyBorder="1" applyAlignment="1">
      <alignment horizontal="center" vertical="center"/>
    </xf>
    <xf numFmtId="49" fontId="39" fillId="0" borderId="48" xfId="0" applyNumberFormat="1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49" fontId="40" fillId="0" borderId="18" xfId="0" applyNumberFormat="1" applyFon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49" fontId="40" fillId="0" borderId="51" xfId="0" applyNumberFormat="1" applyFont="1" applyBorder="1" applyAlignment="1">
      <alignment horizontal="left" vertical="center" wrapText="1"/>
    </xf>
    <xf numFmtId="49" fontId="40" fillId="0" borderId="51" xfId="0" applyNumberFormat="1" applyFont="1" applyFill="1" applyBorder="1" applyAlignment="1">
      <alignment horizontal="left" vertical="center" wrapText="1"/>
    </xf>
    <xf numFmtId="49" fontId="40" fillId="24" borderId="51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center" wrapText="1"/>
    </xf>
    <xf numFmtId="49" fontId="40" fillId="0" borderId="34" xfId="0" applyNumberFormat="1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49" fontId="40" fillId="0" borderId="52" xfId="0" applyNumberFormat="1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40" fillId="0" borderId="15" xfId="0" applyNumberFormat="1" applyFont="1" applyFill="1" applyBorder="1" applyAlignment="1">
      <alignment horizontal="left" vertical="center"/>
    </xf>
    <xf numFmtId="49" fontId="40" fillId="0" borderId="51" xfId="0" applyNumberFormat="1" applyFont="1" applyFill="1" applyBorder="1" applyAlignment="1">
      <alignment horizontal="left" vertical="center"/>
    </xf>
    <xf numFmtId="49" fontId="40" fillId="25" borderId="18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/>
    </xf>
    <xf numFmtId="49" fontId="40" fillId="25" borderId="51" xfId="0" applyNumberFormat="1" applyFont="1" applyFill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/>
    </xf>
    <xf numFmtId="49" fontId="41" fillId="0" borderId="51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51" xfId="0" applyNumberFormat="1" applyFont="1" applyFill="1" applyBorder="1" applyAlignment="1">
      <alignment horizontal="left" vertical="center" wrapText="1"/>
    </xf>
    <xf numFmtId="49" fontId="46" fillId="0" borderId="18" xfId="0" applyNumberFormat="1" applyFont="1" applyFill="1" applyBorder="1" applyAlignment="1">
      <alignment horizontal="left" vertical="center" wrapText="1"/>
    </xf>
    <xf numFmtId="49" fontId="41" fillId="0" borderId="51" xfId="0" applyNumberFormat="1" applyFont="1" applyBorder="1" applyAlignment="1">
      <alignment horizontal="left" vertical="center"/>
    </xf>
    <xf numFmtId="49" fontId="41" fillId="0" borderId="18" xfId="0" applyNumberFormat="1" applyFont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/>
    </xf>
    <xf numFmtId="49" fontId="47" fillId="24" borderId="18" xfId="0" applyNumberFormat="1" applyFont="1" applyFill="1" applyBorder="1" applyAlignment="1">
      <alignment horizontal="left" vertical="center" wrapText="1"/>
    </xf>
    <xf numFmtId="49" fontId="41" fillId="0" borderId="51" xfId="0" applyNumberFormat="1" applyFont="1" applyFill="1" applyBorder="1" applyAlignment="1">
      <alignment horizontal="left" vertical="center" wrapText="1"/>
    </xf>
    <xf numFmtId="49" fontId="48" fillId="0" borderId="18" xfId="0" applyNumberFormat="1" applyFont="1" applyBorder="1" applyAlignment="1">
      <alignment horizontal="left" vertical="center" wrapText="1"/>
    </xf>
    <xf numFmtId="49" fontId="41" fillId="0" borderId="51" xfId="0" applyNumberFormat="1" applyFont="1" applyBorder="1" applyAlignment="1">
      <alignment horizontal="left" vertical="center" wrapText="1"/>
    </xf>
    <xf numFmtId="49" fontId="39" fillId="25" borderId="18" xfId="0" applyNumberFormat="1" applyFont="1" applyFill="1" applyBorder="1" applyAlignment="1">
      <alignment horizontal="left" vertical="center" wrapText="1"/>
    </xf>
    <xf numFmtId="49" fontId="46" fillId="25" borderId="18" xfId="0" applyNumberFormat="1" applyFont="1" applyFill="1" applyBorder="1" applyAlignment="1">
      <alignment horizontal="left" vertical="center" wrapText="1"/>
    </xf>
    <xf numFmtId="49" fontId="46" fillId="25" borderId="18" xfId="0" applyNumberFormat="1" applyFont="1" applyFill="1" applyBorder="1" applyAlignment="1">
      <alignment horizontal="left" vertical="center"/>
    </xf>
    <xf numFmtId="49" fontId="39" fillId="0" borderId="53" xfId="0" applyNumberFormat="1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54" xfId="0" applyFont="1" applyBorder="1" applyAlignment="1">
      <alignment horizontal="left" vertical="center" wrapText="1"/>
    </xf>
    <xf numFmtId="49" fontId="40" fillId="25" borderId="18" xfId="0" applyNumberFormat="1" applyFont="1" applyFill="1" applyBorder="1" applyAlignment="1">
      <alignment horizontal="left" vertical="center" wrapText="1"/>
    </xf>
    <xf numFmtId="49" fontId="40" fillId="25" borderId="51" xfId="0" applyNumberFormat="1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9" fontId="39" fillId="0" borderId="51" xfId="0" applyNumberFormat="1" applyFont="1" applyFill="1" applyBorder="1" applyAlignment="1">
      <alignment horizontal="left" vertical="center" wrapText="1"/>
    </xf>
    <xf numFmtId="49" fontId="47" fillId="0" borderId="18" xfId="0" applyNumberFormat="1" applyFont="1" applyBorder="1" applyAlignment="1">
      <alignment horizontal="left" vertical="center" wrapText="1"/>
    </xf>
    <xf numFmtId="49" fontId="49" fillId="25" borderId="18" xfId="0" applyNumberFormat="1" applyFont="1" applyFill="1" applyBorder="1" applyAlignment="1">
      <alignment horizontal="left" vertical="center"/>
    </xf>
    <xf numFmtId="0" fontId="49" fillId="25" borderId="51" xfId="0" applyFont="1" applyFill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 wrapText="1"/>
    </xf>
    <xf numFmtId="49" fontId="40" fillId="0" borderId="52" xfId="0" applyNumberFormat="1" applyFont="1" applyFill="1" applyBorder="1" applyAlignment="1">
      <alignment horizontal="left" vertical="center" wrapText="1"/>
    </xf>
    <xf numFmtId="49" fontId="40" fillId="0" borderId="38" xfId="0" applyNumberFormat="1" applyFont="1" applyFill="1" applyBorder="1" applyAlignment="1">
      <alignment horizontal="left" vertical="center" wrapText="1"/>
    </xf>
    <xf numFmtId="49" fontId="40" fillId="0" borderId="42" xfId="0" applyNumberFormat="1" applyFont="1" applyFill="1" applyBorder="1" applyAlignment="1">
      <alignment horizontal="left" vertical="center" wrapText="1"/>
    </xf>
    <xf numFmtId="164" fontId="40" fillId="0" borderId="34" xfId="0" applyNumberFormat="1" applyFont="1" applyBorder="1" applyAlignment="1">
      <alignment horizontal="center" vertical="center"/>
    </xf>
    <xf numFmtId="49" fontId="39" fillId="0" borderId="52" xfId="0" applyNumberFormat="1" applyFont="1" applyBorder="1" applyAlignment="1">
      <alignment horizontal="left" vertical="center" wrapText="1"/>
    </xf>
    <xf numFmtId="49" fontId="39" fillId="0" borderId="54" xfId="0" applyNumberFormat="1" applyFont="1" applyBorder="1" applyAlignment="1">
      <alignment horizontal="left" vertical="center" wrapText="1"/>
    </xf>
    <xf numFmtId="49" fontId="39" fillId="0" borderId="15" xfId="0" applyNumberFormat="1" applyFont="1" applyBorder="1" applyAlignment="1">
      <alignment horizontal="left" vertical="center" wrapText="1"/>
    </xf>
    <xf numFmtId="49" fontId="39" fillId="0" borderId="51" xfId="0" applyNumberFormat="1" applyFont="1" applyBorder="1" applyAlignment="1">
      <alignment horizontal="left" vertical="center" wrapText="1"/>
    </xf>
    <xf numFmtId="49" fontId="39" fillId="24" borderId="51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0" fillId="0" borderId="53" xfId="0" applyNumberFormat="1" applyFont="1" applyFill="1" applyBorder="1" applyAlignment="1">
      <alignment horizontal="left" vertical="center" wrapText="1"/>
    </xf>
    <xf numFmtId="49" fontId="39" fillId="0" borderId="31" xfId="0" applyNumberFormat="1" applyFont="1" applyFill="1" applyBorder="1" applyAlignment="1">
      <alignment horizontal="left" vertical="center" wrapText="1"/>
    </xf>
    <xf numFmtId="49" fontId="39" fillId="0" borderId="27" xfId="0" applyNumberFormat="1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left" vertical="center" wrapText="1"/>
    </xf>
    <xf numFmtId="165" fontId="40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25" xfId="54" applyFont="1" applyBorder="1">
      <alignment/>
      <protection/>
    </xf>
    <xf numFmtId="0" fontId="5" fillId="0" borderId="20" xfId="54" applyFont="1" applyBorder="1" applyAlignment="1">
      <alignment horizontal="center" vertical="justify"/>
      <protection/>
    </xf>
    <xf numFmtId="0" fontId="5" fillId="0" borderId="21" xfId="54" applyFont="1" applyBorder="1" applyAlignment="1">
      <alignment horizontal="left" wrapText="1"/>
      <protection/>
    </xf>
    <xf numFmtId="164" fontId="5" fillId="0" borderId="19" xfId="54" applyNumberFormat="1" applyFont="1" applyBorder="1" applyAlignment="1">
      <alignment horizontal="center" vertical="center"/>
      <protection/>
    </xf>
    <xf numFmtId="165" fontId="5" fillId="0" borderId="0" xfId="54" applyNumberFormat="1" applyFont="1">
      <alignment/>
      <protection/>
    </xf>
    <xf numFmtId="0" fontId="5" fillId="0" borderId="22" xfId="54" applyFont="1" applyBorder="1" applyAlignment="1">
      <alignment horizontal="center"/>
      <protection/>
    </xf>
    <xf numFmtId="164" fontId="5" fillId="0" borderId="13" xfId="54" applyNumberFormat="1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/>
      <protection/>
    </xf>
    <xf numFmtId="0" fontId="5" fillId="0" borderId="20" xfId="54" applyFont="1" applyBorder="1" applyAlignment="1">
      <alignment horizontal="left" wrapText="1"/>
      <protection/>
    </xf>
    <xf numFmtId="164" fontId="5" fillId="0" borderId="20" xfId="54" applyNumberFormat="1" applyFont="1" applyBorder="1" applyAlignment="1">
      <alignment horizontal="center" vertical="center"/>
      <protection/>
    </xf>
    <xf numFmtId="0" fontId="5" fillId="0" borderId="23" xfId="54" applyFont="1" applyBorder="1" applyAlignment="1">
      <alignment wrapText="1"/>
      <protection/>
    </xf>
    <xf numFmtId="0" fontId="5" fillId="0" borderId="57" xfId="54" applyFont="1" applyBorder="1" applyAlignment="1">
      <alignment horizontal="center"/>
      <protection/>
    </xf>
    <xf numFmtId="164" fontId="5" fillId="0" borderId="14" xfId="54" applyNumberFormat="1" applyFont="1" applyBorder="1" applyAlignment="1">
      <alignment horizontal="center" vertical="center"/>
      <protection/>
    </xf>
    <xf numFmtId="0" fontId="5" fillId="0" borderId="20" xfId="54" applyFont="1" applyBorder="1">
      <alignment/>
      <protection/>
    </xf>
    <xf numFmtId="0" fontId="5" fillId="0" borderId="23" xfId="54" applyFont="1" applyBorder="1" applyAlignment="1">
      <alignment horizontal="center"/>
      <protection/>
    </xf>
    <xf numFmtId="164" fontId="5" fillId="0" borderId="46" xfId="54" applyNumberFormat="1" applyFont="1" applyBorder="1" applyAlignment="1">
      <alignment horizontal="center" vertical="center"/>
      <protection/>
    </xf>
    <xf numFmtId="0" fontId="5" fillId="0" borderId="10" xfId="54" applyFont="1" applyBorder="1">
      <alignment/>
      <protection/>
    </xf>
    <xf numFmtId="0" fontId="5" fillId="0" borderId="19" xfId="54" applyFont="1" applyBorder="1" applyAlignment="1">
      <alignment horizontal="left" wrapText="1"/>
      <protection/>
    </xf>
    <xf numFmtId="164" fontId="5" fillId="0" borderId="21" xfId="54" applyNumberFormat="1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/>
      <protection/>
    </xf>
    <xf numFmtId="164" fontId="7" fillId="0" borderId="58" xfId="56" applyNumberFormat="1" applyFont="1" applyBorder="1" applyAlignment="1">
      <alignment horizontal="center" vertical="center" wrapText="1"/>
      <protection/>
    </xf>
    <xf numFmtId="164" fontId="7" fillId="0" borderId="13" xfId="56" applyNumberFormat="1" applyFont="1" applyBorder="1" applyAlignment="1">
      <alignment horizontal="center" vertical="center" wrapText="1"/>
      <protection/>
    </xf>
    <xf numFmtId="0" fontId="5" fillId="0" borderId="46" xfId="54" applyFont="1" applyBorder="1" applyAlignment="1">
      <alignment horizontal="center"/>
      <protection/>
    </xf>
    <xf numFmtId="164" fontId="5" fillId="0" borderId="28" xfId="54" applyNumberFormat="1" applyFont="1" applyBorder="1" applyAlignment="1">
      <alignment horizontal="center" vertical="center"/>
      <protection/>
    </xf>
    <xf numFmtId="0" fontId="5" fillId="0" borderId="12" xfId="54" applyFont="1" applyBorder="1" applyAlignment="1">
      <alignment wrapText="1"/>
      <protection/>
    </xf>
    <xf numFmtId="164" fontId="5" fillId="0" borderId="22" xfId="54" applyNumberFormat="1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/>
      <protection/>
    </xf>
    <xf numFmtId="164" fontId="5" fillId="0" borderId="57" xfId="54" applyNumberFormat="1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/>
      <protection/>
    </xf>
    <xf numFmtId="164" fontId="5" fillId="0" borderId="56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56" applyFont="1" applyAlignment="1">
      <alignment wrapText="1"/>
      <protection/>
    </xf>
    <xf numFmtId="0" fontId="50" fillId="0" borderId="0" xfId="56" applyFont="1" applyAlignment="1">
      <alignment horizontal="center" vertical="center" wrapText="1"/>
      <protection/>
    </xf>
    <xf numFmtId="49" fontId="13" fillId="0" borderId="15" xfId="56" applyNumberFormat="1" applyFont="1" applyBorder="1" applyAlignment="1">
      <alignment horizontal="left" vertical="center" wrapText="1"/>
      <protection/>
    </xf>
    <xf numFmtId="0" fontId="15" fillId="0" borderId="15" xfId="0" applyFont="1" applyBorder="1" applyAlignment="1">
      <alignment vertical="center" wrapText="1"/>
    </xf>
    <xf numFmtId="164" fontId="13" fillId="0" borderId="15" xfId="56" applyNumberFormat="1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5" fillId="0" borderId="15" xfId="55" applyFont="1" applyBorder="1" applyAlignment="1">
      <alignment vertical="justify" wrapText="1"/>
      <protection/>
    </xf>
    <xf numFmtId="164" fontId="13" fillId="0" borderId="15" xfId="56" applyNumberFormat="1" applyFont="1" applyBorder="1" applyAlignment="1">
      <alignment vertical="center" wrapText="1"/>
      <protection/>
    </xf>
    <xf numFmtId="49" fontId="13" fillId="0" borderId="15" xfId="56" applyNumberFormat="1" applyFont="1" applyBorder="1" applyAlignment="1">
      <alignment horizontal="left" vertical="center"/>
      <protection/>
    </xf>
    <xf numFmtId="49" fontId="15" fillId="0" borderId="15" xfId="0" applyNumberFormat="1" applyFont="1" applyBorder="1" applyAlignment="1">
      <alignment horizontal="left" vertical="justify" wrapText="1"/>
    </xf>
    <xf numFmtId="164" fontId="13" fillId="0" borderId="15" xfId="56" applyNumberFormat="1" applyFont="1" applyBorder="1" applyAlignment="1">
      <alignment vertical="center"/>
      <protection/>
    </xf>
    <xf numFmtId="0" fontId="9" fillId="0" borderId="15" xfId="0" applyFont="1" applyBorder="1" applyAlignment="1">
      <alignment vertical="justify" wrapText="1"/>
    </xf>
    <xf numFmtId="0" fontId="9" fillId="0" borderId="15" xfId="0" applyNumberFormat="1" applyFont="1" applyBorder="1" applyAlignment="1">
      <alignment vertical="justify" wrapText="1"/>
    </xf>
    <xf numFmtId="0" fontId="44" fillId="24" borderId="0" xfId="0" applyFont="1" applyFill="1" applyAlignment="1">
      <alignment horizontal="center" vertical="center" wrapText="1"/>
    </xf>
    <xf numFmtId="0" fontId="44" fillId="25" borderId="0" xfId="0" applyFont="1" applyFill="1" applyAlignment="1">
      <alignment horizontal="center" vertical="center" wrapText="1"/>
    </xf>
    <xf numFmtId="0" fontId="44" fillId="24" borderId="0" xfId="0" applyFont="1" applyFill="1" applyAlignment="1">
      <alignment horizontal="right" vertical="center" wrapText="1"/>
    </xf>
    <xf numFmtId="0" fontId="44" fillId="24" borderId="0" xfId="0" applyFont="1" applyFill="1" applyAlignment="1">
      <alignment horizontal="right" vertical="center"/>
    </xf>
    <xf numFmtId="0" fontId="45" fillId="24" borderId="0" xfId="0" applyFont="1" applyFill="1" applyAlignment="1">
      <alignment horizontal="right" vertical="center" wrapText="1"/>
    </xf>
    <xf numFmtId="0" fontId="44" fillId="25" borderId="15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left" vertical="center" wrapText="1"/>
    </xf>
    <xf numFmtId="49" fontId="44" fillId="24" borderId="58" xfId="0" applyNumberFormat="1" applyFont="1" applyFill="1" applyBorder="1" applyAlignment="1">
      <alignment horizontal="center" vertical="center" wrapText="1"/>
    </xf>
    <xf numFmtId="49" fontId="44" fillId="25" borderId="15" xfId="0" applyNumberFormat="1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vertical="center" wrapText="1"/>
    </xf>
    <xf numFmtId="0" fontId="44" fillId="24" borderId="15" xfId="0" applyFont="1" applyFill="1" applyBorder="1" applyAlignment="1">
      <alignment horizontal="left" vertical="center" wrapText="1"/>
    </xf>
    <xf numFmtId="0" fontId="45" fillId="24" borderId="15" xfId="0" applyFont="1" applyFill="1" applyBorder="1" applyAlignment="1">
      <alignment vertical="center" wrapText="1"/>
    </xf>
    <xf numFmtId="0" fontId="44" fillId="24" borderId="15" xfId="0" applyNumberFormat="1" applyFont="1" applyFill="1" applyBorder="1" applyAlignment="1">
      <alignment vertical="center" wrapText="1"/>
    </xf>
    <xf numFmtId="0" fontId="44" fillId="25" borderId="15" xfId="0" applyNumberFormat="1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 wrapText="1"/>
    </xf>
    <xf numFmtId="49" fontId="52" fillId="25" borderId="15" xfId="0" applyNumberFormat="1" applyFont="1" applyFill="1" applyBorder="1" applyAlignment="1">
      <alignment horizontal="center" vertical="center" wrapText="1"/>
    </xf>
    <xf numFmtId="49" fontId="44" fillId="24" borderId="15" xfId="0" applyNumberFormat="1" applyFont="1" applyFill="1" applyBorder="1" applyAlignment="1">
      <alignment horizontal="left" vertical="center" wrapText="1"/>
    </xf>
    <xf numFmtId="49" fontId="0" fillId="25" borderId="15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left" vertical="center" wrapText="1"/>
    </xf>
    <xf numFmtId="0" fontId="44" fillId="24" borderId="15" xfId="0" applyFont="1" applyFill="1" applyBorder="1" applyAlignment="1">
      <alignment wrapText="1"/>
    </xf>
    <xf numFmtId="0" fontId="44" fillId="25" borderId="0" xfId="0" applyFont="1" applyFill="1" applyAlignment="1">
      <alignment vertical="center"/>
    </xf>
    <xf numFmtId="0" fontId="1" fillId="25" borderId="15" xfId="0" applyFont="1" applyFill="1" applyBorder="1" applyAlignment="1">
      <alignment vertical="center"/>
    </xf>
    <xf numFmtId="49" fontId="45" fillId="24" borderId="15" xfId="0" applyNumberFormat="1" applyFont="1" applyFill="1" applyBorder="1" applyAlignment="1">
      <alignment horizontal="left" vertical="center" wrapText="1"/>
    </xf>
    <xf numFmtId="0" fontId="1" fillId="24" borderId="15" xfId="0" applyNumberFormat="1" applyFont="1" applyFill="1" applyBorder="1" applyAlignment="1">
      <alignment vertical="center" wrapText="1"/>
    </xf>
    <xf numFmtId="0" fontId="1" fillId="25" borderId="58" xfId="0" applyFont="1" applyFill="1" applyBorder="1" applyAlignment="1">
      <alignment horizontal="center" vertical="center" wrapText="1"/>
    </xf>
    <xf numFmtId="0" fontId="44" fillId="25" borderId="5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7" fillId="0" borderId="25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59" xfId="0" applyFont="1" applyBorder="1" applyAlignment="1">
      <alignment wrapText="1"/>
    </xf>
    <xf numFmtId="49" fontId="53" fillId="0" borderId="28" xfId="0" applyNumberFormat="1" applyFont="1" applyBorder="1" applyAlignment="1">
      <alignment vertical="justify"/>
    </xf>
    <xf numFmtId="0" fontId="1" fillId="0" borderId="31" xfId="0" applyFont="1" applyBorder="1" applyAlignment="1">
      <alignment vertical="justify"/>
    </xf>
    <xf numFmtId="0" fontId="1" fillId="0" borderId="60" xfId="0" applyFont="1" applyBorder="1" applyAlignment="1">
      <alignment vertical="justify"/>
    </xf>
    <xf numFmtId="0" fontId="1" fillId="0" borderId="27" xfId="0" applyFont="1" applyBorder="1" applyAlignment="1">
      <alignment vertical="justify"/>
    </xf>
    <xf numFmtId="0" fontId="1" fillId="0" borderId="32" xfId="0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center" vertical="justify"/>
    </xf>
    <xf numFmtId="0" fontId="13" fillId="0" borderId="23" xfId="0" applyFont="1" applyBorder="1" applyAlignment="1">
      <alignment vertical="center" wrapText="1"/>
    </xf>
    <xf numFmtId="49" fontId="13" fillId="0" borderId="23" xfId="0" applyNumberFormat="1" applyFont="1" applyBorder="1" applyAlignment="1">
      <alignment vertical="center" wrapText="1"/>
    </xf>
    <xf numFmtId="49" fontId="13" fillId="0" borderId="53" xfId="0" applyNumberFormat="1" applyFont="1" applyBorder="1" applyAlignment="1">
      <alignment vertical="center" wrapText="1"/>
    </xf>
    <xf numFmtId="49" fontId="13" fillId="0" borderId="52" xfId="0" applyNumberFormat="1" applyFont="1" applyBorder="1" applyAlignment="1">
      <alignment vertical="center" wrapText="1"/>
    </xf>
    <xf numFmtId="49" fontId="13" fillId="0" borderId="54" xfId="0" applyNumberFormat="1" applyFont="1" applyBorder="1" applyAlignment="1">
      <alignment vertical="center" wrapText="1"/>
    </xf>
    <xf numFmtId="165" fontId="39" fillId="0" borderId="12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49" fontId="7" fillId="0" borderId="51" xfId="0" applyNumberFormat="1" applyFont="1" applyBorder="1" applyAlignment="1">
      <alignment vertical="center" wrapText="1"/>
    </xf>
    <xf numFmtId="165" fontId="40" fillId="0" borderId="13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 wrapText="1"/>
    </xf>
    <xf numFmtId="49" fontId="7" fillId="0" borderId="51" xfId="0" applyNumberFormat="1" applyFont="1" applyFill="1" applyBorder="1" applyAlignment="1">
      <alignment vertical="center" wrapText="1"/>
    </xf>
    <xf numFmtId="165" fontId="40" fillId="0" borderId="13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49" fontId="7" fillId="0" borderId="51" xfId="0" applyNumberFormat="1" applyFont="1" applyFill="1" applyBorder="1" applyAlignment="1">
      <alignment/>
    </xf>
    <xf numFmtId="165" fontId="40" fillId="0" borderId="13" xfId="66" applyNumberFormat="1" applyFont="1" applyFill="1" applyBorder="1" applyAlignment="1">
      <alignment horizontal="center"/>
    </xf>
    <xf numFmtId="165" fontId="40" fillId="24" borderId="0" xfId="0" applyNumberFormat="1" applyFont="1" applyFill="1" applyAlignment="1">
      <alignment horizontal="center" vertical="center" wrapText="1"/>
    </xf>
    <xf numFmtId="49" fontId="7" fillId="24" borderId="51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3" fillId="0" borderId="22" xfId="0" applyFont="1" applyBorder="1" applyAlignment="1">
      <alignment vertical="center" wrapText="1"/>
    </xf>
    <xf numFmtId="49" fontId="13" fillId="0" borderId="22" xfId="0" applyNumberFormat="1" applyFont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center" wrapText="1"/>
    </xf>
    <xf numFmtId="49" fontId="13" fillId="0" borderId="51" xfId="0" applyNumberFormat="1" applyFont="1" applyFill="1" applyBorder="1" applyAlignment="1">
      <alignment vertical="center" wrapText="1"/>
    </xf>
    <xf numFmtId="165" fontId="39" fillId="0" borderId="1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justify"/>
    </xf>
    <xf numFmtId="0" fontId="7" fillId="25" borderId="22" xfId="0" applyFont="1" applyFill="1" applyBorder="1" applyAlignment="1">
      <alignment vertical="center" wrapText="1"/>
    </xf>
    <xf numFmtId="49" fontId="7" fillId="25" borderId="22" xfId="0" applyNumberFormat="1" applyFont="1" applyFill="1" applyBorder="1" applyAlignment="1">
      <alignment/>
    </xf>
    <xf numFmtId="49" fontId="7" fillId="25" borderId="18" xfId="0" applyNumberFormat="1" applyFont="1" applyFill="1" applyBorder="1" applyAlignment="1">
      <alignment/>
    </xf>
    <xf numFmtId="49" fontId="7" fillId="25" borderId="15" xfId="0" applyNumberFormat="1" applyFont="1" applyFill="1" applyBorder="1" applyAlignment="1">
      <alignment/>
    </xf>
    <xf numFmtId="49" fontId="7" fillId="25" borderId="51" xfId="0" applyNumberFormat="1" applyFont="1" applyFill="1" applyBorder="1" applyAlignment="1">
      <alignment/>
    </xf>
    <xf numFmtId="165" fontId="40" fillId="25" borderId="13" xfId="66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49" fontId="7" fillId="0" borderId="51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wrapText="1"/>
    </xf>
    <xf numFmtId="49" fontId="7" fillId="0" borderId="51" xfId="0" applyNumberFormat="1" applyFont="1" applyFill="1" applyBorder="1" applyAlignment="1">
      <alignment wrapText="1"/>
    </xf>
    <xf numFmtId="49" fontId="7" fillId="25" borderId="18" xfId="0" applyNumberFormat="1" applyFont="1" applyFill="1" applyBorder="1" applyAlignment="1">
      <alignment vertical="center" wrapText="1"/>
    </xf>
    <xf numFmtId="49" fontId="7" fillId="25" borderId="15" xfId="0" applyNumberFormat="1" applyFont="1" applyFill="1" applyBorder="1" applyAlignment="1">
      <alignment vertical="center" wrapText="1"/>
    </xf>
    <xf numFmtId="186" fontId="7" fillId="0" borderId="51" xfId="66" applyNumberFormat="1" applyFont="1" applyFill="1" applyBorder="1" applyAlignment="1">
      <alignment/>
    </xf>
    <xf numFmtId="165" fontId="40" fillId="0" borderId="13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 wrapText="1"/>
    </xf>
    <xf numFmtId="49" fontId="13" fillId="0" borderId="51" xfId="0" applyNumberFormat="1" applyFont="1" applyBorder="1" applyAlignment="1">
      <alignment vertical="center" wrapText="1"/>
    </xf>
    <xf numFmtId="165" fontId="39" fillId="0" borderId="13" xfId="0" applyNumberFormat="1" applyFont="1" applyFill="1" applyBorder="1" applyAlignment="1">
      <alignment horizontal="center" vertical="center" wrapText="1"/>
    </xf>
    <xf numFmtId="165" fontId="40" fillId="0" borderId="0" xfId="0" applyNumberFormat="1" applyFont="1" applyFill="1" applyAlignment="1">
      <alignment horizontal="center" vertical="center" wrapText="1"/>
    </xf>
    <xf numFmtId="49" fontId="7" fillId="25" borderId="22" xfId="0" applyNumberFormat="1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vertical="center" wrapText="1"/>
    </xf>
    <xf numFmtId="49" fontId="13" fillId="24" borderId="51" xfId="0" applyNumberFormat="1" applyFont="1" applyFill="1" applyBorder="1" applyAlignment="1">
      <alignment vertical="center" wrapText="1"/>
    </xf>
    <xf numFmtId="49" fontId="38" fillId="0" borderId="2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9" fontId="7" fillId="25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49" fontId="13" fillId="25" borderId="22" xfId="0" applyNumberFormat="1" applyFont="1" applyFill="1" applyBorder="1" applyAlignment="1">
      <alignment vertical="center" wrapText="1"/>
    </xf>
    <xf numFmtId="49" fontId="7" fillId="25" borderId="51" xfId="0" applyNumberFormat="1" applyFont="1" applyFill="1" applyBorder="1" applyAlignment="1">
      <alignment vertical="center" wrapText="1"/>
    </xf>
    <xf numFmtId="165" fontId="40" fillId="25" borderId="13" xfId="0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/>
    </xf>
    <xf numFmtId="49" fontId="38" fillId="25" borderId="22" xfId="0" applyNumberFormat="1" applyFont="1" applyFill="1" applyBorder="1" applyAlignment="1">
      <alignment vertical="center" wrapText="1"/>
    </xf>
    <xf numFmtId="49" fontId="6" fillId="25" borderId="22" xfId="0" applyNumberFormat="1" applyFont="1" applyFill="1" applyBorder="1" applyAlignment="1">
      <alignment/>
    </xf>
    <xf numFmtId="0" fontId="7" fillId="25" borderId="58" xfId="0" applyFont="1" applyFill="1" applyBorder="1" applyAlignment="1">
      <alignment vertical="center" wrapText="1"/>
    </xf>
    <xf numFmtId="0" fontId="6" fillId="25" borderId="51" xfId="0" applyFont="1" applyFill="1" applyBorder="1" applyAlignment="1">
      <alignment/>
    </xf>
    <xf numFmtId="0" fontId="6" fillId="25" borderId="0" xfId="0" applyFont="1" applyFill="1" applyAlignment="1">
      <alignment wrapText="1"/>
    </xf>
    <xf numFmtId="0" fontId="6" fillId="25" borderId="22" xfId="0" applyFont="1" applyFill="1" applyBorder="1" applyAlignment="1">
      <alignment vertical="center" wrapText="1"/>
    </xf>
    <xf numFmtId="165" fontId="40" fillId="25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46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165" fontId="46" fillId="0" borderId="0" xfId="0" applyNumberFormat="1" applyFont="1" applyAlignment="1">
      <alignment horizontal="center" vertical="center" wrapText="1"/>
    </xf>
    <xf numFmtId="165" fontId="46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/>
    </xf>
    <xf numFmtId="49" fontId="7" fillId="25" borderId="51" xfId="0" applyNumberFormat="1" applyFont="1" applyFill="1" applyBorder="1" applyAlignment="1">
      <alignment horizontal="left"/>
    </xf>
    <xf numFmtId="165" fontId="40" fillId="25" borderId="34" xfId="0" applyNumberFormat="1" applyFont="1" applyFill="1" applyBorder="1" applyAlignment="1">
      <alignment horizontal="center"/>
    </xf>
    <xf numFmtId="165" fontId="40" fillId="25" borderId="13" xfId="0" applyNumberFormat="1" applyFont="1" applyFill="1" applyBorder="1" applyAlignment="1">
      <alignment horizontal="center"/>
    </xf>
    <xf numFmtId="49" fontId="38" fillId="25" borderId="22" xfId="0" applyNumberFormat="1" applyFont="1" applyFill="1" applyBorder="1" applyAlignment="1">
      <alignment/>
    </xf>
    <xf numFmtId="0" fontId="7" fillId="0" borderId="15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13" fillId="0" borderId="28" xfId="0" applyFont="1" applyBorder="1" applyAlignment="1">
      <alignment vertical="center" wrapText="1"/>
    </xf>
    <xf numFmtId="49" fontId="13" fillId="0" borderId="28" xfId="0" applyNumberFormat="1" applyFont="1" applyBorder="1" applyAlignment="1">
      <alignment vertical="center" wrapText="1"/>
    </xf>
    <xf numFmtId="49" fontId="13" fillId="0" borderId="31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vertical="center" wrapText="1"/>
    </xf>
    <xf numFmtId="165" fontId="39" fillId="0" borderId="2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/>
    </xf>
    <xf numFmtId="49" fontId="13" fillId="0" borderId="48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165" fontId="47" fillId="0" borderId="41" xfId="0" applyNumberFormat="1" applyFont="1" applyFill="1" applyBorder="1" applyAlignment="1">
      <alignment horizontal="center" vertical="center" wrapText="1"/>
    </xf>
    <xf numFmtId="165" fontId="47" fillId="0" borderId="19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/>
    </xf>
    <xf numFmtId="165" fontId="41" fillId="0" borderId="34" xfId="0" applyNumberFormat="1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165" fontId="41" fillId="0" borderId="34" xfId="0" applyNumberFormat="1" applyFont="1" applyFill="1" applyBorder="1" applyAlignment="1">
      <alignment horizontal="center" vertical="center"/>
    </xf>
    <xf numFmtId="165" fontId="41" fillId="0" borderId="13" xfId="0" applyNumberFormat="1" applyFont="1" applyFill="1" applyBorder="1" applyAlignment="1">
      <alignment horizontal="center" vertical="center"/>
    </xf>
    <xf numFmtId="49" fontId="7" fillId="24" borderId="51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165" fontId="47" fillId="25" borderId="34" xfId="0" applyNumberFormat="1" applyFont="1" applyFill="1" applyBorder="1" applyAlignment="1">
      <alignment horizontal="center" vertical="center" wrapText="1"/>
    </xf>
    <xf numFmtId="165" fontId="47" fillId="25" borderId="13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165" fontId="47" fillId="0" borderId="34" xfId="0" applyNumberFormat="1" applyFont="1" applyFill="1" applyBorder="1" applyAlignment="1">
      <alignment horizontal="center" vertical="center" wrapText="1"/>
    </xf>
    <xf numFmtId="165" fontId="4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/>
    </xf>
    <xf numFmtId="49" fontId="7" fillId="0" borderId="51" xfId="0" applyNumberFormat="1" applyFont="1" applyFill="1" applyBorder="1" applyAlignment="1">
      <alignment horizontal="left"/>
    </xf>
    <xf numFmtId="165" fontId="41" fillId="0" borderId="34" xfId="66" applyNumberFormat="1" applyFont="1" applyFill="1" applyBorder="1" applyAlignment="1">
      <alignment horizontal="center"/>
    </xf>
    <xf numFmtId="165" fontId="41" fillId="0" borderId="51" xfId="66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165" fontId="40" fillId="0" borderId="34" xfId="66" applyNumberFormat="1" applyFont="1" applyFill="1" applyBorder="1" applyAlignment="1">
      <alignment horizontal="center"/>
    </xf>
    <xf numFmtId="165" fontId="40" fillId="25" borderId="34" xfId="66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51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51" xfId="0" applyNumberFormat="1" applyFont="1" applyFill="1" applyBorder="1" applyAlignment="1">
      <alignment horizontal="left" wrapText="1"/>
    </xf>
    <xf numFmtId="49" fontId="7" fillId="25" borderId="15" xfId="0" applyNumberFormat="1" applyFont="1" applyFill="1" applyBorder="1" applyAlignment="1">
      <alignment horizontal="left" vertical="center" wrapText="1"/>
    </xf>
    <xf numFmtId="186" fontId="7" fillId="0" borderId="51" xfId="66" applyNumberFormat="1" applyFont="1" applyFill="1" applyBorder="1" applyAlignment="1">
      <alignment horizontal="left"/>
    </xf>
    <xf numFmtId="165" fontId="40" fillId="0" borderId="34" xfId="0" applyNumberFormat="1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49" fontId="7" fillId="25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49" fontId="38" fillId="25" borderId="18" xfId="0" applyNumberFormat="1" applyFont="1" applyFill="1" applyBorder="1" applyAlignment="1">
      <alignment horizontal="left"/>
    </xf>
    <xf numFmtId="165" fontId="41" fillId="25" borderId="16" xfId="0" applyNumberFormat="1" applyFont="1" applyFill="1" applyBorder="1" applyAlignment="1">
      <alignment horizontal="center"/>
    </xf>
    <xf numFmtId="165" fontId="41" fillId="25" borderId="15" xfId="0" applyNumberFormat="1" applyFont="1" applyFill="1" applyBorder="1" applyAlignment="1">
      <alignment horizontal="center"/>
    </xf>
    <xf numFmtId="49" fontId="13" fillId="0" borderId="53" xfId="0" applyNumberFormat="1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165" fontId="39" fillId="0" borderId="3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left" vertical="center" wrapText="1"/>
    </xf>
    <xf numFmtId="49" fontId="7" fillId="25" borderId="51" xfId="0" applyNumberFormat="1" applyFont="1" applyFill="1" applyBorder="1" applyAlignment="1">
      <alignment horizontal="left" vertical="center" wrapText="1"/>
    </xf>
    <xf numFmtId="0" fontId="6" fillId="25" borderId="51" xfId="0" applyFont="1" applyFill="1" applyBorder="1" applyAlignment="1">
      <alignment horizontal="left"/>
    </xf>
    <xf numFmtId="165" fontId="41" fillId="0" borderId="34" xfId="0" applyNumberFormat="1" applyFont="1" applyFill="1" applyBorder="1" applyAlignment="1">
      <alignment horizontal="center" vertical="center" wrapText="1"/>
    </xf>
    <xf numFmtId="165" fontId="41" fillId="0" borderId="13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/>
    </xf>
    <xf numFmtId="49" fontId="7" fillId="0" borderId="57" xfId="0" applyNumberFormat="1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left" vertical="center" wrapText="1"/>
    </xf>
    <xf numFmtId="165" fontId="41" fillId="0" borderId="63" xfId="0" applyNumberFormat="1" applyFont="1" applyFill="1" applyBorder="1" applyAlignment="1">
      <alignment horizontal="center" vertical="center" wrapText="1"/>
    </xf>
    <xf numFmtId="165" fontId="41" fillId="0" borderId="14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43" fontId="0" fillId="0" borderId="0" xfId="66" applyFon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40" fillId="0" borderId="34" xfId="66" applyNumberFormat="1" applyFont="1" applyFill="1" applyBorder="1" applyAlignment="1">
      <alignment horizontal="center" vertical="center"/>
    </xf>
    <xf numFmtId="165" fontId="40" fillId="25" borderId="34" xfId="66" applyNumberFormat="1" applyFont="1" applyFill="1" applyBorder="1" applyAlignment="1">
      <alignment horizontal="center" vertical="center"/>
    </xf>
    <xf numFmtId="186" fontId="40" fillId="0" borderId="51" xfId="66" applyNumberFormat="1" applyFont="1" applyFill="1" applyBorder="1" applyAlignment="1">
      <alignment horizontal="left" vertical="center"/>
    </xf>
    <xf numFmtId="164" fontId="40" fillId="0" borderId="34" xfId="66" applyNumberFormat="1" applyFont="1" applyFill="1" applyBorder="1" applyAlignment="1">
      <alignment horizontal="center" vertical="center"/>
    </xf>
    <xf numFmtId="164" fontId="40" fillId="25" borderId="34" xfId="6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164" fontId="41" fillId="0" borderId="34" xfId="66" applyNumberFormat="1" applyFont="1" applyFill="1" applyBorder="1" applyAlignment="1">
      <alignment horizontal="center" vertical="center"/>
    </xf>
    <xf numFmtId="43" fontId="9" fillId="0" borderId="0" xfId="66" applyFont="1" applyAlignment="1">
      <alignment horizontal="center"/>
    </xf>
    <xf numFmtId="49" fontId="45" fillId="24" borderId="58" xfId="0" applyNumberFormat="1" applyFont="1" applyFill="1" applyBorder="1" applyAlignment="1">
      <alignment horizontal="left" vertical="center" wrapText="1"/>
    </xf>
    <xf numFmtId="49" fontId="45" fillId="24" borderId="16" xfId="0" applyNumberFormat="1" applyFont="1" applyFill="1" applyBorder="1" applyAlignment="1">
      <alignment horizontal="left" vertical="center" wrapText="1"/>
    </xf>
    <xf numFmtId="0" fontId="45" fillId="24" borderId="58" xfId="0" applyFont="1" applyFill="1" applyBorder="1" applyAlignment="1">
      <alignment horizontal="left" vertical="center" wrapText="1"/>
    </xf>
    <xf numFmtId="0" fontId="45" fillId="24" borderId="16" xfId="0" applyFont="1" applyFill="1" applyBorder="1" applyAlignment="1">
      <alignment horizontal="left" vertical="center" wrapText="1"/>
    </xf>
    <xf numFmtId="0" fontId="44" fillId="25" borderId="58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/>
    </xf>
    <xf numFmtId="0" fontId="44" fillId="2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14" fillId="24" borderId="0" xfId="0" applyFont="1" applyFill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5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7" fillId="0" borderId="25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56" applyFont="1" applyBorder="1" applyAlignment="1">
      <alignment horizontal="center" vertical="center" wrapText="1"/>
      <protection/>
    </xf>
    <xf numFmtId="0" fontId="12" fillId="0" borderId="0" xfId="56" applyFont="1" applyAlignment="1">
      <alignment horizontal="center" vertical="justify" wrapText="1"/>
      <protection/>
    </xf>
    <xf numFmtId="0" fontId="12" fillId="0" borderId="0" xfId="56" applyFont="1" applyAlignment="1">
      <alignment horizontal="center" vertical="justify"/>
      <protection/>
    </xf>
    <xf numFmtId="0" fontId="7" fillId="0" borderId="61" xfId="56" applyFont="1" applyBorder="1" applyAlignment="1">
      <alignment horizontal="center" vertical="center" wrapText="1"/>
      <protection/>
    </xf>
    <xf numFmtId="0" fontId="7" fillId="0" borderId="38" xfId="56" applyFont="1" applyBorder="1" applyAlignment="1">
      <alignment horizontal="center" vertical="center" wrapText="1"/>
      <protection/>
    </xf>
    <xf numFmtId="0" fontId="7" fillId="0" borderId="52" xfId="56" applyFont="1" applyBorder="1" applyAlignment="1">
      <alignment horizontal="center" vertical="center" wrapText="1"/>
      <protection/>
    </xf>
    <xf numFmtId="49" fontId="37" fillId="0" borderId="15" xfId="56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3" fillId="0" borderId="61" xfId="56" applyFont="1" applyBorder="1" applyAlignment="1">
      <alignment horizontal="center" vertical="center" wrapText="1"/>
      <protection/>
    </xf>
    <xf numFmtId="0" fontId="13" fillId="0" borderId="38" xfId="56" applyFont="1" applyBorder="1" applyAlignment="1">
      <alignment horizontal="center" vertical="center" wrapText="1"/>
      <protection/>
    </xf>
    <xf numFmtId="0" fontId="13" fillId="0" borderId="52" xfId="56" applyFont="1" applyBorder="1" applyAlignment="1">
      <alignment horizontal="center" vertical="center" wrapText="1"/>
      <protection/>
    </xf>
    <xf numFmtId="49" fontId="14" fillId="0" borderId="15" xfId="56" applyNumberFormat="1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2008%20&#1075;&#1086;&#1076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%20&#1074;%202014%20&#1075;&#1086;&#1076;&#1091;%202015-2016%20(4)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66-3\&#1084;&#1086;&#1080;%20&#1076;&#1086;&#1082;&#1091;&#1084;&#1077;&#1085;&#1090;&#1099;\&#1050;%20&#1091;&#1090;&#1086;&#1095;&#1085;&#1077;&#1085;&#1080;&#1102;%20%202014%20&#1075;&#1086;&#1076;%20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.2015-16"/>
      <sheetName val="ведомствен.2015-2016"/>
    </sheetNames>
    <sheetDataSet>
      <sheetData sheetId="1">
        <row r="16">
          <cell r="G16">
            <v>1725</v>
          </cell>
          <cell r="H16">
            <v>1725</v>
          </cell>
        </row>
        <row r="20">
          <cell r="G20">
            <v>11085</v>
          </cell>
          <cell r="H20">
            <v>11085</v>
          </cell>
        </row>
        <row r="21">
          <cell r="G21">
            <v>7.1</v>
          </cell>
          <cell r="H21">
            <v>7.1</v>
          </cell>
        </row>
        <row r="26">
          <cell r="G26">
            <v>344.4</v>
          </cell>
        </row>
        <row r="27">
          <cell r="G27">
            <v>300</v>
          </cell>
          <cell r="H27">
            <v>300</v>
          </cell>
        </row>
        <row r="28">
          <cell r="G28">
            <v>44.4</v>
          </cell>
          <cell r="H28">
            <v>44.4</v>
          </cell>
        </row>
        <row r="30">
          <cell r="G30">
            <v>84</v>
          </cell>
          <cell r="H30">
            <v>84</v>
          </cell>
        </row>
        <row r="32">
          <cell r="G32">
            <v>4753.9</v>
          </cell>
          <cell r="H32">
            <v>4753.9</v>
          </cell>
        </row>
        <row r="33">
          <cell r="G33">
            <v>666.5</v>
          </cell>
          <cell r="H33">
            <v>666.5</v>
          </cell>
        </row>
        <row r="34">
          <cell r="G34">
            <v>10.1</v>
          </cell>
          <cell r="H34">
            <v>10.1</v>
          </cell>
        </row>
        <row r="36">
          <cell r="G36">
            <v>5690.700000000001</v>
          </cell>
        </row>
        <row r="40">
          <cell r="G40">
            <v>3777.5</v>
          </cell>
          <cell r="H40">
            <v>3777.5</v>
          </cell>
        </row>
        <row r="41">
          <cell r="G41">
            <v>9.100000000000001</v>
          </cell>
          <cell r="H41">
            <v>9.100000000000001</v>
          </cell>
        </row>
        <row r="43">
          <cell r="G43">
            <v>1692</v>
          </cell>
          <cell r="H43">
            <v>1692</v>
          </cell>
        </row>
        <row r="47">
          <cell r="G47">
            <v>91.4</v>
          </cell>
          <cell r="H47">
            <v>91.4</v>
          </cell>
        </row>
        <row r="48">
          <cell r="G48">
            <v>2.8</v>
          </cell>
          <cell r="H48">
            <v>2.8</v>
          </cell>
        </row>
        <row r="50">
          <cell r="G50">
            <v>54.1</v>
          </cell>
          <cell r="H50">
            <v>54.1</v>
          </cell>
        </row>
        <row r="52">
          <cell r="G52">
            <v>57.2</v>
          </cell>
          <cell r="H52">
            <v>57.2</v>
          </cell>
        </row>
        <row r="53">
          <cell r="G53">
            <v>6.6</v>
          </cell>
          <cell r="H53">
            <v>6.6</v>
          </cell>
        </row>
        <row r="55">
          <cell r="G55">
            <v>115383.2</v>
          </cell>
        </row>
        <row r="59">
          <cell r="G59">
            <v>92859.6</v>
          </cell>
          <cell r="H59">
            <v>92859.6</v>
          </cell>
        </row>
        <row r="60">
          <cell r="G60">
            <v>96.7</v>
          </cell>
          <cell r="H60">
            <v>96.7</v>
          </cell>
        </row>
        <row r="62">
          <cell r="G62">
            <v>1368.8</v>
          </cell>
          <cell r="H62">
            <v>1368.8</v>
          </cell>
        </row>
        <row r="63">
          <cell r="G63">
            <v>23.6</v>
          </cell>
          <cell r="H63">
            <v>23.6</v>
          </cell>
        </row>
        <row r="65">
          <cell r="G65">
            <v>72.3</v>
          </cell>
          <cell r="H65">
            <v>72.3</v>
          </cell>
        </row>
        <row r="66">
          <cell r="G66">
            <v>21.5</v>
          </cell>
          <cell r="H66">
            <v>21.5</v>
          </cell>
        </row>
        <row r="68">
          <cell r="G68">
            <v>140</v>
          </cell>
          <cell r="H68">
            <v>140</v>
          </cell>
        </row>
        <row r="69">
          <cell r="G69">
            <v>39.6</v>
          </cell>
          <cell r="H69">
            <v>39.6</v>
          </cell>
        </row>
        <row r="71">
          <cell r="G71">
            <v>288.8</v>
          </cell>
          <cell r="H71">
            <v>288.8</v>
          </cell>
        </row>
        <row r="72">
          <cell r="G72">
            <v>68.9</v>
          </cell>
          <cell r="H72">
            <v>68.9</v>
          </cell>
        </row>
        <row r="74">
          <cell r="G74">
            <v>1240.4</v>
          </cell>
          <cell r="H74">
            <v>1240.4</v>
          </cell>
        </row>
        <row r="78">
          <cell r="H78">
            <v>43.14</v>
          </cell>
        </row>
        <row r="82">
          <cell r="G82">
            <v>3018.7</v>
          </cell>
          <cell r="H82">
            <v>3018.7</v>
          </cell>
        </row>
        <row r="83">
          <cell r="G83">
            <v>74.2</v>
          </cell>
          <cell r="H83">
            <v>74.2</v>
          </cell>
        </row>
        <row r="85">
          <cell r="G85">
            <v>4613.3</v>
          </cell>
          <cell r="H85">
            <v>4613.3</v>
          </cell>
        </row>
        <row r="89">
          <cell r="G89">
            <v>6568.8</v>
          </cell>
          <cell r="H89">
            <v>6568.8</v>
          </cell>
        </row>
        <row r="90">
          <cell r="G90">
            <v>2609.6</v>
          </cell>
          <cell r="H90">
            <v>2609.6</v>
          </cell>
        </row>
        <row r="94">
          <cell r="G94">
            <v>2192.8</v>
          </cell>
          <cell r="H94">
            <v>2192.8</v>
          </cell>
        </row>
        <row r="97">
          <cell r="G97">
            <v>85.6</v>
          </cell>
          <cell r="H97">
            <v>85.6</v>
          </cell>
        </row>
        <row r="102">
          <cell r="G102">
            <v>3843.6</v>
          </cell>
          <cell r="H102">
            <v>3843.6</v>
          </cell>
        </row>
        <row r="103">
          <cell r="G103">
            <v>1025.1</v>
          </cell>
          <cell r="H103">
            <v>1025.1</v>
          </cell>
        </row>
        <row r="104">
          <cell r="G104">
            <v>98</v>
          </cell>
          <cell r="H104">
            <v>98</v>
          </cell>
        </row>
        <row r="108">
          <cell r="G108">
            <v>9858.5</v>
          </cell>
          <cell r="H108">
            <v>9858.5</v>
          </cell>
        </row>
        <row r="112">
          <cell r="G112">
            <v>1358.1</v>
          </cell>
          <cell r="H112">
            <v>1358.1</v>
          </cell>
        </row>
        <row r="115">
          <cell r="G115">
            <v>105.4</v>
          </cell>
          <cell r="H115">
            <v>105.4</v>
          </cell>
        </row>
        <row r="120">
          <cell r="G120">
            <v>2000</v>
          </cell>
          <cell r="H120">
            <v>2000</v>
          </cell>
        </row>
        <row r="136">
          <cell r="G136">
            <v>19214.6</v>
          </cell>
          <cell r="H136">
            <v>19214.6</v>
          </cell>
        </row>
        <row r="141">
          <cell r="G141">
            <v>31085.4</v>
          </cell>
          <cell r="H141">
            <v>31085.4</v>
          </cell>
        </row>
        <row r="146">
          <cell r="G146">
            <v>92140.7</v>
          </cell>
          <cell r="H146">
            <v>95404.3</v>
          </cell>
        </row>
        <row r="154">
          <cell r="G154">
            <v>1704.7</v>
          </cell>
          <cell r="H154">
            <v>1704.7</v>
          </cell>
        </row>
        <row r="158">
          <cell r="G158">
            <v>3879.4</v>
          </cell>
          <cell r="H158">
            <v>3879.4</v>
          </cell>
        </row>
        <row r="163">
          <cell r="G163">
            <v>5683.5</v>
          </cell>
          <cell r="H163">
            <v>5683.5</v>
          </cell>
        </row>
        <row r="216">
          <cell r="G216">
            <v>0</v>
          </cell>
          <cell r="H216">
            <v>0</v>
          </cell>
        </row>
        <row r="221">
          <cell r="G221">
            <v>8374.9</v>
          </cell>
          <cell r="H221">
            <v>2054.9</v>
          </cell>
        </row>
        <row r="227">
          <cell r="G227">
            <v>39469.2</v>
          </cell>
          <cell r="H227">
            <v>39469.2</v>
          </cell>
        </row>
        <row r="231">
          <cell r="G231">
            <v>7695.1</v>
          </cell>
          <cell r="H231">
            <v>7695.1</v>
          </cell>
        </row>
        <row r="235">
          <cell r="G235">
            <v>198.4</v>
          </cell>
          <cell r="H235">
            <v>198.4</v>
          </cell>
        </row>
        <row r="245">
          <cell r="G245">
            <v>3000</v>
          </cell>
        </row>
        <row r="250">
          <cell r="G250">
            <v>3995.1</v>
          </cell>
          <cell r="H250">
            <v>3995.1</v>
          </cell>
        </row>
        <row r="251">
          <cell r="G251">
            <v>573.9</v>
          </cell>
          <cell r="H251">
            <v>573.9</v>
          </cell>
        </row>
        <row r="252">
          <cell r="G252">
            <v>80.1</v>
          </cell>
          <cell r="H252">
            <v>80.1</v>
          </cell>
        </row>
        <row r="271">
          <cell r="G271">
            <v>30507.6</v>
          </cell>
          <cell r="H271">
            <v>31466.3</v>
          </cell>
        </row>
        <row r="284">
          <cell r="G284">
            <v>2678.8</v>
          </cell>
          <cell r="H284">
            <v>2678.8</v>
          </cell>
        </row>
        <row r="285">
          <cell r="G285">
            <v>7.8</v>
          </cell>
          <cell r="H285">
            <v>7.8</v>
          </cell>
        </row>
        <row r="287">
          <cell r="G287">
            <v>15988.8</v>
          </cell>
          <cell r="H287">
            <v>15988.8</v>
          </cell>
        </row>
        <row r="288">
          <cell r="G288">
            <v>2000</v>
          </cell>
        </row>
        <row r="290">
          <cell r="G290">
            <v>2000</v>
          </cell>
          <cell r="H290">
            <v>5000</v>
          </cell>
        </row>
        <row r="294">
          <cell r="G294">
            <v>164.1</v>
          </cell>
          <cell r="H294">
            <v>164.1</v>
          </cell>
        </row>
        <row r="295">
          <cell r="G295">
            <v>10.5</v>
          </cell>
          <cell r="H295">
            <v>10.5</v>
          </cell>
        </row>
        <row r="297">
          <cell r="G297">
            <v>200</v>
          </cell>
          <cell r="H297">
            <v>200</v>
          </cell>
        </row>
        <row r="299">
          <cell r="G299">
            <v>4211.7</v>
          </cell>
          <cell r="H299">
            <v>4211.7</v>
          </cell>
        </row>
        <row r="300">
          <cell r="G300">
            <v>22.8</v>
          </cell>
          <cell r="H300">
            <v>22.8</v>
          </cell>
        </row>
        <row r="306">
          <cell r="G306">
            <v>12583.1</v>
          </cell>
          <cell r="H306">
            <v>12583.1</v>
          </cell>
        </row>
        <row r="311">
          <cell r="G311">
            <v>38000</v>
          </cell>
          <cell r="H311">
            <v>38000</v>
          </cell>
        </row>
        <row r="318">
          <cell r="G318">
            <v>2715.8</v>
          </cell>
          <cell r="H318">
            <v>2715.8</v>
          </cell>
        </row>
        <row r="333">
          <cell r="G333">
            <v>43005</v>
          </cell>
          <cell r="H333">
            <v>43005</v>
          </cell>
        </row>
        <row r="334">
          <cell r="G334">
            <v>19720.5</v>
          </cell>
          <cell r="H334">
            <v>20242.5</v>
          </cell>
        </row>
        <row r="335">
          <cell r="G335">
            <v>677</v>
          </cell>
          <cell r="H335">
            <v>677</v>
          </cell>
        </row>
        <row r="350">
          <cell r="G350">
            <v>2177.9</v>
          </cell>
          <cell r="H350">
            <v>2177.9</v>
          </cell>
        </row>
        <row r="359">
          <cell r="G359">
            <v>531.8</v>
          </cell>
          <cell r="H359">
            <v>531.8</v>
          </cell>
        </row>
        <row r="360">
          <cell r="G360">
            <v>1201.2</v>
          </cell>
          <cell r="H360">
            <v>1251.2</v>
          </cell>
        </row>
        <row r="362">
          <cell r="G362">
            <v>38680.7</v>
          </cell>
          <cell r="H362">
            <v>38680.7</v>
          </cell>
        </row>
        <row r="363">
          <cell r="G363">
            <v>7031.2</v>
          </cell>
          <cell r="H363">
            <v>7184.8</v>
          </cell>
        </row>
        <row r="364">
          <cell r="G364">
            <v>386</v>
          </cell>
          <cell r="H364">
            <v>386</v>
          </cell>
        </row>
        <row r="371">
          <cell r="G371">
            <v>1322</v>
          </cell>
          <cell r="H371">
            <v>1279.9</v>
          </cell>
        </row>
        <row r="372">
          <cell r="G372">
            <v>85653.8</v>
          </cell>
          <cell r="H372">
            <v>82925.2</v>
          </cell>
        </row>
        <row r="374">
          <cell r="G374">
            <v>2225.5</v>
          </cell>
          <cell r="H374">
            <v>2247.8</v>
          </cell>
        </row>
        <row r="375">
          <cell r="G375">
            <v>162627.1</v>
          </cell>
          <cell r="H375">
            <v>164253.1</v>
          </cell>
        </row>
        <row r="377">
          <cell r="G377">
            <v>1.2</v>
          </cell>
          <cell r="H377">
            <v>1.2</v>
          </cell>
        </row>
        <row r="378">
          <cell r="G378">
            <v>75.9</v>
          </cell>
          <cell r="H378">
            <v>75.9</v>
          </cell>
        </row>
        <row r="380">
          <cell r="G380">
            <v>1263.1</v>
          </cell>
          <cell r="H380">
            <v>1328.9</v>
          </cell>
        </row>
        <row r="381">
          <cell r="G381">
            <v>82942.5</v>
          </cell>
          <cell r="H381">
            <v>87267.7</v>
          </cell>
        </row>
        <row r="383">
          <cell r="G383">
            <v>2034.3</v>
          </cell>
          <cell r="H383">
            <v>2034.3</v>
          </cell>
        </row>
        <row r="387">
          <cell r="G387">
            <v>18.9</v>
          </cell>
          <cell r="H387">
            <v>18.9</v>
          </cell>
        </row>
        <row r="388">
          <cell r="G388">
            <v>1240.7</v>
          </cell>
          <cell r="H388">
            <v>1240.7</v>
          </cell>
        </row>
        <row r="390">
          <cell r="G390">
            <v>916.9</v>
          </cell>
          <cell r="H390">
            <v>962.2</v>
          </cell>
        </row>
        <row r="391">
          <cell r="G391">
            <v>58619</v>
          </cell>
          <cell r="H391">
            <v>61515.7</v>
          </cell>
        </row>
        <row r="393">
          <cell r="G393">
            <v>778.1</v>
          </cell>
          <cell r="H393">
            <v>753.2</v>
          </cell>
        </row>
        <row r="394">
          <cell r="G394">
            <v>51798</v>
          </cell>
          <cell r="H394">
            <v>50138.6</v>
          </cell>
        </row>
        <row r="396">
          <cell r="G396">
            <v>5849.4</v>
          </cell>
          <cell r="H396">
            <v>6141.6</v>
          </cell>
        </row>
        <row r="397">
          <cell r="G397">
            <v>168222.7</v>
          </cell>
          <cell r="H397">
            <v>176633.8</v>
          </cell>
        </row>
        <row r="399">
          <cell r="G399">
            <v>23</v>
          </cell>
          <cell r="H399">
            <v>23</v>
          </cell>
        </row>
        <row r="400">
          <cell r="G400">
            <v>1513.3</v>
          </cell>
          <cell r="H400">
            <v>1513.3</v>
          </cell>
        </row>
        <row r="402">
          <cell r="G402">
            <v>330.6</v>
          </cell>
          <cell r="H402">
            <v>347.1</v>
          </cell>
        </row>
        <row r="403">
          <cell r="G403">
            <v>9687.5</v>
          </cell>
          <cell r="H403">
            <v>10171.8</v>
          </cell>
        </row>
        <row r="405">
          <cell r="G405">
            <v>1782.6</v>
          </cell>
          <cell r="H405">
            <v>1782.6</v>
          </cell>
        </row>
        <row r="406">
          <cell r="G406">
            <v>118659</v>
          </cell>
          <cell r="H406">
            <v>118659</v>
          </cell>
        </row>
        <row r="408">
          <cell r="G408">
            <v>70</v>
          </cell>
          <cell r="H408">
            <v>73.5</v>
          </cell>
        </row>
        <row r="409">
          <cell r="G409">
            <v>959.4</v>
          </cell>
          <cell r="H409">
            <v>1007.4</v>
          </cell>
        </row>
        <row r="411">
          <cell r="G411">
            <v>3.6</v>
          </cell>
          <cell r="H411">
            <v>3.6</v>
          </cell>
        </row>
        <row r="412">
          <cell r="G412">
            <v>239.8</v>
          </cell>
          <cell r="H412">
            <v>239.8</v>
          </cell>
        </row>
        <row r="414">
          <cell r="G414">
            <v>218</v>
          </cell>
          <cell r="H414">
            <v>228.9</v>
          </cell>
        </row>
        <row r="415">
          <cell r="G415">
            <v>6595.8</v>
          </cell>
          <cell r="H415">
            <v>6925.5</v>
          </cell>
        </row>
        <row r="417">
          <cell r="G417">
            <v>75</v>
          </cell>
          <cell r="H417">
            <v>75</v>
          </cell>
        </row>
        <row r="418">
          <cell r="G418">
            <v>5282.2</v>
          </cell>
          <cell r="H418">
            <v>5282.2</v>
          </cell>
        </row>
        <row r="420">
          <cell r="G420">
            <v>26</v>
          </cell>
          <cell r="H420">
            <v>26.4</v>
          </cell>
        </row>
        <row r="421">
          <cell r="G421">
            <v>1477.5</v>
          </cell>
          <cell r="H421">
            <v>1501.8</v>
          </cell>
        </row>
        <row r="422">
          <cell r="G422">
            <v>287.6</v>
          </cell>
          <cell r="H422">
            <v>287.6</v>
          </cell>
        </row>
        <row r="424">
          <cell r="G424">
            <v>76.4</v>
          </cell>
          <cell r="H424">
            <v>80.3</v>
          </cell>
        </row>
        <row r="425">
          <cell r="G425">
            <v>5020</v>
          </cell>
          <cell r="H425">
            <v>5270.9</v>
          </cell>
        </row>
        <row r="428">
          <cell r="G428">
            <v>102</v>
          </cell>
          <cell r="H428">
            <v>397.8</v>
          </cell>
        </row>
        <row r="429">
          <cell r="G429">
            <v>390</v>
          </cell>
          <cell r="H429">
            <v>390</v>
          </cell>
        </row>
        <row r="432">
          <cell r="G432">
            <v>295.8</v>
          </cell>
        </row>
        <row r="437">
          <cell r="G437">
            <v>38</v>
          </cell>
          <cell r="H437">
            <v>39.3</v>
          </cell>
        </row>
        <row r="438">
          <cell r="G438">
            <v>3148.6</v>
          </cell>
          <cell r="H438">
            <v>3252.7</v>
          </cell>
        </row>
        <row r="440">
          <cell r="G440">
            <v>30</v>
          </cell>
          <cell r="H440">
            <v>31.1</v>
          </cell>
        </row>
        <row r="441">
          <cell r="G441">
            <v>2869.1</v>
          </cell>
          <cell r="H441">
            <v>2964.1</v>
          </cell>
        </row>
        <row r="443">
          <cell r="G443">
            <v>342.9</v>
          </cell>
          <cell r="H443">
            <v>354.3</v>
          </cell>
        </row>
        <row r="444">
          <cell r="G444">
            <v>24745</v>
          </cell>
          <cell r="H444">
            <v>25564</v>
          </cell>
        </row>
        <row r="448">
          <cell r="G448">
            <v>3102.3</v>
          </cell>
          <cell r="H448">
            <v>3102.3</v>
          </cell>
        </row>
        <row r="449">
          <cell r="G449">
            <v>12.6</v>
          </cell>
          <cell r="H449">
            <v>12.6</v>
          </cell>
        </row>
        <row r="451">
          <cell r="G451">
            <v>3602.4</v>
          </cell>
          <cell r="H451">
            <v>3602.4</v>
          </cell>
        </row>
        <row r="452">
          <cell r="G452">
            <v>630.8</v>
          </cell>
          <cell r="H452">
            <v>630.8</v>
          </cell>
        </row>
        <row r="454">
          <cell r="G454">
            <v>14572.9</v>
          </cell>
          <cell r="H454">
            <v>14572.9</v>
          </cell>
        </row>
        <row r="456">
          <cell r="G456">
            <v>4948.6</v>
          </cell>
          <cell r="H456">
            <v>4948.6</v>
          </cell>
        </row>
        <row r="457">
          <cell r="G457">
            <v>573.1</v>
          </cell>
          <cell r="H457">
            <v>573.1</v>
          </cell>
        </row>
        <row r="460">
          <cell r="G460">
            <v>230</v>
          </cell>
          <cell r="H460">
            <v>230</v>
          </cell>
        </row>
        <row r="462">
          <cell r="G462">
            <v>1124.6</v>
          </cell>
          <cell r="H462">
            <v>1124.6</v>
          </cell>
        </row>
        <row r="465">
          <cell r="G465">
            <v>1270.3</v>
          </cell>
          <cell r="H465">
            <v>1270.3</v>
          </cell>
        </row>
        <row r="476">
          <cell r="G476">
            <v>51267</v>
          </cell>
          <cell r="H476">
            <v>51267</v>
          </cell>
        </row>
        <row r="484">
          <cell r="G484">
            <v>3228.9</v>
          </cell>
          <cell r="H484">
            <v>3228.9</v>
          </cell>
        </row>
        <row r="485">
          <cell r="G485">
            <v>649.6</v>
          </cell>
          <cell r="H485">
            <v>649.6</v>
          </cell>
        </row>
        <row r="486">
          <cell r="G486">
            <v>13.5</v>
          </cell>
          <cell r="H486">
            <v>13.5</v>
          </cell>
        </row>
        <row r="515">
          <cell r="G515">
            <v>140853</v>
          </cell>
          <cell r="H515">
            <v>140853</v>
          </cell>
        </row>
        <row r="517">
          <cell r="G517">
            <v>397678.5</v>
          </cell>
          <cell r="H517">
            <v>397678.5</v>
          </cell>
        </row>
        <row r="519">
          <cell r="G519">
            <v>4486.7</v>
          </cell>
          <cell r="H519">
            <v>4486.7</v>
          </cell>
        </row>
        <row r="520">
          <cell r="G520">
            <v>21261.2</v>
          </cell>
          <cell r="H520">
            <v>21261.2</v>
          </cell>
        </row>
        <row r="521">
          <cell r="G521">
            <v>2303.4</v>
          </cell>
          <cell r="H521">
            <v>2303.4</v>
          </cell>
        </row>
        <row r="523">
          <cell r="G523">
            <v>57493</v>
          </cell>
          <cell r="H523">
            <v>57493</v>
          </cell>
        </row>
        <row r="524">
          <cell r="G524">
            <v>1293.4</v>
          </cell>
          <cell r="H524">
            <v>1293.4</v>
          </cell>
        </row>
        <row r="532">
          <cell r="G532">
            <v>75912.6</v>
          </cell>
          <cell r="H532">
            <v>75912.6</v>
          </cell>
        </row>
        <row r="534">
          <cell r="G534">
            <v>271098.8</v>
          </cell>
          <cell r="H534">
            <v>271098.8</v>
          </cell>
        </row>
        <row r="536">
          <cell r="G536">
            <v>23395.100000000002</v>
          </cell>
          <cell r="H536">
            <v>23395.100000000002</v>
          </cell>
        </row>
        <row r="537">
          <cell r="G537">
            <v>44954.4</v>
          </cell>
          <cell r="H537">
            <v>44954.4</v>
          </cell>
        </row>
        <row r="538">
          <cell r="G538">
            <v>15533.3</v>
          </cell>
          <cell r="H538">
            <v>15533.3</v>
          </cell>
        </row>
        <row r="540">
          <cell r="G540">
            <v>301204.5</v>
          </cell>
          <cell r="H540">
            <v>301204.5</v>
          </cell>
        </row>
        <row r="541">
          <cell r="G541">
            <v>3819.8</v>
          </cell>
          <cell r="H541">
            <v>3819.8</v>
          </cell>
        </row>
        <row r="547">
          <cell r="G547">
            <v>29366.7</v>
          </cell>
          <cell r="H547">
            <v>29366.7</v>
          </cell>
        </row>
        <row r="550">
          <cell r="G550">
            <v>1915.1</v>
          </cell>
          <cell r="H550">
            <v>1915.1</v>
          </cell>
        </row>
        <row r="551">
          <cell r="G551">
            <v>2429.5</v>
          </cell>
          <cell r="H551">
            <v>2429.5</v>
          </cell>
        </row>
        <row r="552">
          <cell r="G552">
            <v>1218</v>
          </cell>
          <cell r="H552">
            <v>1218</v>
          </cell>
        </row>
        <row r="554">
          <cell r="G554">
            <v>33584</v>
          </cell>
          <cell r="H554">
            <v>33584</v>
          </cell>
        </row>
        <row r="555">
          <cell r="G555">
            <v>11943.4</v>
          </cell>
          <cell r="H555">
            <v>11943.4</v>
          </cell>
        </row>
        <row r="559">
          <cell r="G559">
            <v>6181.3</v>
          </cell>
          <cell r="H559">
            <v>6181.3</v>
          </cell>
        </row>
        <row r="569">
          <cell r="G569">
            <v>1089.6</v>
          </cell>
          <cell r="H569">
            <v>1089.6</v>
          </cell>
        </row>
        <row r="570">
          <cell r="G570">
            <v>102.5</v>
          </cell>
          <cell r="H570">
            <v>102.5</v>
          </cell>
        </row>
        <row r="571">
          <cell r="G571">
            <v>11.8</v>
          </cell>
          <cell r="H571">
            <v>11.8</v>
          </cell>
        </row>
        <row r="583">
          <cell r="G583">
            <v>21131.4</v>
          </cell>
          <cell r="H583">
            <v>21131.4</v>
          </cell>
        </row>
        <row r="584">
          <cell r="G584">
            <v>1781.6</v>
          </cell>
          <cell r="H584">
            <v>1781.6</v>
          </cell>
        </row>
        <row r="585">
          <cell r="G585">
            <v>403.4</v>
          </cell>
          <cell r="H585">
            <v>403.4</v>
          </cell>
        </row>
        <row r="590">
          <cell r="G590">
            <v>9455.7</v>
          </cell>
          <cell r="H590">
            <v>9455.7</v>
          </cell>
        </row>
        <row r="594">
          <cell r="G594">
            <v>27063.5</v>
          </cell>
          <cell r="H594">
            <v>27063.5</v>
          </cell>
        </row>
        <row r="601">
          <cell r="G601">
            <v>53613.2</v>
          </cell>
          <cell r="H601">
            <v>53613.2</v>
          </cell>
        </row>
        <row r="630">
          <cell r="G630">
            <v>31454.3</v>
          </cell>
          <cell r="H630">
            <v>31454.3</v>
          </cell>
        </row>
        <row r="632">
          <cell r="G632">
            <v>14345.1</v>
          </cell>
          <cell r="H632">
            <v>14345.1</v>
          </cell>
        </row>
        <row r="633">
          <cell r="G633">
            <v>3078.5</v>
          </cell>
          <cell r="H633">
            <v>3078.5</v>
          </cell>
        </row>
        <row r="634">
          <cell r="G634">
            <v>251.6</v>
          </cell>
          <cell r="H634">
            <v>251.6</v>
          </cell>
        </row>
        <row r="653">
          <cell r="G653">
            <v>4702.3</v>
          </cell>
          <cell r="H653">
            <v>4702.3</v>
          </cell>
        </row>
        <row r="661">
          <cell r="G661">
            <v>30265.8</v>
          </cell>
          <cell r="H661">
            <v>30265.8</v>
          </cell>
        </row>
        <row r="662">
          <cell r="G662">
            <v>2637.5</v>
          </cell>
          <cell r="H662">
            <v>2637.5</v>
          </cell>
        </row>
        <row r="663">
          <cell r="G663">
            <v>555.3</v>
          </cell>
          <cell r="H663">
            <v>555.3</v>
          </cell>
        </row>
        <row r="680">
          <cell r="G680">
            <v>6337.7</v>
          </cell>
          <cell r="H680">
            <v>6337.7</v>
          </cell>
        </row>
        <row r="681">
          <cell r="G681">
            <v>452.4</v>
          </cell>
          <cell r="H681">
            <v>452.4</v>
          </cell>
        </row>
        <row r="682">
          <cell r="G682">
            <v>4.4</v>
          </cell>
          <cell r="H682">
            <v>4.4</v>
          </cell>
        </row>
        <row r="715">
          <cell r="G715">
            <v>6366.3</v>
          </cell>
          <cell r="H715">
            <v>6366.3</v>
          </cell>
        </row>
        <row r="730">
          <cell r="G730">
            <v>7874.6</v>
          </cell>
          <cell r="H730">
            <v>7874.6</v>
          </cell>
        </row>
        <row r="738">
          <cell r="G738">
            <v>100</v>
          </cell>
          <cell r="H738">
            <v>100</v>
          </cell>
        </row>
        <row r="739">
          <cell r="G739">
            <v>11189.4</v>
          </cell>
          <cell r="H739">
            <v>11189.4</v>
          </cell>
        </row>
        <row r="759">
          <cell r="G759">
            <v>530.1</v>
          </cell>
          <cell r="H759">
            <v>530.1</v>
          </cell>
        </row>
        <row r="771">
          <cell r="G771">
            <v>11341.5</v>
          </cell>
          <cell r="H771">
            <v>11341.5</v>
          </cell>
        </row>
        <row r="772">
          <cell r="G772">
            <v>1486.1</v>
          </cell>
          <cell r="H772">
            <v>1486.1</v>
          </cell>
        </row>
        <row r="773">
          <cell r="G773">
            <v>46.2</v>
          </cell>
          <cell r="H773">
            <v>46.2</v>
          </cell>
        </row>
        <row r="791">
          <cell r="G791">
            <v>3188337.8000000003</v>
          </cell>
          <cell r="H791">
            <v>3202442.7400000007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АДы"/>
      <sheetName val="функцион.2014"/>
      <sheetName val="ведомствен.2014"/>
      <sheetName val="прогр.заимств."/>
      <sheetName val="прогр.заимств.2015-2016"/>
      <sheetName val="источн.2014"/>
      <sheetName val="источн.2015-2016"/>
      <sheetName val="Ожидаемое"/>
    </sheetNames>
    <sheetDataSet>
      <sheetData sheetId="1">
        <row r="773">
          <cell r="J773">
            <v>3662731.3000000007</v>
          </cell>
        </row>
      </sheetData>
      <sheetData sheetId="2">
        <row r="12">
          <cell r="G12">
            <v>19523</v>
          </cell>
        </row>
        <row r="16">
          <cell r="G16">
            <v>1725</v>
          </cell>
        </row>
        <row r="20">
          <cell r="G20">
            <v>11314.2</v>
          </cell>
        </row>
        <row r="27">
          <cell r="G27">
            <v>519.8</v>
          </cell>
        </row>
        <row r="28">
          <cell r="G28">
            <v>44.4</v>
          </cell>
        </row>
        <row r="30">
          <cell r="G30">
            <v>363.4</v>
          </cell>
        </row>
        <row r="32">
          <cell r="G32">
            <v>4877.9</v>
          </cell>
        </row>
        <row r="33">
          <cell r="G33">
            <v>667.7</v>
          </cell>
        </row>
        <row r="34">
          <cell r="G34">
            <v>10.6</v>
          </cell>
        </row>
        <row r="36">
          <cell r="G36">
            <v>6539.200000000001</v>
          </cell>
        </row>
        <row r="40">
          <cell r="G40">
            <v>3875.2000000000003</v>
          </cell>
        </row>
        <row r="41">
          <cell r="G41">
            <v>9.100000000000001</v>
          </cell>
        </row>
        <row r="43">
          <cell r="G43">
            <v>1692</v>
          </cell>
        </row>
        <row r="47">
          <cell r="G47">
            <v>157</v>
          </cell>
        </row>
        <row r="48">
          <cell r="G48">
            <v>2.8</v>
          </cell>
        </row>
        <row r="50">
          <cell r="G50">
            <v>199.5</v>
          </cell>
        </row>
        <row r="52">
          <cell r="G52">
            <v>597</v>
          </cell>
        </row>
        <row r="53">
          <cell r="G53">
            <v>6.6</v>
          </cell>
        </row>
        <row r="55">
          <cell r="G55">
            <v>137266.5</v>
          </cell>
        </row>
        <row r="59">
          <cell r="G59">
            <v>92965.29999999999</v>
          </cell>
        </row>
        <row r="60">
          <cell r="G60">
            <v>30.1</v>
          </cell>
        </row>
        <row r="62">
          <cell r="G62">
            <v>1368.8</v>
          </cell>
        </row>
        <row r="63">
          <cell r="G63">
            <v>23.6</v>
          </cell>
        </row>
        <row r="65">
          <cell r="G65">
            <v>72.3</v>
          </cell>
        </row>
        <row r="66">
          <cell r="G66">
            <v>21.5</v>
          </cell>
        </row>
        <row r="68">
          <cell r="G68">
            <v>140</v>
          </cell>
        </row>
        <row r="69">
          <cell r="G69">
            <v>39.6</v>
          </cell>
        </row>
        <row r="71">
          <cell r="G71">
            <v>288.8</v>
          </cell>
        </row>
        <row r="72">
          <cell r="G72">
            <v>68.9</v>
          </cell>
        </row>
        <row r="74">
          <cell r="G74">
            <v>1286.5</v>
          </cell>
        </row>
        <row r="80">
          <cell r="G80">
            <v>100</v>
          </cell>
        </row>
        <row r="83">
          <cell r="G83">
            <v>3008.5</v>
          </cell>
        </row>
        <row r="84">
          <cell r="G84">
            <v>74.2</v>
          </cell>
        </row>
        <row r="86">
          <cell r="G86">
            <v>10995.900000000001</v>
          </cell>
        </row>
        <row r="88">
          <cell r="G88">
            <v>6768.400000000001</v>
          </cell>
        </row>
        <row r="89">
          <cell r="G89">
            <v>27.4</v>
          </cell>
        </row>
        <row r="91">
          <cell r="G91">
            <v>10496.1</v>
          </cell>
        </row>
        <row r="92">
          <cell r="G92">
            <v>7024.7</v>
          </cell>
        </row>
        <row r="96">
          <cell r="G96">
            <v>2380.3</v>
          </cell>
        </row>
        <row r="98">
          <cell r="G98">
            <v>85.6</v>
          </cell>
        </row>
        <row r="101">
          <cell r="G101">
            <v>22674.199999999997</v>
          </cell>
        </row>
        <row r="105">
          <cell r="G105">
            <v>3844.6</v>
          </cell>
        </row>
        <row r="106">
          <cell r="G106">
            <v>1764.5</v>
          </cell>
        </row>
        <row r="107">
          <cell r="G107">
            <v>98</v>
          </cell>
        </row>
        <row r="111">
          <cell r="G111">
            <v>9896.4</v>
          </cell>
        </row>
        <row r="115">
          <cell r="G115">
            <v>2570.4</v>
          </cell>
        </row>
        <row r="117">
          <cell r="G117">
            <v>210.3</v>
          </cell>
        </row>
        <row r="120">
          <cell r="G120">
            <v>950</v>
          </cell>
        </row>
        <row r="122">
          <cell r="G122">
            <v>2000</v>
          </cell>
        </row>
        <row r="125">
          <cell r="G125">
            <v>40</v>
          </cell>
        </row>
        <row r="130">
          <cell r="G130">
            <v>1300</v>
          </cell>
        </row>
        <row r="133">
          <cell r="G133">
            <v>262795.5</v>
          </cell>
        </row>
        <row r="141">
          <cell r="G141">
            <v>34608.6</v>
          </cell>
        </row>
        <row r="146">
          <cell r="G146">
            <v>61268.2</v>
          </cell>
        </row>
        <row r="151">
          <cell r="G151">
            <v>155590.3</v>
          </cell>
        </row>
        <row r="159">
          <cell r="G159">
            <v>0</v>
          </cell>
        </row>
        <row r="163">
          <cell r="G163">
            <v>4464.400000000001</v>
          </cell>
        </row>
        <row r="168">
          <cell r="G168">
            <v>1000</v>
          </cell>
        </row>
        <row r="170">
          <cell r="G170">
            <v>20</v>
          </cell>
        </row>
        <row r="173">
          <cell r="G173">
            <v>5</v>
          </cell>
        </row>
        <row r="175">
          <cell r="G175">
            <v>5839</v>
          </cell>
        </row>
        <row r="176">
          <cell r="G176">
            <v>160669.5</v>
          </cell>
        </row>
        <row r="232">
          <cell r="G232">
            <v>1500</v>
          </cell>
        </row>
        <row r="238">
          <cell r="G238">
            <v>11031.3</v>
          </cell>
        </row>
        <row r="239">
          <cell r="G239">
            <v>9811</v>
          </cell>
        </row>
        <row r="242">
          <cell r="G242">
            <v>16.4</v>
          </cell>
        </row>
        <row r="244">
          <cell r="G244">
            <v>11059</v>
          </cell>
        </row>
        <row r="246">
          <cell r="G246">
            <v>56</v>
          </cell>
        </row>
        <row r="250">
          <cell r="G250">
            <v>42699.2</v>
          </cell>
        </row>
        <row r="252">
          <cell r="G252">
            <v>730.8</v>
          </cell>
        </row>
        <row r="254">
          <cell r="G254">
            <v>20725</v>
          </cell>
        </row>
        <row r="258">
          <cell r="G258">
            <v>198.4</v>
          </cell>
        </row>
        <row r="261">
          <cell r="G261">
            <v>172.7</v>
          </cell>
        </row>
        <row r="263">
          <cell r="G263">
            <v>179.8</v>
          </cell>
        </row>
        <row r="271">
          <cell r="G271">
            <v>50600</v>
          </cell>
        </row>
        <row r="274">
          <cell r="G274">
            <v>995.3</v>
          </cell>
        </row>
        <row r="280">
          <cell r="G280">
            <v>1971.2</v>
          </cell>
        </row>
        <row r="282">
          <cell r="G282">
            <v>6723.4</v>
          </cell>
        </row>
        <row r="283">
          <cell r="G283">
            <v>2200</v>
          </cell>
        </row>
        <row r="284">
          <cell r="G284">
            <v>6232.4</v>
          </cell>
        </row>
        <row r="288">
          <cell r="G288">
            <v>4446.9</v>
          </cell>
        </row>
        <row r="289">
          <cell r="G289">
            <v>751.9</v>
          </cell>
        </row>
        <row r="290">
          <cell r="G290">
            <v>88.5</v>
          </cell>
        </row>
        <row r="294">
          <cell r="G294">
            <v>81.2</v>
          </cell>
        </row>
        <row r="295">
          <cell r="G295">
            <v>863.9</v>
          </cell>
        </row>
        <row r="296">
          <cell r="G296">
            <v>31718.8</v>
          </cell>
        </row>
        <row r="297">
          <cell r="G297">
            <v>31718.8</v>
          </cell>
        </row>
        <row r="300">
          <cell r="G300">
            <v>31696.3</v>
          </cell>
        </row>
        <row r="301">
          <cell r="G301">
            <v>22.5</v>
          </cell>
        </row>
        <row r="302">
          <cell r="G302">
            <v>53510.7</v>
          </cell>
        </row>
        <row r="307">
          <cell r="G307">
            <v>1733.4</v>
          </cell>
        </row>
        <row r="311">
          <cell r="G311">
            <v>2972.7</v>
          </cell>
        </row>
        <row r="315">
          <cell r="G315">
            <v>2000</v>
          </cell>
        </row>
        <row r="320">
          <cell r="G320">
            <v>17256.5</v>
          </cell>
        </row>
        <row r="324">
          <cell r="G324">
            <v>21878.9</v>
          </cell>
        </row>
        <row r="326">
          <cell r="G326">
            <v>7669.2</v>
          </cell>
        </row>
        <row r="327">
          <cell r="G327">
            <v>396</v>
          </cell>
        </row>
        <row r="331">
          <cell r="G331">
            <v>396</v>
          </cell>
        </row>
        <row r="333">
          <cell r="G333">
            <v>23307.100000000002</v>
          </cell>
        </row>
        <row r="337">
          <cell r="G337">
            <v>2678.8</v>
          </cell>
        </row>
        <row r="338">
          <cell r="G338">
            <v>7.3</v>
          </cell>
        </row>
        <row r="340">
          <cell r="G340">
            <v>15988.8</v>
          </cell>
        </row>
        <row r="343">
          <cell r="G343">
            <v>83.2</v>
          </cell>
        </row>
        <row r="347">
          <cell r="G347">
            <v>170.4</v>
          </cell>
        </row>
        <row r="348">
          <cell r="G348">
            <v>2.5</v>
          </cell>
        </row>
        <row r="350">
          <cell r="G350">
            <v>177</v>
          </cell>
        </row>
        <row r="352">
          <cell r="G352">
            <v>4176.3</v>
          </cell>
        </row>
        <row r="353">
          <cell r="G353">
            <v>22.8</v>
          </cell>
        </row>
        <row r="356">
          <cell r="G356">
            <v>0</v>
          </cell>
        </row>
        <row r="360">
          <cell r="G360">
            <v>0</v>
          </cell>
        </row>
        <row r="367">
          <cell r="G367">
            <v>220.10000000000002</v>
          </cell>
        </row>
        <row r="370">
          <cell r="G370">
            <v>220.10000000000002</v>
          </cell>
        </row>
        <row r="375">
          <cell r="G375">
            <v>27900</v>
          </cell>
        </row>
        <row r="377">
          <cell r="G377">
            <v>10264.5</v>
          </cell>
        </row>
        <row r="382">
          <cell r="G382">
            <v>4100</v>
          </cell>
        </row>
        <row r="384">
          <cell r="G384">
            <v>1541.7</v>
          </cell>
        </row>
        <row r="389">
          <cell r="G389">
            <v>4547.8</v>
          </cell>
        </row>
        <row r="392">
          <cell r="G392">
            <v>75</v>
          </cell>
        </row>
        <row r="393">
          <cell r="G393">
            <v>64613.700000000004</v>
          </cell>
        </row>
        <row r="394">
          <cell r="G394">
            <v>64606.700000000004</v>
          </cell>
        </row>
        <row r="403">
          <cell r="G403">
            <v>250</v>
          </cell>
        </row>
        <row r="407">
          <cell r="G407">
            <v>42775.3</v>
          </cell>
        </row>
        <row r="408">
          <cell r="G408">
            <v>20850.2</v>
          </cell>
        </row>
        <row r="409">
          <cell r="G409">
            <v>26.9</v>
          </cell>
        </row>
        <row r="410">
          <cell r="G410">
            <v>704.3</v>
          </cell>
        </row>
        <row r="421">
          <cell r="G421">
            <v>7</v>
          </cell>
        </row>
        <row r="424">
          <cell r="G424">
            <v>7</v>
          </cell>
        </row>
        <row r="425">
          <cell r="G425">
            <v>825255</v>
          </cell>
        </row>
        <row r="429">
          <cell r="G429">
            <v>4242.6</v>
          </cell>
        </row>
        <row r="438">
          <cell r="G438">
            <v>699.2</v>
          </cell>
        </row>
        <row r="439">
          <cell r="G439">
            <v>1370.8</v>
          </cell>
        </row>
        <row r="441">
          <cell r="G441">
            <v>40867.7</v>
          </cell>
        </row>
        <row r="442">
          <cell r="G442">
            <v>8949.4</v>
          </cell>
        </row>
        <row r="443">
          <cell r="G443">
            <v>386</v>
          </cell>
        </row>
        <row r="450">
          <cell r="G450">
            <v>2250</v>
          </cell>
        </row>
        <row r="451">
          <cell r="G451">
            <v>111362</v>
          </cell>
        </row>
        <row r="453">
          <cell r="G453">
            <v>1443.5</v>
          </cell>
        </row>
        <row r="454">
          <cell r="G454">
            <v>93581.1</v>
          </cell>
        </row>
        <row r="456">
          <cell r="G456">
            <v>1.2</v>
          </cell>
        </row>
        <row r="457">
          <cell r="G457">
            <v>75.9</v>
          </cell>
        </row>
        <row r="460">
          <cell r="G460">
            <v>78774.5</v>
          </cell>
        </row>
        <row r="462">
          <cell r="G462">
            <v>3056.3</v>
          </cell>
        </row>
        <row r="463">
          <cell r="G463">
            <v>2700</v>
          </cell>
        </row>
        <row r="466">
          <cell r="G466">
            <v>8.2</v>
          </cell>
        </row>
        <row r="467">
          <cell r="G467">
            <v>537.6</v>
          </cell>
        </row>
        <row r="469">
          <cell r="G469">
            <v>593.2</v>
          </cell>
        </row>
        <row r="470">
          <cell r="G470">
            <v>39541</v>
          </cell>
        </row>
        <row r="472">
          <cell r="G472">
            <v>775.9</v>
          </cell>
        </row>
        <row r="473">
          <cell r="G473">
            <v>50874.9</v>
          </cell>
        </row>
        <row r="475">
          <cell r="G475">
            <v>6073.5</v>
          </cell>
        </row>
        <row r="476">
          <cell r="G476">
            <v>157596.9</v>
          </cell>
        </row>
        <row r="478">
          <cell r="G478">
            <v>23.4</v>
          </cell>
        </row>
        <row r="479">
          <cell r="G479">
            <v>1536.9</v>
          </cell>
        </row>
        <row r="481">
          <cell r="G481">
            <v>349.2</v>
          </cell>
        </row>
        <row r="482">
          <cell r="G482">
            <v>7973.1</v>
          </cell>
        </row>
        <row r="484">
          <cell r="G484">
            <v>1766.2</v>
          </cell>
        </row>
        <row r="485">
          <cell r="G485">
            <v>116675.4</v>
          </cell>
        </row>
        <row r="487">
          <cell r="G487">
            <v>49.2</v>
          </cell>
        </row>
        <row r="488">
          <cell r="G488">
            <v>885.1</v>
          </cell>
        </row>
        <row r="490">
          <cell r="G490">
            <v>3</v>
          </cell>
        </row>
        <row r="491">
          <cell r="G491">
            <v>190.4</v>
          </cell>
        </row>
        <row r="493">
          <cell r="G493">
            <v>236</v>
          </cell>
        </row>
        <row r="494">
          <cell r="G494">
            <v>6944.6</v>
          </cell>
        </row>
        <row r="496">
          <cell r="G496">
            <v>92.5</v>
          </cell>
        </row>
        <row r="497">
          <cell r="G497">
            <v>6164.7</v>
          </cell>
        </row>
        <row r="499">
          <cell r="G499">
            <v>25.6</v>
          </cell>
        </row>
        <row r="500">
          <cell r="G500">
            <v>1451.5</v>
          </cell>
        </row>
        <row r="501">
          <cell r="G501">
            <v>287.6</v>
          </cell>
        </row>
        <row r="503">
          <cell r="G503">
            <v>115.3</v>
          </cell>
        </row>
        <row r="504">
          <cell r="G504">
            <v>7687.8</v>
          </cell>
        </row>
        <row r="506">
          <cell r="G506">
            <v>5</v>
          </cell>
        </row>
        <row r="507">
          <cell r="G507">
            <v>250.3</v>
          </cell>
        </row>
        <row r="510">
          <cell r="G510">
            <v>648.9</v>
          </cell>
        </row>
        <row r="511">
          <cell r="G511">
            <v>304</v>
          </cell>
        </row>
        <row r="514">
          <cell r="G514">
            <v>295.4</v>
          </cell>
        </row>
        <row r="519">
          <cell r="G519">
            <v>96.7</v>
          </cell>
        </row>
        <row r="520">
          <cell r="G520">
            <v>6416.8</v>
          </cell>
        </row>
        <row r="522">
          <cell r="G522">
            <v>56.3</v>
          </cell>
        </row>
        <row r="523">
          <cell r="G523">
            <v>5335.7</v>
          </cell>
        </row>
        <row r="525">
          <cell r="G525">
            <v>356</v>
          </cell>
        </row>
        <row r="526">
          <cell r="G526">
            <v>22587.2</v>
          </cell>
        </row>
        <row r="530">
          <cell r="G530">
            <v>3568.5</v>
          </cell>
        </row>
        <row r="531">
          <cell r="G531">
            <v>12.6</v>
          </cell>
        </row>
        <row r="533">
          <cell r="G533">
            <v>3602.4</v>
          </cell>
        </row>
        <row r="534">
          <cell r="G534">
            <v>539.6</v>
          </cell>
        </row>
        <row r="535">
          <cell r="G535">
            <v>91.2</v>
          </cell>
        </row>
        <row r="537">
          <cell r="G537">
            <v>14572.9</v>
          </cell>
        </row>
        <row r="539">
          <cell r="G539">
            <v>4948.6</v>
          </cell>
        </row>
        <row r="540">
          <cell r="G540">
            <v>573.1</v>
          </cell>
        </row>
        <row r="543">
          <cell r="G543">
            <v>230</v>
          </cell>
        </row>
        <row r="544">
          <cell r="G544">
            <v>0.6</v>
          </cell>
        </row>
        <row r="546">
          <cell r="G546">
            <v>1224.6</v>
          </cell>
        </row>
        <row r="547">
          <cell r="G547">
            <v>21.1</v>
          </cell>
        </row>
        <row r="549">
          <cell r="G549">
            <v>0.2</v>
          </cell>
        </row>
        <row r="550">
          <cell r="G550">
            <v>1148.4</v>
          </cell>
        </row>
        <row r="553">
          <cell r="G553">
            <v>150</v>
          </cell>
        </row>
        <row r="555">
          <cell r="G555">
            <v>58284.3</v>
          </cell>
        </row>
        <row r="556">
          <cell r="G556">
            <v>57959.8</v>
          </cell>
        </row>
        <row r="560">
          <cell r="G560">
            <v>57959.8</v>
          </cell>
        </row>
        <row r="561">
          <cell r="G561">
            <v>324.5</v>
          </cell>
        </row>
        <row r="565">
          <cell r="G565">
            <v>200</v>
          </cell>
        </row>
        <row r="568">
          <cell r="G568">
            <v>124.5</v>
          </cell>
        </row>
        <row r="569">
          <cell r="G569">
            <v>10454.1</v>
          </cell>
        </row>
        <row r="576">
          <cell r="G576">
            <v>3228.9</v>
          </cell>
        </row>
        <row r="577">
          <cell r="G577">
            <v>619.4</v>
          </cell>
        </row>
        <row r="578">
          <cell r="G578">
            <v>6</v>
          </cell>
        </row>
        <row r="581">
          <cell r="G581">
            <v>700</v>
          </cell>
        </row>
        <row r="582">
          <cell r="G582">
            <v>1608.8</v>
          </cell>
        </row>
        <row r="583">
          <cell r="G583">
            <v>972</v>
          </cell>
        </row>
        <row r="589">
          <cell r="G589">
            <v>1000</v>
          </cell>
        </row>
        <row r="593">
          <cell r="G593">
            <v>468.6</v>
          </cell>
        </row>
        <row r="595">
          <cell r="G595">
            <v>158</v>
          </cell>
        </row>
        <row r="597">
          <cell r="G597">
            <v>1000</v>
          </cell>
        </row>
        <row r="601">
          <cell r="G601">
            <v>306.5</v>
          </cell>
        </row>
        <row r="605">
          <cell r="G605">
            <v>385.9</v>
          </cell>
        </row>
        <row r="619">
          <cell r="G619">
            <v>1676158.7000000002</v>
          </cell>
        </row>
        <row r="620">
          <cell r="G620">
            <v>677697.4</v>
          </cell>
        </row>
        <row r="624">
          <cell r="G624">
            <v>361178.7</v>
          </cell>
        </row>
        <row r="626">
          <cell r="G626">
            <v>185267</v>
          </cell>
        </row>
        <row r="629">
          <cell r="G629">
            <v>2593.2</v>
          </cell>
        </row>
        <row r="631">
          <cell r="G631">
            <v>10</v>
          </cell>
        </row>
        <row r="633">
          <cell r="G633">
            <v>4167.6</v>
          </cell>
        </row>
        <row r="635">
          <cell r="G635">
            <v>11329.5</v>
          </cell>
        </row>
        <row r="636">
          <cell r="G636">
            <v>25491.9</v>
          </cell>
        </row>
        <row r="637">
          <cell r="G637">
            <v>2273.8</v>
          </cell>
        </row>
        <row r="639">
          <cell r="G639">
            <v>58822.8</v>
          </cell>
        </row>
        <row r="640">
          <cell r="G640">
            <v>1445.2</v>
          </cell>
        </row>
        <row r="643">
          <cell r="G643">
            <v>11663.4</v>
          </cell>
        </row>
        <row r="644">
          <cell r="G644">
            <v>808.1</v>
          </cell>
        </row>
        <row r="645">
          <cell r="G645">
            <v>5497.3</v>
          </cell>
        </row>
        <row r="648">
          <cell r="G648">
            <v>2301.9</v>
          </cell>
        </row>
        <row r="649">
          <cell r="G649">
            <v>1700</v>
          </cell>
        </row>
        <row r="650">
          <cell r="G650">
            <v>145</v>
          </cell>
        </row>
        <row r="652">
          <cell r="G652">
            <v>410</v>
          </cell>
        </row>
        <row r="653">
          <cell r="G653">
            <v>2592</v>
          </cell>
        </row>
        <row r="654">
          <cell r="G654">
            <v>916601.9</v>
          </cell>
        </row>
        <row r="658">
          <cell r="G658">
            <v>92744.9</v>
          </cell>
        </row>
        <row r="661">
          <cell r="G661">
            <v>250</v>
          </cell>
        </row>
        <row r="663">
          <cell r="G663">
            <v>1415.1</v>
          </cell>
        </row>
        <row r="665">
          <cell r="G665">
            <v>4754.2</v>
          </cell>
        </row>
        <row r="667">
          <cell r="G667">
            <v>280209.5</v>
          </cell>
        </row>
        <row r="669">
          <cell r="G669">
            <v>37730.3</v>
          </cell>
        </row>
        <row r="670">
          <cell r="G670">
            <v>46830.8</v>
          </cell>
        </row>
        <row r="671">
          <cell r="G671">
            <v>15731.4</v>
          </cell>
        </row>
        <row r="673">
          <cell r="G673">
            <v>4549</v>
          </cell>
        </row>
        <row r="675">
          <cell r="G675">
            <v>308465.1</v>
          </cell>
        </row>
        <row r="676">
          <cell r="G676">
            <v>4025.2</v>
          </cell>
        </row>
        <row r="677">
          <cell r="G677">
            <v>15.6</v>
          </cell>
        </row>
        <row r="683">
          <cell r="G683">
            <v>49927.5</v>
          </cell>
        </row>
        <row r="686">
          <cell r="G686">
            <v>6971.6</v>
          </cell>
        </row>
        <row r="689">
          <cell r="G689">
            <v>2687.8</v>
          </cell>
        </row>
        <row r="690">
          <cell r="G690">
            <v>3094.7</v>
          </cell>
        </row>
        <row r="691">
          <cell r="G691">
            <v>947.2</v>
          </cell>
        </row>
        <row r="693">
          <cell r="G693">
            <v>35190.7</v>
          </cell>
        </row>
        <row r="694">
          <cell r="G694">
            <v>11943.4</v>
          </cell>
        </row>
        <row r="698">
          <cell r="G698">
            <v>6181.3</v>
          </cell>
        </row>
        <row r="701">
          <cell r="G701">
            <v>43.5</v>
          </cell>
        </row>
        <row r="702">
          <cell r="G702">
            <v>506.1</v>
          </cell>
        </row>
        <row r="705">
          <cell r="G705">
            <v>2086</v>
          </cell>
        </row>
        <row r="706">
          <cell r="G706">
            <v>200</v>
          </cell>
        </row>
        <row r="708">
          <cell r="G708">
            <v>101</v>
          </cell>
        </row>
        <row r="709">
          <cell r="G709">
            <v>46849.600000000006</v>
          </cell>
        </row>
        <row r="716">
          <cell r="G716">
            <v>396.4</v>
          </cell>
        </row>
        <row r="718">
          <cell r="G718">
            <v>1714.3</v>
          </cell>
        </row>
        <row r="719">
          <cell r="G719">
            <v>147.8</v>
          </cell>
        </row>
        <row r="720">
          <cell r="G720">
            <v>11.8</v>
          </cell>
        </row>
        <row r="725">
          <cell r="G725">
            <v>2450.2</v>
          </cell>
        </row>
        <row r="726">
          <cell r="G726">
            <v>2290.4</v>
          </cell>
        </row>
        <row r="727">
          <cell r="G727">
            <v>19764.3</v>
          </cell>
        </row>
        <row r="729">
          <cell r="G729">
            <v>3816.5</v>
          </cell>
        </row>
        <row r="730">
          <cell r="G730">
            <v>4413.2</v>
          </cell>
        </row>
        <row r="731">
          <cell r="G731">
            <v>11105.7</v>
          </cell>
        </row>
        <row r="735">
          <cell r="G735">
            <v>220.1</v>
          </cell>
        </row>
        <row r="738">
          <cell r="G738">
            <v>415.2</v>
          </cell>
        </row>
        <row r="739">
          <cell r="G739">
            <v>103.7</v>
          </cell>
        </row>
        <row r="740">
          <cell r="G740">
            <v>35009.8</v>
          </cell>
        </row>
        <row r="743">
          <cell r="G743">
            <v>31386.6</v>
          </cell>
        </row>
        <row r="744">
          <cell r="G744">
            <v>3084.9</v>
          </cell>
        </row>
        <row r="745">
          <cell r="G745">
            <v>408.3</v>
          </cell>
        </row>
        <row r="748">
          <cell r="G748">
            <v>30</v>
          </cell>
        </row>
        <row r="750">
          <cell r="G750">
            <v>100</v>
          </cell>
        </row>
        <row r="751">
          <cell r="G751">
            <v>36491.3</v>
          </cell>
        </row>
        <row r="755">
          <cell r="G755">
            <v>9427.8</v>
          </cell>
        </row>
        <row r="759">
          <cell r="G759">
            <v>27063.5</v>
          </cell>
        </row>
        <row r="761">
          <cell r="G761">
            <v>58992.2</v>
          </cell>
        </row>
        <row r="762">
          <cell r="G762">
            <v>58685</v>
          </cell>
        </row>
        <row r="766">
          <cell r="G766">
            <v>58324.5</v>
          </cell>
        </row>
        <row r="769">
          <cell r="G769">
            <v>310.5</v>
          </cell>
        </row>
        <row r="771">
          <cell r="G771">
            <v>50</v>
          </cell>
        </row>
        <row r="777">
          <cell r="G777">
            <v>307.2</v>
          </cell>
        </row>
        <row r="785">
          <cell r="G785">
            <v>102.2</v>
          </cell>
        </row>
        <row r="786">
          <cell r="G786">
            <v>95.8</v>
          </cell>
        </row>
        <row r="789">
          <cell r="G789">
            <v>109.2</v>
          </cell>
        </row>
        <row r="790">
          <cell r="G790">
            <v>117311.3</v>
          </cell>
        </row>
        <row r="795">
          <cell r="G795">
            <v>38299.5</v>
          </cell>
        </row>
        <row r="798">
          <cell r="G798">
            <v>43</v>
          </cell>
        </row>
        <row r="800">
          <cell r="G800">
            <v>17343.9</v>
          </cell>
        </row>
        <row r="801">
          <cell r="G801">
            <v>5564.4</v>
          </cell>
        </row>
        <row r="802">
          <cell r="G802">
            <v>384.1</v>
          </cell>
        </row>
        <row r="821">
          <cell r="G821">
            <v>7629.9</v>
          </cell>
        </row>
        <row r="828">
          <cell r="G828">
            <v>80</v>
          </cell>
        </row>
        <row r="831">
          <cell r="G831">
            <v>35195</v>
          </cell>
        </row>
        <row r="832">
          <cell r="G832">
            <v>4062.8</v>
          </cell>
        </row>
        <row r="833">
          <cell r="G833">
            <v>563.4</v>
          </cell>
        </row>
        <row r="850">
          <cell r="G850">
            <v>6337.7</v>
          </cell>
        </row>
        <row r="851">
          <cell r="G851">
            <v>602.2</v>
          </cell>
        </row>
        <row r="852">
          <cell r="G852">
            <v>5.4</v>
          </cell>
        </row>
        <row r="860">
          <cell r="G860">
            <v>200</v>
          </cell>
        </row>
        <row r="861">
          <cell r="G861">
            <v>1000</v>
          </cell>
        </row>
        <row r="865">
          <cell r="G865">
            <v>41.5</v>
          </cell>
        </row>
        <row r="866">
          <cell r="G866">
            <v>41.5</v>
          </cell>
        </row>
        <row r="869">
          <cell r="G869">
            <v>41.5</v>
          </cell>
        </row>
        <row r="870">
          <cell r="G870">
            <v>52111.7</v>
          </cell>
        </row>
        <row r="873">
          <cell r="G873">
            <v>930.2</v>
          </cell>
        </row>
        <row r="883">
          <cell r="G883">
            <v>7217.6</v>
          </cell>
        </row>
        <row r="893">
          <cell r="G893">
            <v>10009.3</v>
          </cell>
        </row>
        <row r="898">
          <cell r="G898">
            <v>38.2</v>
          </cell>
        </row>
        <row r="902">
          <cell r="G902">
            <v>61.8</v>
          </cell>
        </row>
        <row r="904">
          <cell r="G904">
            <v>12295.4</v>
          </cell>
        </row>
        <row r="910">
          <cell r="G910">
            <v>779.2</v>
          </cell>
        </row>
        <row r="915">
          <cell r="G915">
            <v>100</v>
          </cell>
        </row>
        <row r="918">
          <cell r="G918">
            <v>11353.9</v>
          </cell>
        </row>
        <row r="919">
          <cell r="G919">
            <v>1472.8</v>
          </cell>
        </row>
        <row r="920">
          <cell r="G920">
            <v>47.1</v>
          </cell>
        </row>
        <row r="923">
          <cell r="G923">
            <v>7806.2</v>
          </cell>
        </row>
        <row r="924">
          <cell r="G924">
            <v>3662731.3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7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9.75390625" style="427" customWidth="1"/>
    <col min="2" max="2" width="21.125" style="400" customWidth="1"/>
    <col min="3" max="3" width="73.125" style="428" customWidth="1"/>
  </cols>
  <sheetData>
    <row r="1" spans="1:3" ht="12.75">
      <c r="A1" s="399"/>
      <c r="C1" s="401" t="s">
        <v>1032</v>
      </c>
    </row>
    <row r="2" spans="1:3" ht="12.75">
      <c r="A2" s="399"/>
      <c r="C2" s="401" t="s">
        <v>1107</v>
      </c>
    </row>
    <row r="3" spans="1:3" ht="12.75">
      <c r="A3" s="399"/>
      <c r="C3" s="401" t="s">
        <v>750</v>
      </c>
    </row>
    <row r="4" spans="1:3" ht="12.75">
      <c r="A4" s="399"/>
      <c r="C4" s="402" t="s">
        <v>1108</v>
      </c>
    </row>
    <row r="5" spans="1:3" ht="15.75">
      <c r="A5" s="630" t="s">
        <v>784</v>
      </c>
      <c r="B5" s="630"/>
      <c r="C5" s="630"/>
    </row>
    <row r="6" spans="1:3" ht="12.75">
      <c r="A6" s="631"/>
      <c r="B6" s="631"/>
      <c r="C6" s="403"/>
    </row>
    <row r="7" spans="1:3" ht="12.75">
      <c r="A7" s="632" t="s">
        <v>751</v>
      </c>
      <c r="B7" s="632"/>
      <c r="C7" s="632" t="s">
        <v>785</v>
      </c>
    </row>
    <row r="8" spans="1:3" ht="51">
      <c r="A8" s="404" t="s">
        <v>786</v>
      </c>
      <c r="B8" s="404" t="s">
        <v>787</v>
      </c>
      <c r="C8" s="632"/>
    </row>
    <row r="9" spans="1:3" ht="18">
      <c r="A9" s="621" t="s">
        <v>788</v>
      </c>
      <c r="B9" s="622"/>
      <c r="C9" s="405" t="s">
        <v>789</v>
      </c>
    </row>
    <row r="10" spans="1:3" ht="25.5">
      <c r="A10" s="406" t="s">
        <v>788</v>
      </c>
      <c r="B10" s="407" t="s">
        <v>790</v>
      </c>
      <c r="C10" s="408" t="s">
        <v>791</v>
      </c>
    </row>
    <row r="11" spans="1:3" ht="18">
      <c r="A11" s="621" t="s">
        <v>792</v>
      </c>
      <c r="B11" s="622"/>
      <c r="C11" s="405" t="s">
        <v>793</v>
      </c>
    </row>
    <row r="12" spans="1:3" ht="25.5">
      <c r="A12" s="406" t="s">
        <v>792</v>
      </c>
      <c r="B12" s="407" t="s">
        <v>794</v>
      </c>
      <c r="C12" s="408" t="s">
        <v>795</v>
      </c>
    </row>
    <row r="13" spans="1:3" ht="30.75">
      <c r="A13" s="621" t="s">
        <v>796</v>
      </c>
      <c r="B13" s="622"/>
      <c r="C13" s="405" t="s">
        <v>797</v>
      </c>
    </row>
    <row r="14" spans="1:3" ht="25.5">
      <c r="A14" s="406" t="s">
        <v>796</v>
      </c>
      <c r="B14" s="407" t="s">
        <v>798</v>
      </c>
      <c r="C14" s="409" t="s">
        <v>799</v>
      </c>
    </row>
    <row r="15" spans="1:3" ht="25.5">
      <c r="A15" s="406" t="s">
        <v>796</v>
      </c>
      <c r="B15" s="407" t="s">
        <v>800</v>
      </c>
      <c r="C15" s="409" t="s">
        <v>801</v>
      </c>
    </row>
    <row r="16" spans="1:3" ht="25.5">
      <c r="A16" s="406" t="s">
        <v>796</v>
      </c>
      <c r="B16" s="407" t="s">
        <v>802</v>
      </c>
      <c r="C16" s="409" t="s">
        <v>803</v>
      </c>
    </row>
    <row r="17" spans="1:3" ht="25.5">
      <c r="A17" s="406" t="s">
        <v>796</v>
      </c>
      <c r="B17" s="407" t="s">
        <v>804</v>
      </c>
      <c r="C17" s="409" t="s">
        <v>805</v>
      </c>
    </row>
    <row r="18" spans="1:3" ht="25.5">
      <c r="A18" s="406" t="s">
        <v>796</v>
      </c>
      <c r="B18" s="407" t="s">
        <v>806</v>
      </c>
      <c r="C18" s="409" t="s">
        <v>807</v>
      </c>
    </row>
    <row r="19" spans="1:3" ht="30.75">
      <c r="A19" s="621" t="s">
        <v>808</v>
      </c>
      <c r="B19" s="622"/>
      <c r="C19" s="405" t="s">
        <v>809</v>
      </c>
    </row>
    <row r="20" spans="1:3" ht="25.5">
      <c r="A20" s="406" t="s">
        <v>808</v>
      </c>
      <c r="B20" s="407" t="s">
        <v>794</v>
      </c>
      <c r="C20" s="408" t="s">
        <v>795</v>
      </c>
    </row>
    <row r="21" spans="1:3" ht="18">
      <c r="A21" s="621" t="s">
        <v>810</v>
      </c>
      <c r="B21" s="622"/>
      <c r="C21" s="410" t="s">
        <v>811</v>
      </c>
    </row>
    <row r="22" spans="1:3" ht="25.5">
      <c r="A22" s="406" t="s">
        <v>810</v>
      </c>
      <c r="B22" s="407" t="s">
        <v>794</v>
      </c>
      <c r="C22" s="408" t="s">
        <v>795</v>
      </c>
    </row>
    <row r="23" spans="1:3" ht="30.75">
      <c r="A23" s="621" t="s">
        <v>812</v>
      </c>
      <c r="B23" s="622"/>
      <c r="C23" s="405" t="s">
        <v>813</v>
      </c>
    </row>
    <row r="24" spans="1:3" ht="25.5">
      <c r="A24" s="406" t="s">
        <v>812</v>
      </c>
      <c r="B24" s="407" t="s">
        <v>814</v>
      </c>
      <c r="C24" s="409" t="s">
        <v>815</v>
      </c>
    </row>
    <row r="25" spans="1:3" ht="18">
      <c r="A25" s="621" t="s">
        <v>816</v>
      </c>
      <c r="B25" s="622"/>
      <c r="C25" s="405" t="s">
        <v>817</v>
      </c>
    </row>
    <row r="26" spans="1:3" ht="25.5">
      <c r="A26" s="406" t="s">
        <v>816</v>
      </c>
      <c r="B26" s="407" t="s">
        <v>790</v>
      </c>
      <c r="C26" s="408" t="s">
        <v>791</v>
      </c>
    </row>
    <row r="27" spans="1:3" ht="38.25">
      <c r="A27" s="406" t="s">
        <v>816</v>
      </c>
      <c r="B27" s="407" t="s">
        <v>818</v>
      </c>
      <c r="C27" s="409" t="s">
        <v>819</v>
      </c>
    </row>
    <row r="28" spans="1:3" ht="25.5">
      <c r="A28" s="406" t="s">
        <v>816</v>
      </c>
      <c r="B28" s="407" t="s">
        <v>794</v>
      </c>
      <c r="C28" s="408" t="s">
        <v>795</v>
      </c>
    </row>
    <row r="29" spans="1:3" ht="51">
      <c r="A29" s="623">
        <v>188</v>
      </c>
      <c r="B29" s="624"/>
      <c r="C29" s="410" t="s">
        <v>820</v>
      </c>
    </row>
    <row r="30" spans="1:3" ht="12.75">
      <c r="A30" s="623">
        <v>283</v>
      </c>
      <c r="B30" s="624"/>
      <c r="C30" s="410" t="s">
        <v>200</v>
      </c>
    </row>
    <row r="31" spans="1:3" ht="51">
      <c r="A31" s="404">
        <v>283</v>
      </c>
      <c r="B31" s="407" t="s">
        <v>821</v>
      </c>
      <c r="C31" s="408" t="s">
        <v>822</v>
      </c>
    </row>
    <row r="32" spans="1:3" ht="25.5">
      <c r="A32" s="404">
        <v>283</v>
      </c>
      <c r="B32" s="407" t="s">
        <v>823</v>
      </c>
      <c r="C32" s="408" t="s">
        <v>824</v>
      </c>
    </row>
    <row r="33" spans="1:3" ht="63.75">
      <c r="A33" s="404">
        <v>283</v>
      </c>
      <c r="B33" s="407" t="s">
        <v>825</v>
      </c>
      <c r="C33" s="408" t="s">
        <v>826</v>
      </c>
    </row>
    <row r="34" spans="1:3" ht="38.25">
      <c r="A34" s="404">
        <v>283</v>
      </c>
      <c r="B34" s="407" t="s">
        <v>827</v>
      </c>
      <c r="C34" s="408" t="s">
        <v>828</v>
      </c>
    </row>
    <row r="35" spans="1:3" ht="25.5">
      <c r="A35" s="404">
        <v>283</v>
      </c>
      <c r="B35" s="407" t="s">
        <v>829</v>
      </c>
      <c r="C35" s="408" t="s">
        <v>830</v>
      </c>
    </row>
    <row r="36" spans="1:3" ht="51">
      <c r="A36" s="404">
        <v>283</v>
      </c>
      <c r="B36" s="407" t="s">
        <v>831</v>
      </c>
      <c r="C36" s="411" t="s">
        <v>832</v>
      </c>
    </row>
    <row r="37" spans="1:3" ht="51">
      <c r="A37" s="404">
        <v>283</v>
      </c>
      <c r="B37" s="407" t="s">
        <v>833</v>
      </c>
      <c r="C37" s="411" t="s">
        <v>834</v>
      </c>
    </row>
    <row r="38" spans="1:3" ht="51">
      <c r="A38" s="404">
        <v>283</v>
      </c>
      <c r="B38" s="407" t="s">
        <v>835</v>
      </c>
      <c r="C38" s="411" t="s">
        <v>836</v>
      </c>
    </row>
    <row r="39" spans="1:3" ht="25.5">
      <c r="A39" s="404">
        <v>283</v>
      </c>
      <c r="B39" s="407" t="s">
        <v>837</v>
      </c>
      <c r="C39" s="412" t="s">
        <v>838</v>
      </c>
    </row>
    <row r="40" spans="1:3" ht="38.25">
      <c r="A40" s="404">
        <v>283</v>
      </c>
      <c r="B40" s="407" t="s">
        <v>839</v>
      </c>
      <c r="C40" s="408" t="s">
        <v>840</v>
      </c>
    </row>
    <row r="41" spans="1:3" ht="51">
      <c r="A41" s="404">
        <v>283</v>
      </c>
      <c r="B41" s="407" t="s">
        <v>841</v>
      </c>
      <c r="C41" s="408" t="s">
        <v>842</v>
      </c>
    </row>
    <row r="42" spans="1:3" ht="51">
      <c r="A42" s="404">
        <v>283</v>
      </c>
      <c r="B42" s="407" t="s">
        <v>843</v>
      </c>
      <c r="C42" s="408" t="s">
        <v>844</v>
      </c>
    </row>
    <row r="43" spans="1:3" ht="12.75">
      <c r="A43" s="404">
        <v>283</v>
      </c>
      <c r="B43" s="407" t="s">
        <v>845</v>
      </c>
      <c r="C43" s="408" t="s">
        <v>846</v>
      </c>
    </row>
    <row r="44" spans="1:3" ht="63.75">
      <c r="A44" s="404">
        <v>283</v>
      </c>
      <c r="B44" s="407" t="s">
        <v>847</v>
      </c>
      <c r="C44" s="411" t="s">
        <v>848</v>
      </c>
    </row>
    <row r="45" spans="1:3" ht="63.75">
      <c r="A45" s="404">
        <v>283</v>
      </c>
      <c r="B45" s="407" t="s">
        <v>849</v>
      </c>
      <c r="C45" s="411" t="s">
        <v>850</v>
      </c>
    </row>
    <row r="46" spans="1:3" ht="25.5">
      <c r="A46" s="404">
        <v>283</v>
      </c>
      <c r="B46" s="407" t="s">
        <v>851</v>
      </c>
      <c r="C46" s="408" t="s">
        <v>852</v>
      </c>
    </row>
    <row r="47" spans="1:3" ht="25.5">
      <c r="A47" s="404">
        <v>283</v>
      </c>
      <c r="B47" s="407" t="s">
        <v>853</v>
      </c>
      <c r="C47" s="408" t="s">
        <v>854</v>
      </c>
    </row>
    <row r="48" spans="1:3" ht="38.25">
      <c r="A48" s="404">
        <v>283</v>
      </c>
      <c r="B48" s="407" t="s">
        <v>855</v>
      </c>
      <c r="C48" s="408" t="s">
        <v>856</v>
      </c>
    </row>
    <row r="49" spans="1:3" ht="38.25">
      <c r="A49" s="413">
        <v>283</v>
      </c>
      <c r="B49" s="414" t="s">
        <v>857</v>
      </c>
      <c r="C49" s="415" t="s">
        <v>858</v>
      </c>
    </row>
    <row r="50" spans="1:3" ht="12.75">
      <c r="A50" s="404">
        <v>283</v>
      </c>
      <c r="B50" s="416" t="s">
        <v>859</v>
      </c>
      <c r="C50" s="417" t="s">
        <v>860</v>
      </c>
    </row>
    <row r="51" spans="1:3" ht="38.25">
      <c r="A51" s="404">
        <v>283</v>
      </c>
      <c r="B51" s="416" t="s">
        <v>861</v>
      </c>
      <c r="C51" s="417" t="s">
        <v>862</v>
      </c>
    </row>
    <row r="52" spans="1:3" ht="51">
      <c r="A52" s="404">
        <v>283</v>
      </c>
      <c r="B52" s="416" t="s">
        <v>863</v>
      </c>
      <c r="C52" s="408" t="s">
        <v>864</v>
      </c>
    </row>
    <row r="53" spans="1:3" ht="25.5">
      <c r="A53" s="404">
        <v>283</v>
      </c>
      <c r="B53" s="416" t="s">
        <v>865</v>
      </c>
      <c r="C53" s="417" t="s">
        <v>866</v>
      </c>
    </row>
    <row r="54" spans="1:3" ht="25.5">
      <c r="A54" s="413">
        <v>283</v>
      </c>
      <c r="B54" s="418" t="s">
        <v>867</v>
      </c>
      <c r="C54" s="419" t="s">
        <v>868</v>
      </c>
    </row>
    <row r="55" spans="1:3" ht="51">
      <c r="A55" s="404">
        <v>283</v>
      </c>
      <c r="B55" s="407" t="s">
        <v>869</v>
      </c>
      <c r="C55" s="408" t="s">
        <v>870</v>
      </c>
    </row>
    <row r="56" spans="1:3" ht="51">
      <c r="A56" s="404">
        <v>283</v>
      </c>
      <c r="B56" s="407" t="s">
        <v>871</v>
      </c>
      <c r="C56" s="408" t="s">
        <v>872</v>
      </c>
    </row>
    <row r="57" spans="1:3" ht="63.75">
      <c r="A57" s="404">
        <v>283</v>
      </c>
      <c r="B57" s="407" t="s">
        <v>873</v>
      </c>
      <c r="C57" s="408" t="s">
        <v>874</v>
      </c>
    </row>
    <row r="58" spans="1:3" ht="25.5">
      <c r="A58" s="404">
        <v>283</v>
      </c>
      <c r="B58" s="407" t="s">
        <v>875</v>
      </c>
      <c r="C58" s="408" t="s">
        <v>876</v>
      </c>
    </row>
    <row r="59" spans="1:3" ht="38.25">
      <c r="A59" s="404">
        <v>283</v>
      </c>
      <c r="B59" s="407" t="s">
        <v>877</v>
      </c>
      <c r="C59" s="408" t="s">
        <v>878</v>
      </c>
    </row>
    <row r="60" spans="1:3" ht="51">
      <c r="A60" s="404">
        <v>283</v>
      </c>
      <c r="B60" s="407" t="s">
        <v>879</v>
      </c>
      <c r="C60" s="408" t="s">
        <v>880</v>
      </c>
    </row>
    <row r="61" spans="1:3" ht="25.5">
      <c r="A61" s="404">
        <v>283</v>
      </c>
      <c r="B61" s="416" t="s">
        <v>881</v>
      </c>
      <c r="C61" s="408" t="s">
        <v>882</v>
      </c>
    </row>
    <row r="62" spans="1:3" ht="25.5">
      <c r="A62" s="404">
        <v>283</v>
      </c>
      <c r="B62" s="407" t="s">
        <v>883</v>
      </c>
      <c r="C62" s="408" t="s">
        <v>884</v>
      </c>
    </row>
    <row r="63" spans="1:3" ht="38.25">
      <c r="A63" s="404">
        <v>283</v>
      </c>
      <c r="B63" s="407" t="s">
        <v>885</v>
      </c>
      <c r="C63" s="408" t="s">
        <v>886</v>
      </c>
    </row>
    <row r="64" spans="1:3" ht="51">
      <c r="A64" s="404">
        <v>283</v>
      </c>
      <c r="B64" s="407" t="s">
        <v>887</v>
      </c>
      <c r="C64" s="408" t="s">
        <v>888</v>
      </c>
    </row>
    <row r="65" spans="1:3" ht="38.25">
      <c r="A65" s="413">
        <v>283</v>
      </c>
      <c r="B65" s="414" t="s">
        <v>889</v>
      </c>
      <c r="C65" s="415" t="s">
        <v>890</v>
      </c>
    </row>
    <row r="66" spans="1:3" ht="25.5">
      <c r="A66" s="404">
        <v>283</v>
      </c>
      <c r="B66" s="407" t="s">
        <v>891</v>
      </c>
      <c r="C66" s="408" t="s">
        <v>892</v>
      </c>
    </row>
    <row r="67" spans="1:3" ht="38.25">
      <c r="A67" s="623">
        <v>284</v>
      </c>
      <c r="B67" s="624"/>
      <c r="C67" s="405" t="s">
        <v>752</v>
      </c>
    </row>
    <row r="68" spans="1:3" ht="25.5">
      <c r="A68" s="404">
        <v>284</v>
      </c>
      <c r="B68" s="407" t="s">
        <v>893</v>
      </c>
      <c r="C68" s="408" t="s">
        <v>894</v>
      </c>
    </row>
    <row r="69" spans="1:3" ht="25.5">
      <c r="A69" s="404">
        <v>284</v>
      </c>
      <c r="B69" s="407" t="s">
        <v>895</v>
      </c>
      <c r="C69" s="408" t="s">
        <v>896</v>
      </c>
    </row>
    <row r="70" spans="1:3" ht="25.5">
      <c r="A70" s="404">
        <v>284</v>
      </c>
      <c r="B70" s="407" t="s">
        <v>897</v>
      </c>
      <c r="C70" s="420" t="s">
        <v>898</v>
      </c>
    </row>
    <row r="71" spans="1:3" ht="25.5">
      <c r="A71" s="404">
        <v>284</v>
      </c>
      <c r="B71" s="407" t="s">
        <v>899</v>
      </c>
      <c r="C71" s="408" t="s">
        <v>900</v>
      </c>
    </row>
    <row r="72" spans="1:3" ht="63.75">
      <c r="A72" s="404">
        <v>284</v>
      </c>
      <c r="B72" s="407" t="s">
        <v>901</v>
      </c>
      <c r="C72" s="408" t="s">
        <v>902</v>
      </c>
    </row>
    <row r="73" spans="1:3" ht="25.5">
      <c r="A73" s="621" t="s">
        <v>262</v>
      </c>
      <c r="B73" s="622"/>
      <c r="C73" s="405" t="s">
        <v>903</v>
      </c>
    </row>
    <row r="74" spans="1:3" ht="25.5">
      <c r="A74" s="404">
        <v>285</v>
      </c>
      <c r="B74" s="407" t="s">
        <v>904</v>
      </c>
      <c r="C74" s="408" t="s">
        <v>905</v>
      </c>
    </row>
    <row r="75" spans="1:3" ht="38.25">
      <c r="A75" s="413">
        <v>285</v>
      </c>
      <c r="B75" s="414" t="s">
        <v>906</v>
      </c>
      <c r="C75" s="415" t="s">
        <v>907</v>
      </c>
    </row>
    <row r="76" spans="1:3" ht="38.25">
      <c r="A76" s="404">
        <v>285</v>
      </c>
      <c r="B76" s="407" t="s">
        <v>908</v>
      </c>
      <c r="C76" s="408" t="s">
        <v>909</v>
      </c>
    </row>
    <row r="77" spans="1:3" ht="38.25">
      <c r="A77" s="404">
        <v>285</v>
      </c>
      <c r="B77" s="407" t="s">
        <v>910</v>
      </c>
      <c r="C77" s="408" t="s">
        <v>911</v>
      </c>
    </row>
    <row r="78" spans="1:3" ht="25.5">
      <c r="A78" s="404">
        <v>285</v>
      </c>
      <c r="B78" s="407" t="s">
        <v>912</v>
      </c>
      <c r="C78" s="408" t="s">
        <v>913</v>
      </c>
    </row>
    <row r="79" spans="1:3" ht="38.25">
      <c r="A79" s="404">
        <v>285</v>
      </c>
      <c r="B79" s="407" t="s">
        <v>914</v>
      </c>
      <c r="C79" s="408" t="s">
        <v>915</v>
      </c>
    </row>
    <row r="80" spans="1:3" ht="63.75">
      <c r="A80" s="413">
        <v>285</v>
      </c>
      <c r="B80" s="414" t="s">
        <v>916</v>
      </c>
      <c r="C80" s="415" t="s">
        <v>917</v>
      </c>
    </row>
    <row r="81" spans="1:3" ht="25.5">
      <c r="A81" s="623">
        <v>287</v>
      </c>
      <c r="B81" s="624"/>
      <c r="C81" s="410" t="s">
        <v>488</v>
      </c>
    </row>
    <row r="82" spans="1:3" ht="38.25">
      <c r="A82" s="413">
        <v>287</v>
      </c>
      <c r="B82" s="414" t="s">
        <v>918</v>
      </c>
      <c r="C82" s="415" t="s">
        <v>919</v>
      </c>
    </row>
    <row r="83" spans="1:3" ht="25.5">
      <c r="A83" s="623">
        <v>288</v>
      </c>
      <c r="B83" s="624"/>
      <c r="C83" s="410" t="s">
        <v>920</v>
      </c>
    </row>
    <row r="84" spans="1:3" ht="51">
      <c r="A84" s="413">
        <v>288</v>
      </c>
      <c r="B84" s="414" t="s">
        <v>921</v>
      </c>
      <c r="C84" s="419" t="s">
        <v>922</v>
      </c>
    </row>
    <row r="85" spans="1:3" ht="38.25">
      <c r="A85" s="413">
        <v>288</v>
      </c>
      <c r="B85" s="414" t="s">
        <v>923</v>
      </c>
      <c r="C85" s="415" t="s">
        <v>924</v>
      </c>
    </row>
    <row r="86" spans="1:3" ht="25.5">
      <c r="A86" s="413">
        <v>288</v>
      </c>
      <c r="B86" s="414" t="s">
        <v>925</v>
      </c>
      <c r="C86" s="415" t="s">
        <v>926</v>
      </c>
    </row>
    <row r="87" spans="1:3" ht="25.5">
      <c r="A87" s="413">
        <v>288</v>
      </c>
      <c r="B87" s="414" t="s">
        <v>927</v>
      </c>
      <c r="C87" s="415" t="s">
        <v>928</v>
      </c>
    </row>
    <row r="88" spans="1:3" ht="25.5">
      <c r="A88" s="404">
        <v>288</v>
      </c>
      <c r="B88" s="407" t="s">
        <v>929</v>
      </c>
      <c r="C88" s="408" t="s">
        <v>930</v>
      </c>
    </row>
    <row r="89" spans="1:3" ht="51">
      <c r="A89" s="404">
        <v>288</v>
      </c>
      <c r="B89" s="407" t="s">
        <v>931</v>
      </c>
      <c r="C89" s="408" t="s">
        <v>932</v>
      </c>
    </row>
    <row r="90" spans="1:3" ht="25.5">
      <c r="A90" s="623">
        <v>289</v>
      </c>
      <c r="B90" s="624"/>
      <c r="C90" s="410" t="s">
        <v>933</v>
      </c>
    </row>
    <row r="91" spans="1:3" ht="25.5">
      <c r="A91" s="404">
        <v>289</v>
      </c>
      <c r="B91" s="421" t="s">
        <v>934</v>
      </c>
      <c r="C91" s="408" t="s">
        <v>935</v>
      </c>
    </row>
    <row r="92" spans="1:3" ht="51">
      <c r="A92" s="413">
        <v>289</v>
      </c>
      <c r="B92" s="422" t="s">
        <v>936</v>
      </c>
      <c r="C92" s="415" t="s">
        <v>937</v>
      </c>
    </row>
    <row r="93" spans="1:3" ht="25.5">
      <c r="A93" s="621" t="s">
        <v>266</v>
      </c>
      <c r="B93" s="622"/>
      <c r="C93" s="410" t="s">
        <v>938</v>
      </c>
    </row>
    <row r="94" spans="1:3" ht="25.5">
      <c r="A94" s="413">
        <v>290</v>
      </c>
      <c r="B94" s="418" t="s">
        <v>867</v>
      </c>
      <c r="C94" s="419" t="s">
        <v>868</v>
      </c>
    </row>
    <row r="95" spans="1:3" ht="51">
      <c r="A95" s="404">
        <v>290</v>
      </c>
      <c r="B95" s="407" t="s">
        <v>939</v>
      </c>
      <c r="C95" s="408" t="s">
        <v>940</v>
      </c>
    </row>
    <row r="96" spans="1:3" ht="12.75">
      <c r="A96" s="623">
        <v>291</v>
      </c>
      <c r="B96" s="624"/>
      <c r="C96" s="410" t="s">
        <v>941</v>
      </c>
    </row>
    <row r="97" spans="1:3" ht="12.75">
      <c r="A97" s="623">
        <v>292</v>
      </c>
      <c r="B97" s="624"/>
      <c r="C97" s="405" t="s">
        <v>942</v>
      </c>
    </row>
    <row r="98" spans="1:3" ht="51">
      <c r="A98" s="625"/>
      <c r="B98" s="626"/>
      <c r="C98" s="423" t="s">
        <v>943</v>
      </c>
    </row>
    <row r="99" spans="1:3" ht="38.25">
      <c r="A99" s="413"/>
      <c r="B99" s="414" t="s">
        <v>944</v>
      </c>
      <c r="C99" s="419" t="s">
        <v>945</v>
      </c>
    </row>
    <row r="100" spans="1:3" ht="51">
      <c r="A100" s="413"/>
      <c r="B100" s="414" t="s">
        <v>835</v>
      </c>
      <c r="C100" s="424" t="s">
        <v>836</v>
      </c>
    </row>
    <row r="101" spans="1:3" ht="38.25">
      <c r="A101" s="425"/>
      <c r="B101" s="414" t="s">
        <v>946</v>
      </c>
      <c r="C101" s="424" t="s">
        <v>947</v>
      </c>
    </row>
    <row r="102" spans="1:3" ht="25.5">
      <c r="A102" s="426"/>
      <c r="B102" s="407" t="s">
        <v>948</v>
      </c>
      <c r="C102" s="417" t="s">
        <v>949</v>
      </c>
    </row>
    <row r="103" spans="1:3" ht="38.25">
      <c r="A103" s="426"/>
      <c r="B103" s="407" t="s">
        <v>950</v>
      </c>
      <c r="C103" s="417" t="s">
        <v>951</v>
      </c>
    </row>
    <row r="104" spans="1:3" ht="25.5">
      <c r="A104" s="426"/>
      <c r="B104" s="407" t="s">
        <v>952</v>
      </c>
      <c r="C104" s="417" t="s">
        <v>953</v>
      </c>
    </row>
    <row r="105" spans="1:3" ht="25.5">
      <c r="A105" s="426"/>
      <c r="B105" s="407" t="s">
        <v>954</v>
      </c>
      <c r="C105" s="417" t="s">
        <v>955</v>
      </c>
    </row>
    <row r="106" spans="1:3" ht="12.75">
      <c r="A106" s="426"/>
      <c r="B106" s="407" t="s">
        <v>956</v>
      </c>
      <c r="C106" s="408" t="s">
        <v>957</v>
      </c>
    </row>
    <row r="107" spans="1:3" ht="51">
      <c r="A107" s="426"/>
      <c r="B107" s="407" t="s">
        <v>958</v>
      </c>
      <c r="C107" s="411" t="s">
        <v>959</v>
      </c>
    </row>
    <row r="108" spans="1:3" ht="63.75">
      <c r="A108" s="426"/>
      <c r="B108" s="407" t="s">
        <v>960</v>
      </c>
      <c r="C108" s="411" t="s">
        <v>961</v>
      </c>
    </row>
    <row r="109" spans="1:3" ht="38.25">
      <c r="A109" s="404"/>
      <c r="B109" s="407" t="s">
        <v>962</v>
      </c>
      <c r="C109" s="408" t="s">
        <v>963</v>
      </c>
    </row>
    <row r="110" spans="1:3" ht="38.25">
      <c r="A110" s="404"/>
      <c r="B110" s="407" t="s">
        <v>964</v>
      </c>
      <c r="C110" s="408" t="s">
        <v>965</v>
      </c>
    </row>
    <row r="111" spans="1:3" ht="25.5">
      <c r="A111" s="404"/>
      <c r="B111" s="407" t="s">
        <v>966</v>
      </c>
      <c r="C111" s="415" t="s">
        <v>967</v>
      </c>
    </row>
    <row r="112" spans="1:3" ht="51">
      <c r="A112" s="426"/>
      <c r="B112" s="407" t="s">
        <v>968</v>
      </c>
      <c r="C112" s="408" t="s">
        <v>969</v>
      </c>
    </row>
    <row r="113" spans="1:3" ht="38.25">
      <c r="A113" s="426"/>
      <c r="B113" s="407" t="s">
        <v>970</v>
      </c>
      <c r="C113" s="408" t="s">
        <v>971</v>
      </c>
    </row>
    <row r="114" spans="1:3" ht="38.25">
      <c r="A114" s="426"/>
      <c r="B114" s="407" t="s">
        <v>972</v>
      </c>
      <c r="C114" s="408" t="s">
        <v>973</v>
      </c>
    </row>
    <row r="115" spans="1:3" ht="38.25">
      <c r="A115" s="426"/>
      <c r="B115" s="407" t="s">
        <v>818</v>
      </c>
      <c r="C115" s="408" t="s">
        <v>819</v>
      </c>
    </row>
    <row r="116" spans="1:3" ht="51">
      <c r="A116" s="426"/>
      <c r="B116" s="407" t="s">
        <v>974</v>
      </c>
      <c r="C116" s="408" t="s">
        <v>975</v>
      </c>
    </row>
    <row r="117" spans="1:3" ht="63.75">
      <c r="A117" s="425"/>
      <c r="B117" s="414" t="s">
        <v>976</v>
      </c>
      <c r="C117" s="415" t="s">
        <v>977</v>
      </c>
    </row>
    <row r="118" spans="1:3" ht="25.5">
      <c r="A118" s="426"/>
      <c r="B118" s="407" t="s">
        <v>794</v>
      </c>
      <c r="C118" s="408" t="s">
        <v>795</v>
      </c>
    </row>
    <row r="119" spans="1:3" ht="12.75">
      <c r="A119" s="426"/>
      <c r="B119" s="407" t="s">
        <v>978</v>
      </c>
      <c r="C119" s="408" t="s">
        <v>979</v>
      </c>
    </row>
    <row r="120" spans="1:3" ht="38.25">
      <c r="A120" s="426"/>
      <c r="B120" s="407" t="s">
        <v>980</v>
      </c>
      <c r="C120" s="408" t="s">
        <v>981</v>
      </c>
    </row>
    <row r="121" spans="1:3" ht="12.75">
      <c r="A121" s="426"/>
      <c r="B121" s="407" t="s">
        <v>982</v>
      </c>
      <c r="C121" s="408" t="s">
        <v>983</v>
      </c>
    </row>
    <row r="122" spans="1:3" ht="12.75">
      <c r="A122" s="426"/>
      <c r="B122" s="407" t="s">
        <v>984</v>
      </c>
      <c r="C122" s="408" t="s">
        <v>985</v>
      </c>
    </row>
    <row r="123" spans="1:3" ht="12.75">
      <c r="A123" s="425"/>
      <c r="B123" s="414" t="s">
        <v>986</v>
      </c>
      <c r="C123" s="415" t="s">
        <v>987</v>
      </c>
    </row>
    <row r="124" spans="1:3" ht="25.5">
      <c r="A124" s="426"/>
      <c r="B124" s="416" t="s">
        <v>865</v>
      </c>
      <c r="C124" s="417" t="s">
        <v>866</v>
      </c>
    </row>
    <row r="125" spans="1:3" ht="38.25">
      <c r="A125" s="404"/>
      <c r="B125" s="416" t="s">
        <v>988</v>
      </c>
      <c r="C125" s="408" t="s">
        <v>989</v>
      </c>
    </row>
    <row r="126" spans="1:3" ht="38.25">
      <c r="A126" s="426"/>
      <c r="B126" s="416" t="s">
        <v>990</v>
      </c>
      <c r="C126" s="408" t="s">
        <v>991</v>
      </c>
    </row>
    <row r="127" spans="1:3" ht="12.75">
      <c r="A127" s="426"/>
      <c r="B127" s="407" t="s">
        <v>992</v>
      </c>
      <c r="C127" s="408" t="s">
        <v>993</v>
      </c>
    </row>
    <row r="128" spans="1:3" ht="25.5">
      <c r="A128" s="426"/>
      <c r="B128" s="407" t="s">
        <v>994</v>
      </c>
      <c r="C128" s="408" t="s">
        <v>995</v>
      </c>
    </row>
    <row r="129" spans="1:3" ht="12.75">
      <c r="A129" s="426"/>
      <c r="B129" s="407" t="s">
        <v>996</v>
      </c>
      <c r="C129" s="408" t="s">
        <v>997</v>
      </c>
    </row>
    <row r="130" spans="1:3" ht="25.5">
      <c r="A130" s="426"/>
      <c r="B130" s="407" t="s">
        <v>998</v>
      </c>
      <c r="C130" s="408" t="s">
        <v>999</v>
      </c>
    </row>
    <row r="131" spans="1:3" ht="25.5">
      <c r="A131" s="426"/>
      <c r="B131" s="407" t="s">
        <v>1000</v>
      </c>
      <c r="C131" s="408" t="s">
        <v>1001</v>
      </c>
    </row>
    <row r="132" spans="1:3" ht="25.5">
      <c r="A132" s="426"/>
      <c r="B132" s="407" t="s">
        <v>1002</v>
      </c>
      <c r="C132" s="408" t="s">
        <v>1003</v>
      </c>
    </row>
    <row r="133" spans="1:3" ht="38.25">
      <c r="A133" s="426"/>
      <c r="B133" s="407" t="s">
        <v>1004</v>
      </c>
      <c r="C133" s="408" t="s">
        <v>1005</v>
      </c>
    </row>
    <row r="134" spans="1:3" ht="25.5">
      <c r="A134" s="426"/>
      <c r="B134" s="407" t="s">
        <v>1006</v>
      </c>
      <c r="C134" s="408" t="s">
        <v>1007</v>
      </c>
    </row>
    <row r="135" spans="1:3" ht="25.5">
      <c r="A135" s="426"/>
      <c r="B135" s="407" t="s">
        <v>1008</v>
      </c>
      <c r="C135" s="408" t="s">
        <v>1009</v>
      </c>
    </row>
    <row r="136" spans="1:3" ht="38.25">
      <c r="A136" s="426"/>
      <c r="B136" s="407" t="s">
        <v>1010</v>
      </c>
      <c r="C136" s="408" t="s">
        <v>1011</v>
      </c>
    </row>
    <row r="137" spans="1:3" ht="25.5">
      <c r="A137" s="426"/>
      <c r="B137" s="407" t="s">
        <v>1012</v>
      </c>
      <c r="C137" s="408" t="s">
        <v>1013</v>
      </c>
    </row>
    <row r="138" spans="1:3" ht="51">
      <c r="A138" s="426"/>
      <c r="B138" s="407" t="s">
        <v>1014</v>
      </c>
      <c r="C138" s="408" t="s">
        <v>1015</v>
      </c>
    </row>
    <row r="139" spans="1:3" ht="25.5">
      <c r="A139" s="426"/>
      <c r="B139" s="414" t="s">
        <v>1016</v>
      </c>
      <c r="C139" s="415" t="s">
        <v>1017</v>
      </c>
    </row>
    <row r="140" spans="1:3" ht="12.75">
      <c r="A140" s="426"/>
      <c r="B140" s="414" t="s">
        <v>1018</v>
      </c>
      <c r="C140" s="415" t="s">
        <v>1019</v>
      </c>
    </row>
    <row r="141" spans="1:3" ht="38.25">
      <c r="A141" s="426"/>
      <c r="B141" s="407" t="s">
        <v>1020</v>
      </c>
      <c r="C141" s="408" t="s">
        <v>1021</v>
      </c>
    </row>
    <row r="142" spans="1:3" ht="25.5">
      <c r="A142" s="426"/>
      <c r="B142" s="407" t="s">
        <v>1022</v>
      </c>
      <c r="C142" s="408" t="s">
        <v>1023</v>
      </c>
    </row>
    <row r="143" spans="1:3" ht="25.5">
      <c r="A143" s="426"/>
      <c r="B143" s="407" t="s">
        <v>1024</v>
      </c>
      <c r="C143" s="408" t="s">
        <v>1025</v>
      </c>
    </row>
    <row r="144" spans="1:3" ht="25.5">
      <c r="A144" s="426"/>
      <c r="B144" s="407" t="s">
        <v>1026</v>
      </c>
      <c r="C144" s="408" t="s">
        <v>1027</v>
      </c>
    </row>
    <row r="145" spans="1:3" ht="25.5">
      <c r="A145" s="426"/>
      <c r="B145" s="407" t="s">
        <v>1028</v>
      </c>
      <c r="C145" s="408" t="s">
        <v>1029</v>
      </c>
    </row>
    <row r="146" spans="1:3" ht="12.75">
      <c r="A146" s="627" t="s">
        <v>1030</v>
      </c>
      <c r="B146" s="627"/>
      <c r="C146" s="627"/>
    </row>
    <row r="147" spans="1:3" ht="83.25" customHeight="1">
      <c r="A147" s="628" t="s">
        <v>1031</v>
      </c>
      <c r="B147" s="629"/>
      <c r="C147" s="629"/>
    </row>
  </sheetData>
  <sheetProtection/>
  <mergeCells count="24">
    <mergeCell ref="A5:C5"/>
    <mergeCell ref="A6:B6"/>
    <mergeCell ref="A7:B7"/>
    <mergeCell ref="C7:C8"/>
    <mergeCell ref="A9:B9"/>
    <mergeCell ref="A11:B11"/>
    <mergeCell ref="A13:B13"/>
    <mergeCell ref="A19:B19"/>
    <mergeCell ref="A21:B21"/>
    <mergeCell ref="A23:B23"/>
    <mergeCell ref="A25:B25"/>
    <mergeCell ref="A29:B29"/>
    <mergeCell ref="A30:B30"/>
    <mergeCell ref="A67:B67"/>
    <mergeCell ref="A73:B73"/>
    <mergeCell ref="A81:B81"/>
    <mergeCell ref="A83:B83"/>
    <mergeCell ref="A90:B90"/>
    <mergeCell ref="A93:B93"/>
    <mergeCell ref="A96:B96"/>
    <mergeCell ref="A97:B97"/>
    <mergeCell ref="A98:B98"/>
    <mergeCell ref="A146:C146"/>
    <mergeCell ref="A147:C147"/>
  </mergeCells>
  <printOptions/>
  <pageMargins left="1.1023622047244095" right="0.31496062992125984" top="0.5511811023622047" bottom="0.15748031496062992" header="0.1968503937007874" footer="0"/>
  <pageSetup fitToHeight="6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775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64.875" style="61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375" style="429" customWidth="1"/>
    <col min="8" max="8" width="6.125" style="429" hidden="1" customWidth="1"/>
    <col min="9" max="9" width="10.25390625" style="429" hidden="1" customWidth="1"/>
    <col min="10" max="10" width="13.25390625" style="33" hidden="1" customWidth="1"/>
    <col min="11" max="11" width="11.625" style="0" hidden="1" customWidth="1"/>
    <col min="12" max="12" width="13.25390625" style="0" hidden="1" customWidth="1"/>
    <col min="13" max="13" width="11.375" style="0" hidden="1" customWidth="1"/>
    <col min="14" max="14" width="5.25390625" style="0" hidden="1" customWidth="1"/>
    <col min="15" max="15" width="9.125" style="0" hidden="1" customWidth="1"/>
    <col min="16" max="16" width="9.125" style="0" customWidth="1"/>
  </cols>
  <sheetData>
    <row r="1" spans="6:7" ht="12.75">
      <c r="F1" s="14" t="s">
        <v>704</v>
      </c>
      <c r="G1" s="348"/>
    </row>
    <row r="2" spans="6:7" ht="12.75">
      <c r="F2" s="2" t="s">
        <v>1109</v>
      </c>
      <c r="G2" s="348"/>
    </row>
    <row r="3" spans="6:7" ht="12.75">
      <c r="F3" s="2" t="s">
        <v>270</v>
      </c>
      <c r="G3" s="348"/>
    </row>
    <row r="4" spans="6:7" ht="12.75">
      <c r="F4" s="2" t="s">
        <v>271</v>
      </c>
      <c r="G4" s="348"/>
    </row>
    <row r="5" spans="6:9" ht="12.75">
      <c r="F5" s="633" t="s">
        <v>1110</v>
      </c>
      <c r="G5" s="633"/>
      <c r="H5" s="3"/>
      <c r="I5" s="3"/>
    </row>
    <row r="6" spans="3:6" ht="12.75">
      <c r="C6" s="4" t="s">
        <v>510</v>
      </c>
      <c r="F6" s="2"/>
    </row>
    <row r="7" spans="3:6" ht="12.75">
      <c r="C7" s="4" t="s">
        <v>272</v>
      </c>
      <c r="F7" s="5"/>
    </row>
    <row r="8" spans="3:6" ht="12.75">
      <c r="C8" s="4" t="s">
        <v>273</v>
      </c>
      <c r="F8" s="5"/>
    </row>
    <row r="9" ht="12.75">
      <c r="C9" s="6" t="s">
        <v>274</v>
      </c>
    </row>
    <row r="10" spans="2:9" ht="16.5" thickBot="1">
      <c r="B10" s="7"/>
      <c r="G10" s="3"/>
      <c r="H10" s="3"/>
      <c r="I10" s="3"/>
    </row>
    <row r="11" spans="1:15" ht="15" thickBot="1">
      <c r="A11" s="256" t="s">
        <v>275</v>
      </c>
      <c r="B11" s="186"/>
      <c r="C11" s="123" t="s">
        <v>622</v>
      </c>
      <c r="D11" s="124"/>
      <c r="E11" s="124"/>
      <c r="F11" s="130"/>
      <c r="G11" s="128" t="s">
        <v>277</v>
      </c>
      <c r="H11" s="8" t="s">
        <v>278</v>
      </c>
      <c r="I11" s="8" t="s">
        <v>279</v>
      </c>
      <c r="O11" s="60"/>
    </row>
    <row r="12" spans="1:9" ht="42" customHeight="1" thickBot="1">
      <c r="A12" s="255"/>
      <c r="B12" s="253" t="s">
        <v>280</v>
      </c>
      <c r="C12" s="185" t="s">
        <v>281</v>
      </c>
      <c r="D12" s="125" t="s">
        <v>282</v>
      </c>
      <c r="E12" s="125" t="s">
        <v>283</v>
      </c>
      <c r="F12" s="155" t="s">
        <v>509</v>
      </c>
      <c r="G12" s="129" t="s">
        <v>621</v>
      </c>
      <c r="H12" s="9" t="s">
        <v>457</v>
      </c>
      <c r="I12" s="9" t="s">
        <v>458</v>
      </c>
    </row>
    <row r="13" spans="1:13" s="11" customFormat="1" ht="15.75">
      <c r="A13" s="254" t="s">
        <v>459</v>
      </c>
      <c r="B13" s="189"/>
      <c r="C13" s="320" t="s">
        <v>460</v>
      </c>
      <c r="D13" s="335"/>
      <c r="E13" s="335"/>
      <c r="F13" s="336"/>
      <c r="G13" s="136">
        <f>SUM(G14+G18+G25+G47+G62+G65)</f>
        <v>186635.8</v>
      </c>
      <c r="H13" s="10" t="e">
        <f>SUM(H14+H18+H25+H44+H47+H62+H65+#REF!+H56)</f>
        <v>#REF!</v>
      </c>
      <c r="I13" s="10" t="e">
        <f>SUM(H13/G13*100)</f>
        <v>#REF!</v>
      </c>
      <c r="K13" s="63">
        <f>SUM(J14:J87)</f>
        <v>186635.8</v>
      </c>
      <c r="L13" s="11">
        <f>SUM('[3]ведомствен.2014'!G12+'[3]ведомствен.2014'!G36+'[3]ведомствен.2014'!G55+'[3]ведомствен.2014'!G333)</f>
        <v>186635.80000000002</v>
      </c>
      <c r="M13" s="63">
        <f>SUM(L13-K13)</f>
        <v>2.9103830456733704E-11</v>
      </c>
    </row>
    <row r="14" spans="1:15" ht="28.5">
      <c r="A14" s="225" t="s">
        <v>461</v>
      </c>
      <c r="B14" s="190"/>
      <c r="C14" s="274" t="s">
        <v>460</v>
      </c>
      <c r="D14" s="275" t="s">
        <v>462</v>
      </c>
      <c r="E14" s="275"/>
      <c r="F14" s="276"/>
      <c r="G14" s="137">
        <f>SUM(G15)</f>
        <v>1725</v>
      </c>
      <c r="H14" s="12">
        <f>SUM(H15)</f>
        <v>983.5</v>
      </c>
      <c r="I14" s="12">
        <f>SUM(H14/G14*100)</f>
        <v>57.014492753623195</v>
      </c>
      <c r="J14"/>
      <c r="O14" s="60" t="e">
        <f>SUM(G14+G18+G25+G47+#REF!)</f>
        <v>#REF!</v>
      </c>
    </row>
    <row r="15" spans="1:10" ht="42.75">
      <c r="A15" s="225" t="s">
        <v>99</v>
      </c>
      <c r="B15" s="190"/>
      <c r="C15" s="274" t="s">
        <v>460</v>
      </c>
      <c r="D15" s="275" t="s">
        <v>462</v>
      </c>
      <c r="E15" s="275" t="s">
        <v>100</v>
      </c>
      <c r="F15" s="276"/>
      <c r="G15" s="137">
        <f>SUM(G17)</f>
        <v>1725</v>
      </c>
      <c r="H15" s="12">
        <f>SUM(H17:H17)</f>
        <v>983.5</v>
      </c>
      <c r="I15" s="12">
        <f aca="true" t="shared" si="0" ref="I15:I78">SUM(H15/G15*100)</f>
        <v>57.014492753623195</v>
      </c>
      <c r="J15"/>
    </row>
    <row r="16" spans="1:10" ht="15">
      <c r="A16" s="225" t="s">
        <v>101</v>
      </c>
      <c r="B16" s="190"/>
      <c r="C16" s="274" t="s">
        <v>460</v>
      </c>
      <c r="D16" s="275" t="s">
        <v>462</v>
      </c>
      <c r="E16" s="275" t="s">
        <v>102</v>
      </c>
      <c r="F16" s="276"/>
      <c r="G16" s="137">
        <f>SUM(G17)</f>
        <v>1725</v>
      </c>
      <c r="H16" s="12">
        <f>SUM(H17)</f>
        <v>983.5</v>
      </c>
      <c r="I16" s="12">
        <f t="shared" si="0"/>
        <v>57.014492753623195</v>
      </c>
      <c r="J16"/>
    </row>
    <row r="17" spans="1:10" ht="42.75">
      <c r="A17" s="225" t="s">
        <v>495</v>
      </c>
      <c r="B17" s="190"/>
      <c r="C17" s="274" t="s">
        <v>460</v>
      </c>
      <c r="D17" s="275" t="s">
        <v>462</v>
      </c>
      <c r="E17" s="275" t="s">
        <v>102</v>
      </c>
      <c r="F17" s="276" t="s">
        <v>496</v>
      </c>
      <c r="G17" s="137">
        <v>1725</v>
      </c>
      <c r="H17" s="12">
        <v>983.5</v>
      </c>
      <c r="I17" s="12">
        <f t="shared" si="0"/>
        <v>57.014492753623195</v>
      </c>
      <c r="J17" s="33">
        <f>SUM('[3]ведомствен.2014'!G16)</f>
        <v>1725</v>
      </c>
    </row>
    <row r="18" spans="1:10" ht="42.75">
      <c r="A18" s="225" t="s">
        <v>105</v>
      </c>
      <c r="B18" s="190"/>
      <c r="C18" s="274" t="s">
        <v>460</v>
      </c>
      <c r="D18" s="275" t="s">
        <v>106</v>
      </c>
      <c r="E18" s="275"/>
      <c r="F18" s="276"/>
      <c r="G18" s="137">
        <f>SUM(G19)</f>
        <v>11314.2</v>
      </c>
      <c r="H18" s="12">
        <f>SUM(H19)</f>
        <v>8231.8</v>
      </c>
      <c r="I18" s="12">
        <f t="shared" si="0"/>
        <v>72.75635926534795</v>
      </c>
      <c r="J18"/>
    </row>
    <row r="19" spans="1:10" ht="42.75">
      <c r="A19" s="225" t="s">
        <v>99</v>
      </c>
      <c r="B19" s="190"/>
      <c r="C19" s="274" t="s">
        <v>460</v>
      </c>
      <c r="D19" s="275" t="s">
        <v>106</v>
      </c>
      <c r="E19" s="275" t="s">
        <v>100</v>
      </c>
      <c r="F19" s="277"/>
      <c r="G19" s="137">
        <f>SUM(G20+G23)</f>
        <v>11314.2</v>
      </c>
      <c r="H19" s="12">
        <f>SUM(H20+H23)</f>
        <v>8231.8</v>
      </c>
      <c r="I19" s="12">
        <f t="shared" si="0"/>
        <v>72.75635926534795</v>
      </c>
      <c r="J19"/>
    </row>
    <row r="20" spans="1:10" ht="15">
      <c r="A20" s="225" t="s">
        <v>107</v>
      </c>
      <c r="B20" s="190"/>
      <c r="C20" s="274" t="s">
        <v>108</v>
      </c>
      <c r="D20" s="275" t="s">
        <v>106</v>
      </c>
      <c r="E20" s="275" t="s">
        <v>109</v>
      </c>
      <c r="F20" s="277"/>
      <c r="G20" s="137">
        <f>SUM(G21)+G22</f>
        <v>11314.2</v>
      </c>
      <c r="H20" s="12">
        <f>SUM(H21)</f>
        <v>8068.7</v>
      </c>
      <c r="I20" s="12">
        <f t="shared" si="0"/>
        <v>71.31480794046419</v>
      </c>
      <c r="J20"/>
    </row>
    <row r="21" spans="1:10" ht="42.75">
      <c r="A21" s="225" t="s">
        <v>495</v>
      </c>
      <c r="B21" s="190"/>
      <c r="C21" s="274" t="s">
        <v>460</v>
      </c>
      <c r="D21" s="275" t="s">
        <v>106</v>
      </c>
      <c r="E21" s="275" t="s">
        <v>109</v>
      </c>
      <c r="F21" s="276" t="s">
        <v>496</v>
      </c>
      <c r="G21" s="137">
        <v>11314.2</v>
      </c>
      <c r="H21" s="12">
        <v>8068.7</v>
      </c>
      <c r="I21" s="12">
        <f t="shared" si="0"/>
        <v>71.31480794046419</v>
      </c>
      <c r="J21" s="33">
        <f>SUM('[3]ведомствен.2014'!G20)</f>
        <v>11314.2</v>
      </c>
    </row>
    <row r="22" spans="1:10" ht="15">
      <c r="A22" s="225" t="s">
        <v>500</v>
      </c>
      <c r="B22" s="190"/>
      <c r="C22" s="274" t="s">
        <v>460</v>
      </c>
      <c r="D22" s="275" t="s">
        <v>106</v>
      </c>
      <c r="E22" s="275" t="s">
        <v>109</v>
      </c>
      <c r="F22" s="276" t="s">
        <v>120</v>
      </c>
      <c r="G22" s="138"/>
      <c r="H22" s="12"/>
      <c r="I22" s="12"/>
      <c r="J22" s="33">
        <f>SUM('[3]ведомствен.2014'!G21)</f>
        <v>0</v>
      </c>
    </row>
    <row r="23" spans="1:10" ht="28.5" hidden="1">
      <c r="A23" s="225" t="s">
        <v>110</v>
      </c>
      <c r="B23" s="190"/>
      <c r="C23" s="274" t="s">
        <v>108</v>
      </c>
      <c r="D23" s="275" t="s">
        <v>106</v>
      </c>
      <c r="E23" s="275" t="s">
        <v>111</v>
      </c>
      <c r="F23" s="276"/>
      <c r="G23" s="138">
        <f>SUM(G24)</f>
        <v>0</v>
      </c>
      <c r="H23" s="12">
        <f>SUM(H24)</f>
        <v>163.10000000000002</v>
      </c>
      <c r="I23" s="12" t="e">
        <f t="shared" si="0"/>
        <v>#DIV/0!</v>
      </c>
      <c r="J23"/>
    </row>
    <row r="24" spans="1:10" ht="15" hidden="1">
      <c r="A24" s="225" t="s">
        <v>103</v>
      </c>
      <c r="B24" s="190"/>
      <c r="C24" s="274" t="s">
        <v>108</v>
      </c>
      <c r="D24" s="275" t="s">
        <v>106</v>
      </c>
      <c r="E24" s="275" t="s">
        <v>111</v>
      </c>
      <c r="F24" s="276" t="s">
        <v>104</v>
      </c>
      <c r="G24" s="138"/>
      <c r="H24" s="12">
        <f>913.5-750.4</f>
        <v>163.10000000000002</v>
      </c>
      <c r="I24" s="12" t="e">
        <f t="shared" si="0"/>
        <v>#DIV/0!</v>
      </c>
      <c r="J24"/>
    </row>
    <row r="25" spans="1:10" ht="42.75">
      <c r="A25" s="225" t="s">
        <v>256</v>
      </c>
      <c r="B25" s="190"/>
      <c r="C25" s="274" t="s">
        <v>460</v>
      </c>
      <c r="D25" s="275" t="s">
        <v>122</v>
      </c>
      <c r="E25" s="275"/>
      <c r="F25" s="276"/>
      <c r="G25" s="137">
        <f>SUM(G26)</f>
        <v>96305.40000000001</v>
      </c>
      <c r="H25" s="12">
        <f>SUM(H26)+H41+H39</f>
        <v>52319.90000000001</v>
      </c>
      <c r="I25" s="12">
        <f t="shared" si="0"/>
        <v>54.32706784873953</v>
      </c>
      <c r="J25"/>
    </row>
    <row r="26" spans="1:10" ht="42.75">
      <c r="A26" s="225" t="s">
        <v>99</v>
      </c>
      <c r="B26" s="190"/>
      <c r="C26" s="274" t="s">
        <v>460</v>
      </c>
      <c r="D26" s="275" t="s">
        <v>122</v>
      </c>
      <c r="E26" s="275" t="s">
        <v>100</v>
      </c>
      <c r="F26" s="277"/>
      <c r="G26" s="137">
        <f>SUM(G27+G42+G30+G33+G36+G39)</f>
        <v>96305.40000000001</v>
      </c>
      <c r="H26" s="12">
        <f>SUM(H27+H37)</f>
        <v>51899.200000000004</v>
      </c>
      <c r="I26" s="12">
        <f t="shared" si="0"/>
        <v>53.890228377640305</v>
      </c>
      <c r="J26"/>
    </row>
    <row r="27" spans="1:10" ht="15">
      <c r="A27" s="225" t="s">
        <v>107</v>
      </c>
      <c r="B27" s="190"/>
      <c r="C27" s="274" t="s">
        <v>460</v>
      </c>
      <c r="D27" s="275" t="s">
        <v>122</v>
      </c>
      <c r="E27" s="275" t="s">
        <v>109</v>
      </c>
      <c r="F27" s="277"/>
      <c r="G27" s="137">
        <f>SUM(G28+G29)</f>
        <v>92995.40000000001</v>
      </c>
      <c r="H27" s="12">
        <f>SUM(H28:H28+H29+H31+H34)+H30</f>
        <v>51161.8</v>
      </c>
      <c r="I27" s="12">
        <f t="shared" si="0"/>
        <v>55.01540936433415</v>
      </c>
      <c r="J27"/>
    </row>
    <row r="28" spans="1:10" ht="42.75">
      <c r="A28" s="225" t="s">
        <v>495</v>
      </c>
      <c r="B28" s="190"/>
      <c r="C28" s="274" t="s">
        <v>460</v>
      </c>
      <c r="D28" s="275" t="s">
        <v>122</v>
      </c>
      <c r="E28" s="275" t="s">
        <v>109</v>
      </c>
      <c r="F28" s="276" t="s">
        <v>496</v>
      </c>
      <c r="G28" s="137">
        <v>92965.3</v>
      </c>
      <c r="H28" s="12">
        <v>50612.1</v>
      </c>
      <c r="I28" s="12">
        <f t="shared" si="0"/>
        <v>54.44192618105895</v>
      </c>
      <c r="J28" s="33">
        <f>SUM('[3]ведомствен.2014'!G59)</f>
        <v>92965.29999999999</v>
      </c>
    </row>
    <row r="29" spans="1:10" ht="15">
      <c r="A29" s="225" t="s">
        <v>500</v>
      </c>
      <c r="B29" s="190"/>
      <c r="C29" s="274" t="s">
        <v>460</v>
      </c>
      <c r="D29" s="275" t="s">
        <v>122</v>
      </c>
      <c r="E29" s="275" t="s">
        <v>109</v>
      </c>
      <c r="F29" s="276" t="s">
        <v>120</v>
      </c>
      <c r="G29" s="138">
        <v>30.1</v>
      </c>
      <c r="H29" s="12">
        <v>507.8</v>
      </c>
      <c r="I29" s="12">
        <f t="shared" si="0"/>
        <v>1687.043189368771</v>
      </c>
      <c r="J29" s="33">
        <f>SUM('[3]ведомствен.2014'!G60)</f>
        <v>30.1</v>
      </c>
    </row>
    <row r="30" spans="1:9" ht="42.75">
      <c r="A30" s="225" t="s">
        <v>126</v>
      </c>
      <c r="B30" s="190"/>
      <c r="C30" s="274" t="s">
        <v>460</v>
      </c>
      <c r="D30" s="275" t="s">
        <v>122</v>
      </c>
      <c r="E30" s="275" t="s">
        <v>127</v>
      </c>
      <c r="F30" s="276"/>
      <c r="G30" s="137">
        <f>SUM(G31:G32)</f>
        <v>1392.3999999999999</v>
      </c>
      <c r="H30" s="12"/>
      <c r="I30" s="12">
        <f t="shared" si="0"/>
        <v>0</v>
      </c>
    </row>
    <row r="31" spans="1:10" ht="42.75">
      <c r="A31" s="225" t="s">
        <v>495</v>
      </c>
      <c r="B31" s="190"/>
      <c r="C31" s="274" t="s">
        <v>460</v>
      </c>
      <c r="D31" s="275" t="s">
        <v>122</v>
      </c>
      <c r="E31" s="275" t="s">
        <v>127</v>
      </c>
      <c r="F31" s="276" t="s">
        <v>496</v>
      </c>
      <c r="G31" s="137">
        <v>1368.8</v>
      </c>
      <c r="H31" s="12">
        <v>41.9</v>
      </c>
      <c r="I31" s="12">
        <f t="shared" si="0"/>
        <v>3.061075394506137</v>
      </c>
      <c r="J31" s="33">
        <f>SUM('[3]ведомствен.2014'!G62)</f>
        <v>1368.8</v>
      </c>
    </row>
    <row r="32" spans="1:10" ht="15">
      <c r="A32" s="225" t="s">
        <v>500</v>
      </c>
      <c r="B32" s="190"/>
      <c r="C32" s="274" t="s">
        <v>460</v>
      </c>
      <c r="D32" s="275" t="s">
        <v>122</v>
      </c>
      <c r="E32" s="275" t="s">
        <v>127</v>
      </c>
      <c r="F32" s="276" t="s">
        <v>120</v>
      </c>
      <c r="G32" s="138">
        <v>23.6</v>
      </c>
      <c r="H32" s="12"/>
      <c r="I32" s="12">
        <f>SUM(H32/G32*100)</f>
        <v>0</v>
      </c>
      <c r="J32" s="33">
        <f>SUM('[3]ведомствен.2014'!G63)</f>
        <v>23.6</v>
      </c>
    </row>
    <row r="33" spans="1:9" ht="42.75">
      <c r="A33" s="225" t="s">
        <v>383</v>
      </c>
      <c r="B33" s="190"/>
      <c r="C33" s="274" t="s">
        <v>460</v>
      </c>
      <c r="D33" s="275" t="s">
        <v>122</v>
      </c>
      <c r="E33" s="275" t="s">
        <v>384</v>
      </c>
      <c r="F33" s="276"/>
      <c r="G33" s="137">
        <f>SUM(G34:G35)</f>
        <v>93.8</v>
      </c>
      <c r="H33" s="12"/>
      <c r="I33" s="12"/>
    </row>
    <row r="34" spans="1:10" ht="42.75">
      <c r="A34" s="225" t="s">
        <v>495</v>
      </c>
      <c r="B34" s="190"/>
      <c r="C34" s="274" t="s">
        <v>460</v>
      </c>
      <c r="D34" s="275" t="s">
        <v>122</v>
      </c>
      <c r="E34" s="275" t="s">
        <v>384</v>
      </c>
      <c r="F34" s="276" t="s">
        <v>496</v>
      </c>
      <c r="G34" s="137">
        <v>72.3</v>
      </c>
      <c r="H34" s="12"/>
      <c r="I34" s="12">
        <f t="shared" si="0"/>
        <v>0</v>
      </c>
      <c r="J34" s="33">
        <f>SUM('[3]ведомствен.2014'!G65)</f>
        <v>72.3</v>
      </c>
    </row>
    <row r="35" spans="1:10" ht="15">
      <c r="A35" s="225" t="s">
        <v>500</v>
      </c>
      <c r="B35" s="190"/>
      <c r="C35" s="274" t="s">
        <v>460</v>
      </c>
      <c r="D35" s="275" t="s">
        <v>122</v>
      </c>
      <c r="E35" s="275" t="s">
        <v>384</v>
      </c>
      <c r="F35" s="276" t="s">
        <v>120</v>
      </c>
      <c r="G35" s="138">
        <v>21.5</v>
      </c>
      <c r="H35" s="12"/>
      <c r="I35" s="12"/>
      <c r="J35" s="33">
        <f>SUM('[3]ведомствен.2014'!G66)</f>
        <v>21.5</v>
      </c>
    </row>
    <row r="36" spans="1:9" ht="28.5">
      <c r="A36" s="226" t="s">
        <v>60</v>
      </c>
      <c r="B36" s="191"/>
      <c r="C36" s="284" t="s">
        <v>460</v>
      </c>
      <c r="D36" s="280" t="s">
        <v>122</v>
      </c>
      <c r="E36" s="280" t="s">
        <v>61</v>
      </c>
      <c r="F36" s="277"/>
      <c r="G36" s="137">
        <f>SUM(G37:G38)</f>
        <v>179.6</v>
      </c>
      <c r="H36" s="12"/>
      <c r="I36" s="12"/>
    </row>
    <row r="37" spans="1:10" ht="42.75">
      <c r="A37" s="225" t="s">
        <v>495</v>
      </c>
      <c r="B37" s="190"/>
      <c r="C37" s="274" t="s">
        <v>460</v>
      </c>
      <c r="D37" s="275" t="s">
        <v>122</v>
      </c>
      <c r="E37" s="280" t="s">
        <v>61</v>
      </c>
      <c r="F37" s="276" t="s">
        <v>496</v>
      </c>
      <c r="G37" s="137">
        <v>140</v>
      </c>
      <c r="H37" s="12">
        <f>SUM(H38)</f>
        <v>737.4</v>
      </c>
      <c r="I37" s="12">
        <f t="shared" si="0"/>
        <v>526.7142857142857</v>
      </c>
      <c r="J37" s="33">
        <f>SUM('[3]ведомствен.2014'!G68)</f>
        <v>140</v>
      </c>
    </row>
    <row r="38" spans="1:10" ht="15">
      <c r="A38" s="225" t="s">
        <v>500</v>
      </c>
      <c r="B38" s="190"/>
      <c r="C38" s="274" t="s">
        <v>460</v>
      </c>
      <c r="D38" s="275" t="s">
        <v>122</v>
      </c>
      <c r="E38" s="280" t="s">
        <v>61</v>
      </c>
      <c r="F38" s="276" t="s">
        <v>120</v>
      </c>
      <c r="G38" s="138">
        <v>39.6</v>
      </c>
      <c r="H38" s="12">
        <v>737.4</v>
      </c>
      <c r="I38" s="12">
        <f t="shared" si="0"/>
        <v>1862.121212121212</v>
      </c>
      <c r="J38" s="33">
        <f>SUM('[3]ведомствен.2014'!G69)</f>
        <v>39.6</v>
      </c>
    </row>
    <row r="39" spans="1:10" ht="28.5">
      <c r="A39" s="226" t="s">
        <v>148</v>
      </c>
      <c r="B39" s="191"/>
      <c r="C39" s="284" t="s">
        <v>460</v>
      </c>
      <c r="D39" s="280" t="s">
        <v>122</v>
      </c>
      <c r="E39" s="280" t="s">
        <v>149</v>
      </c>
      <c r="F39" s="277"/>
      <c r="G39" s="137">
        <f>SUM(G40:G41)</f>
        <v>357.70000000000005</v>
      </c>
      <c r="H39" s="12">
        <f>SUM(H40)</f>
        <v>264.8</v>
      </c>
      <c r="I39" s="12">
        <f t="shared" si="0"/>
        <v>74.02851551579536</v>
      </c>
      <c r="J39"/>
    </row>
    <row r="40" spans="1:10" ht="42.75">
      <c r="A40" s="225" t="s">
        <v>495</v>
      </c>
      <c r="B40" s="190"/>
      <c r="C40" s="274" t="s">
        <v>460</v>
      </c>
      <c r="D40" s="275" t="s">
        <v>122</v>
      </c>
      <c r="E40" s="280" t="s">
        <v>149</v>
      </c>
      <c r="F40" s="276" t="s">
        <v>496</v>
      </c>
      <c r="G40" s="137">
        <v>288.8</v>
      </c>
      <c r="H40" s="12">
        <v>264.8</v>
      </c>
      <c r="I40" s="12">
        <f t="shared" si="0"/>
        <v>91.68975069252078</v>
      </c>
      <c r="J40" s="33">
        <f>SUM('[3]ведомствен.2014'!G71)</f>
        <v>288.8</v>
      </c>
    </row>
    <row r="41" spans="1:10" ht="15">
      <c r="A41" s="225" t="s">
        <v>500</v>
      </c>
      <c r="B41" s="190"/>
      <c r="C41" s="274" t="s">
        <v>460</v>
      </c>
      <c r="D41" s="275" t="s">
        <v>122</v>
      </c>
      <c r="E41" s="280" t="s">
        <v>149</v>
      </c>
      <c r="F41" s="276" t="s">
        <v>120</v>
      </c>
      <c r="G41" s="138">
        <v>68.9</v>
      </c>
      <c r="H41" s="12">
        <f>SUM(H42)</f>
        <v>155.9</v>
      </c>
      <c r="I41" s="12">
        <f t="shared" si="0"/>
        <v>226.26995645863568</v>
      </c>
      <c r="J41" s="33">
        <f>SUM('[3]ведомствен.2014'!G72)</f>
        <v>68.9</v>
      </c>
    </row>
    <row r="42" spans="1:10" ht="28.5">
      <c r="A42" s="225" t="s">
        <v>385</v>
      </c>
      <c r="B42" s="190"/>
      <c r="C42" s="274" t="s">
        <v>108</v>
      </c>
      <c r="D42" s="275" t="s">
        <v>122</v>
      </c>
      <c r="E42" s="275" t="s">
        <v>386</v>
      </c>
      <c r="F42" s="277"/>
      <c r="G42" s="137">
        <f>SUM(G43)</f>
        <v>1286.5</v>
      </c>
      <c r="H42" s="12">
        <f>SUM(H43:H43)</f>
        <v>155.9</v>
      </c>
      <c r="I42" s="12">
        <f t="shared" si="0"/>
        <v>12.11815001943257</v>
      </c>
      <c r="J42"/>
    </row>
    <row r="43" spans="1:10" ht="42" customHeight="1">
      <c r="A43" s="225" t="s">
        <v>495</v>
      </c>
      <c r="B43" s="190"/>
      <c r="C43" s="274" t="s">
        <v>460</v>
      </c>
      <c r="D43" s="275" t="s">
        <v>122</v>
      </c>
      <c r="E43" s="275" t="s">
        <v>386</v>
      </c>
      <c r="F43" s="276" t="s">
        <v>496</v>
      </c>
      <c r="G43" s="137">
        <v>1286.5</v>
      </c>
      <c r="H43" s="12">
        <v>155.9</v>
      </c>
      <c r="I43" s="12">
        <f t="shared" si="0"/>
        <v>12.11815001943257</v>
      </c>
      <c r="J43" s="33">
        <f>SUM('[3]ведомствен.2014'!G74)</f>
        <v>1286.5</v>
      </c>
    </row>
    <row r="44" spans="1:10" ht="15" hidden="1">
      <c r="A44" s="225" t="s">
        <v>130</v>
      </c>
      <c r="B44" s="190"/>
      <c r="C44" s="274" t="s">
        <v>460</v>
      </c>
      <c r="D44" s="275" t="s">
        <v>131</v>
      </c>
      <c r="E44" s="275"/>
      <c r="F44" s="277"/>
      <c r="G44" s="138">
        <f>SUM(G45)</f>
        <v>0</v>
      </c>
      <c r="H44" s="12">
        <f>SUM(H45)</f>
        <v>0</v>
      </c>
      <c r="I44" s="12" t="e">
        <f t="shared" si="0"/>
        <v>#DIV/0!</v>
      </c>
      <c r="J44"/>
    </row>
    <row r="45" spans="1:10" ht="42.75" hidden="1">
      <c r="A45" s="227" t="s">
        <v>250</v>
      </c>
      <c r="B45" s="190"/>
      <c r="C45" s="274" t="s">
        <v>460</v>
      </c>
      <c r="D45" s="275" t="s">
        <v>131</v>
      </c>
      <c r="E45" s="275" t="s">
        <v>389</v>
      </c>
      <c r="F45" s="277"/>
      <c r="G45" s="138">
        <f>SUM(G46)</f>
        <v>0</v>
      </c>
      <c r="H45" s="12">
        <f>SUM(H46)</f>
        <v>0</v>
      </c>
      <c r="I45" s="12" t="e">
        <f t="shared" si="0"/>
        <v>#DIV/0!</v>
      </c>
      <c r="J45"/>
    </row>
    <row r="46" spans="1:10" ht="15" hidden="1">
      <c r="A46" s="225" t="s">
        <v>103</v>
      </c>
      <c r="B46" s="190"/>
      <c r="C46" s="274" t="s">
        <v>460</v>
      </c>
      <c r="D46" s="275" t="s">
        <v>131</v>
      </c>
      <c r="E46" s="275" t="s">
        <v>389</v>
      </c>
      <c r="F46" s="276" t="s">
        <v>104</v>
      </c>
      <c r="G46" s="138"/>
      <c r="H46" s="12">
        <f>SUM('[1]Ведомств.'!G83)</f>
        <v>0</v>
      </c>
      <c r="I46" s="12" t="e">
        <f t="shared" si="0"/>
        <v>#DIV/0!</v>
      </c>
      <c r="J46" s="33">
        <f>SUM('[3]ведомствен.2014'!G77)</f>
        <v>0</v>
      </c>
    </row>
    <row r="47" spans="1:9" s="13" customFormat="1" ht="42.75">
      <c r="A47" s="225" t="s">
        <v>390</v>
      </c>
      <c r="B47" s="190"/>
      <c r="C47" s="274" t="s">
        <v>460</v>
      </c>
      <c r="D47" s="275" t="s">
        <v>391</v>
      </c>
      <c r="E47" s="275"/>
      <c r="F47" s="276"/>
      <c r="G47" s="137">
        <f>SUM(G48)</f>
        <v>24251.199999999997</v>
      </c>
      <c r="H47" s="12">
        <f>SUM(H48)</f>
        <v>12415.9</v>
      </c>
      <c r="I47" s="12">
        <f t="shared" si="0"/>
        <v>51.19705416639177</v>
      </c>
    </row>
    <row r="48" spans="1:9" s="13" customFormat="1" ht="42.75">
      <c r="A48" s="225" t="s">
        <v>99</v>
      </c>
      <c r="B48" s="190"/>
      <c r="C48" s="274" t="s">
        <v>460</v>
      </c>
      <c r="D48" s="275" t="s">
        <v>391</v>
      </c>
      <c r="E48" s="275" t="s">
        <v>100</v>
      </c>
      <c r="F48" s="276"/>
      <c r="G48" s="137">
        <f>SUM(G49)+G52+G54</f>
        <v>24251.199999999997</v>
      </c>
      <c r="H48" s="12">
        <f>SUM(H49+H54)</f>
        <v>12415.9</v>
      </c>
      <c r="I48" s="12">
        <f t="shared" si="0"/>
        <v>51.19705416639177</v>
      </c>
    </row>
    <row r="49" spans="1:9" s="13" customFormat="1" ht="15">
      <c r="A49" s="225" t="s">
        <v>107</v>
      </c>
      <c r="B49" s="190"/>
      <c r="C49" s="274" t="s">
        <v>460</v>
      </c>
      <c r="D49" s="275" t="s">
        <v>391</v>
      </c>
      <c r="E49" s="275" t="s">
        <v>109</v>
      </c>
      <c r="F49" s="276"/>
      <c r="G49" s="137">
        <f>SUM(G50+G51)</f>
        <v>6570.4</v>
      </c>
      <c r="H49" s="12">
        <f>SUM(H50+H52)</f>
        <v>11864.3</v>
      </c>
      <c r="I49" s="12">
        <f t="shared" si="0"/>
        <v>180.57195908924874</v>
      </c>
    </row>
    <row r="50" spans="1:10" s="13" customFormat="1" ht="42.75">
      <c r="A50" s="225" t="s">
        <v>495</v>
      </c>
      <c r="B50" s="190"/>
      <c r="C50" s="274" t="s">
        <v>108</v>
      </c>
      <c r="D50" s="275" t="s">
        <v>391</v>
      </c>
      <c r="E50" s="275" t="s">
        <v>109</v>
      </c>
      <c r="F50" s="278" t="s">
        <v>496</v>
      </c>
      <c r="G50" s="137">
        <v>6554</v>
      </c>
      <c r="H50" s="12">
        <v>2278</v>
      </c>
      <c r="I50" s="12">
        <f t="shared" si="0"/>
        <v>34.75740006103143</v>
      </c>
      <c r="J50" s="34">
        <f>SUM('[3]ведомствен.2014'!G40+'[3]ведомствен.2014'!G337)</f>
        <v>6554</v>
      </c>
    </row>
    <row r="51" spans="1:10" s="13" customFormat="1" ht="15">
      <c r="A51" s="225" t="s">
        <v>500</v>
      </c>
      <c r="B51" s="190"/>
      <c r="C51" s="274" t="s">
        <v>460</v>
      </c>
      <c r="D51" s="275" t="s">
        <v>391</v>
      </c>
      <c r="E51" s="275" t="s">
        <v>109</v>
      </c>
      <c r="F51" s="276" t="s">
        <v>120</v>
      </c>
      <c r="G51" s="138">
        <v>16.4</v>
      </c>
      <c r="H51" s="12"/>
      <c r="I51" s="12"/>
      <c r="J51" s="34">
        <f>SUM('[3]ведомствен.2014'!G41+'[3]ведомствен.2014'!G338)</f>
        <v>16.400000000000002</v>
      </c>
    </row>
    <row r="52" spans="1:10" ht="28.5">
      <c r="A52" s="225" t="s">
        <v>392</v>
      </c>
      <c r="B52" s="190"/>
      <c r="C52" s="274" t="s">
        <v>108</v>
      </c>
      <c r="D52" s="275" t="s">
        <v>391</v>
      </c>
      <c r="E52" s="275" t="s">
        <v>393</v>
      </c>
      <c r="F52" s="276"/>
      <c r="G52" s="137">
        <f>SUM(G53)</f>
        <v>15988.8</v>
      </c>
      <c r="H52" s="12">
        <f>SUM(H53)</f>
        <v>9586.3</v>
      </c>
      <c r="I52" s="12">
        <f t="shared" si="0"/>
        <v>59.956344441108776</v>
      </c>
      <c r="J52"/>
    </row>
    <row r="53" spans="1:10" s="14" customFormat="1" ht="42.75">
      <c r="A53" s="225" t="s">
        <v>495</v>
      </c>
      <c r="B53" s="190"/>
      <c r="C53" s="274" t="s">
        <v>108</v>
      </c>
      <c r="D53" s="275" t="s">
        <v>391</v>
      </c>
      <c r="E53" s="275" t="s">
        <v>393</v>
      </c>
      <c r="F53" s="278" t="s">
        <v>496</v>
      </c>
      <c r="G53" s="137">
        <v>15988.8</v>
      </c>
      <c r="H53" s="12">
        <v>9586.3</v>
      </c>
      <c r="I53" s="12">
        <f t="shared" si="0"/>
        <v>59.956344441108776</v>
      </c>
      <c r="J53" s="34">
        <f>SUM('[3]ведомствен.2014'!G340)</f>
        <v>15988.8</v>
      </c>
    </row>
    <row r="54" spans="1:10" ht="28.5">
      <c r="A54" s="225" t="s">
        <v>394</v>
      </c>
      <c r="B54" s="190"/>
      <c r="C54" s="274" t="s">
        <v>108</v>
      </c>
      <c r="D54" s="275" t="s">
        <v>391</v>
      </c>
      <c r="E54" s="275" t="s">
        <v>395</v>
      </c>
      <c r="F54" s="278"/>
      <c r="G54" s="137">
        <f>SUM(G55)</f>
        <v>1692</v>
      </c>
      <c r="H54" s="12">
        <f>SUM(H55)</f>
        <v>551.6</v>
      </c>
      <c r="I54" s="12">
        <f t="shared" si="0"/>
        <v>32.600472813238774</v>
      </c>
      <c r="J54"/>
    </row>
    <row r="55" spans="1:10" ht="42.75">
      <c r="A55" s="225" t="s">
        <v>495</v>
      </c>
      <c r="B55" s="190"/>
      <c r="C55" s="274" t="s">
        <v>108</v>
      </c>
      <c r="D55" s="275" t="s">
        <v>391</v>
      </c>
      <c r="E55" s="275" t="s">
        <v>395</v>
      </c>
      <c r="F55" s="276" t="s">
        <v>496</v>
      </c>
      <c r="G55" s="137">
        <v>1692</v>
      </c>
      <c r="H55" s="12">
        <v>551.6</v>
      </c>
      <c r="I55" s="12">
        <f t="shared" si="0"/>
        <v>32.600472813238774</v>
      </c>
      <c r="J55" s="33">
        <f>SUM('[3]ведомствен.2014'!G43)</f>
        <v>1692</v>
      </c>
    </row>
    <row r="56" spans="1:10" ht="15" hidden="1">
      <c r="A56" s="226" t="s">
        <v>396</v>
      </c>
      <c r="B56" s="191"/>
      <c r="C56" s="284" t="s">
        <v>460</v>
      </c>
      <c r="D56" s="280" t="s">
        <v>117</v>
      </c>
      <c r="E56" s="280"/>
      <c r="F56" s="277"/>
      <c r="G56" s="138">
        <f>SUM(G57)</f>
        <v>0</v>
      </c>
      <c r="H56" s="12">
        <f>SUM(H57)</f>
        <v>4219.8</v>
      </c>
      <c r="I56" s="12" t="e">
        <f t="shared" si="0"/>
        <v>#DIV/0!</v>
      </c>
      <c r="J56"/>
    </row>
    <row r="57" spans="1:10" ht="15" hidden="1">
      <c r="A57" s="226" t="s">
        <v>396</v>
      </c>
      <c r="B57" s="191"/>
      <c r="C57" s="284" t="s">
        <v>460</v>
      </c>
      <c r="D57" s="280" t="s">
        <v>117</v>
      </c>
      <c r="E57" s="280" t="s">
        <v>397</v>
      </c>
      <c r="F57" s="277"/>
      <c r="G57" s="138">
        <f>SUM(G58+G60)</f>
        <v>0</v>
      </c>
      <c r="H57" s="12">
        <f>SUM(H58+H60)</f>
        <v>4219.8</v>
      </c>
      <c r="I57" s="12" t="e">
        <f t="shared" si="0"/>
        <v>#DIV/0!</v>
      </c>
      <c r="J57"/>
    </row>
    <row r="58" spans="1:10" ht="28.5" hidden="1">
      <c r="A58" s="225" t="s">
        <v>398</v>
      </c>
      <c r="B58" s="191"/>
      <c r="C58" s="284" t="s">
        <v>460</v>
      </c>
      <c r="D58" s="280" t="s">
        <v>117</v>
      </c>
      <c r="E58" s="280" t="s">
        <v>399</v>
      </c>
      <c r="F58" s="277"/>
      <c r="G58" s="138">
        <f>SUM(G59:G59)</f>
        <v>0</v>
      </c>
      <c r="H58" s="12">
        <f>SUM(H59:H59)</f>
        <v>2142.4</v>
      </c>
      <c r="I58" s="12" t="e">
        <f t="shared" si="0"/>
        <v>#DIV/0!</v>
      </c>
      <c r="J58"/>
    </row>
    <row r="59" spans="1:10" ht="15" hidden="1">
      <c r="A59" s="225" t="s">
        <v>103</v>
      </c>
      <c r="B59" s="191"/>
      <c r="C59" s="284" t="s">
        <v>460</v>
      </c>
      <c r="D59" s="280" t="s">
        <v>117</v>
      </c>
      <c r="E59" s="280" t="s">
        <v>399</v>
      </c>
      <c r="F59" s="277" t="s">
        <v>104</v>
      </c>
      <c r="G59" s="138"/>
      <c r="H59" s="12">
        <v>2142.4</v>
      </c>
      <c r="I59" s="12" t="e">
        <f t="shared" si="0"/>
        <v>#DIV/0!</v>
      </c>
      <c r="J59"/>
    </row>
    <row r="60" spans="1:10" ht="15" hidden="1">
      <c r="A60" s="225" t="s">
        <v>400</v>
      </c>
      <c r="B60" s="191"/>
      <c r="C60" s="284" t="s">
        <v>460</v>
      </c>
      <c r="D60" s="280" t="s">
        <v>117</v>
      </c>
      <c r="E60" s="280" t="s">
        <v>401</v>
      </c>
      <c r="F60" s="277"/>
      <c r="G60" s="138">
        <f>SUM(G61)</f>
        <v>0</v>
      </c>
      <c r="H60" s="12">
        <f>SUM(H61)</f>
        <v>2077.4</v>
      </c>
      <c r="I60" s="12" t="e">
        <f t="shared" si="0"/>
        <v>#DIV/0!</v>
      </c>
      <c r="J60"/>
    </row>
    <row r="61" spans="1:10" ht="15" hidden="1">
      <c r="A61" s="225" t="s">
        <v>103</v>
      </c>
      <c r="B61" s="191"/>
      <c r="C61" s="284" t="s">
        <v>460</v>
      </c>
      <c r="D61" s="280" t="s">
        <v>117</v>
      </c>
      <c r="E61" s="280" t="s">
        <v>401</v>
      </c>
      <c r="F61" s="277" t="s">
        <v>104</v>
      </c>
      <c r="G61" s="138"/>
      <c r="H61" s="12">
        <v>2077.4</v>
      </c>
      <c r="I61" s="12" t="e">
        <f t="shared" si="0"/>
        <v>#DIV/0!</v>
      </c>
      <c r="J61"/>
    </row>
    <row r="62" spans="1:9" s="13" customFormat="1" ht="15">
      <c r="A62" s="225" t="s">
        <v>407</v>
      </c>
      <c r="B62" s="190"/>
      <c r="C62" s="274" t="s">
        <v>460</v>
      </c>
      <c r="D62" s="275" t="s">
        <v>419</v>
      </c>
      <c r="E62" s="275"/>
      <c r="F62" s="276"/>
      <c r="G62" s="137">
        <f>SUM(G63)</f>
        <v>83.2</v>
      </c>
      <c r="H62" s="12" t="e">
        <f>SUM(H63)</f>
        <v>#REF!</v>
      </c>
      <c r="I62" s="12" t="e">
        <f t="shared" si="0"/>
        <v>#REF!</v>
      </c>
    </row>
    <row r="63" spans="1:9" s="13" customFormat="1" ht="15">
      <c r="A63" s="225" t="s">
        <v>387</v>
      </c>
      <c r="B63" s="190"/>
      <c r="C63" s="274" t="s">
        <v>460</v>
      </c>
      <c r="D63" s="275" t="s">
        <v>419</v>
      </c>
      <c r="E63" s="275" t="s">
        <v>507</v>
      </c>
      <c r="F63" s="276"/>
      <c r="G63" s="137">
        <f>SUM(G64)</f>
        <v>83.2</v>
      </c>
      <c r="H63" s="12" t="e">
        <f>SUM(#REF!)</f>
        <v>#REF!</v>
      </c>
      <c r="I63" s="12" t="e">
        <f t="shared" si="0"/>
        <v>#REF!</v>
      </c>
    </row>
    <row r="64" spans="1:10" s="13" customFormat="1" ht="15">
      <c r="A64" s="225" t="s">
        <v>501</v>
      </c>
      <c r="B64" s="190"/>
      <c r="C64" s="274" t="s">
        <v>460</v>
      </c>
      <c r="D64" s="275" t="s">
        <v>419</v>
      </c>
      <c r="E64" s="275" t="s">
        <v>507</v>
      </c>
      <c r="F64" s="276" t="s">
        <v>176</v>
      </c>
      <c r="G64" s="137">
        <v>83.2</v>
      </c>
      <c r="H64" s="12" t="e">
        <f>SUM(#REF!)</f>
        <v>#REF!</v>
      </c>
      <c r="I64" s="12" t="e">
        <f t="shared" si="0"/>
        <v>#REF!</v>
      </c>
      <c r="J64" s="13">
        <f>SUM('[3]ведомствен.2014'!G343)</f>
        <v>83.2</v>
      </c>
    </row>
    <row r="65" spans="1:10" ht="15">
      <c r="A65" s="225" t="s">
        <v>112</v>
      </c>
      <c r="B65" s="190"/>
      <c r="C65" s="274" t="s">
        <v>460</v>
      </c>
      <c r="D65" s="275" t="s">
        <v>236</v>
      </c>
      <c r="E65" s="275"/>
      <c r="F65" s="277"/>
      <c r="G65" s="137">
        <f>SUM(G68+G81)+G66</f>
        <v>52956.799999999996</v>
      </c>
      <c r="H65" s="12" t="e">
        <f>SUM(H68+H83+#REF!+#REF!+#REF!+#REF!+H73+H80)</f>
        <v>#REF!</v>
      </c>
      <c r="I65" s="12" t="e">
        <f t="shared" si="0"/>
        <v>#REF!</v>
      </c>
      <c r="J65"/>
    </row>
    <row r="66" spans="1:10" ht="15">
      <c r="A66" s="109" t="s">
        <v>387</v>
      </c>
      <c r="B66" s="62"/>
      <c r="C66" s="275" t="s">
        <v>460</v>
      </c>
      <c r="D66" s="275" t="s">
        <v>236</v>
      </c>
      <c r="E66" s="275" t="s">
        <v>507</v>
      </c>
      <c r="F66" s="276"/>
      <c r="G66" s="258">
        <f>SUM(G67)</f>
        <v>100</v>
      </c>
      <c r="H66" s="12"/>
      <c r="I66" s="12"/>
      <c r="J66"/>
    </row>
    <row r="67" spans="1:10" ht="15">
      <c r="A67" s="109" t="s">
        <v>500</v>
      </c>
      <c r="B67" s="117"/>
      <c r="C67" s="275" t="s">
        <v>460</v>
      </c>
      <c r="D67" s="275" t="s">
        <v>236</v>
      </c>
      <c r="E67" s="275" t="s">
        <v>507</v>
      </c>
      <c r="F67" s="286" t="s">
        <v>120</v>
      </c>
      <c r="G67" s="258">
        <v>100</v>
      </c>
      <c r="H67" s="12"/>
      <c r="I67" s="12"/>
      <c r="J67">
        <f>SUM('[3]ведомствен.2014'!G80)</f>
        <v>100</v>
      </c>
    </row>
    <row r="68" spans="1:10" ht="28.5">
      <c r="A68" s="226" t="s">
        <v>497</v>
      </c>
      <c r="B68" s="192"/>
      <c r="C68" s="290" t="s">
        <v>460</v>
      </c>
      <c r="D68" s="291" t="s">
        <v>236</v>
      </c>
      <c r="E68" s="291" t="s">
        <v>498</v>
      </c>
      <c r="F68" s="289"/>
      <c r="G68" s="612">
        <f>G69+G72+G74+G77</f>
        <v>50390.899999999994</v>
      </c>
      <c r="H68" s="12">
        <f>SUM(H69+H71)</f>
        <v>2749.5</v>
      </c>
      <c r="I68" s="12">
        <f t="shared" si="0"/>
        <v>5.456342315775269</v>
      </c>
      <c r="J68"/>
    </row>
    <row r="69" spans="1:10" ht="15">
      <c r="A69" s="226" t="s">
        <v>486</v>
      </c>
      <c r="B69" s="193"/>
      <c r="C69" s="290" t="s">
        <v>460</v>
      </c>
      <c r="D69" s="291" t="s">
        <v>236</v>
      </c>
      <c r="E69" s="291" t="s">
        <v>499</v>
      </c>
      <c r="F69" s="292"/>
      <c r="G69" s="612">
        <f>G70+G71</f>
        <v>3979.6</v>
      </c>
      <c r="H69" s="12">
        <f>SUM(H70)</f>
        <v>2749.5</v>
      </c>
      <c r="I69" s="12">
        <f t="shared" si="0"/>
        <v>69.08985827721379</v>
      </c>
      <c r="J69"/>
    </row>
    <row r="70" spans="1:10" ht="15">
      <c r="A70" s="226" t="s">
        <v>500</v>
      </c>
      <c r="B70" s="193"/>
      <c r="C70" s="290" t="s">
        <v>460</v>
      </c>
      <c r="D70" s="291" t="s">
        <v>236</v>
      </c>
      <c r="E70" s="291" t="s">
        <v>499</v>
      </c>
      <c r="F70" s="292" t="s">
        <v>120</v>
      </c>
      <c r="G70" s="612">
        <v>3855.7</v>
      </c>
      <c r="H70" s="12">
        <v>2749.5</v>
      </c>
      <c r="I70" s="12">
        <f t="shared" si="0"/>
        <v>71.31000855875716</v>
      </c>
      <c r="J70" s="33">
        <f>SUM('[3]ведомствен.2014'!G27+'[3]ведомствен.2014'!G47+'[3]ведомствен.2014'!G83+'[3]ведомствен.2014'!G347)</f>
        <v>3855.7000000000003</v>
      </c>
    </row>
    <row r="71" spans="1:10" ht="15">
      <c r="A71" s="226" t="s">
        <v>501</v>
      </c>
      <c r="B71" s="193"/>
      <c r="C71" s="290" t="s">
        <v>460</v>
      </c>
      <c r="D71" s="291" t="s">
        <v>236</v>
      </c>
      <c r="E71" s="291" t="s">
        <v>499</v>
      </c>
      <c r="F71" s="292" t="s">
        <v>176</v>
      </c>
      <c r="G71" s="612">
        <v>123.9</v>
      </c>
      <c r="H71" s="12">
        <f>SUM(H72)</f>
        <v>0</v>
      </c>
      <c r="I71" s="12">
        <f t="shared" si="0"/>
        <v>0</v>
      </c>
      <c r="J71" s="33">
        <f>SUM('[3]ведомствен.2014'!G28+'[3]ведомствен.2014'!G48+'[3]ведомствен.2014'!G84+'[3]ведомствен.2014'!G348)</f>
        <v>123.9</v>
      </c>
    </row>
    <row r="72" spans="1:9" ht="28.5">
      <c r="A72" s="226" t="s">
        <v>487</v>
      </c>
      <c r="B72" s="193"/>
      <c r="C72" s="290" t="s">
        <v>460</v>
      </c>
      <c r="D72" s="291" t="s">
        <v>236</v>
      </c>
      <c r="E72" s="291" t="s">
        <v>502</v>
      </c>
      <c r="F72" s="292"/>
      <c r="G72" s="612">
        <f>SUM(G73)</f>
        <v>11735.8</v>
      </c>
      <c r="H72" s="12"/>
      <c r="I72" s="12">
        <f t="shared" si="0"/>
        <v>0</v>
      </c>
    </row>
    <row r="73" spans="1:10" ht="15">
      <c r="A73" s="226" t="s">
        <v>500</v>
      </c>
      <c r="B73" s="193"/>
      <c r="C73" s="290" t="s">
        <v>460</v>
      </c>
      <c r="D73" s="291" t="s">
        <v>236</v>
      </c>
      <c r="E73" s="291" t="s">
        <v>502</v>
      </c>
      <c r="F73" s="292" t="s">
        <v>120</v>
      </c>
      <c r="G73" s="612">
        <v>11735.8</v>
      </c>
      <c r="H73" s="12">
        <f>SUM(H77+H75)</f>
        <v>836.4</v>
      </c>
      <c r="I73" s="12">
        <f t="shared" si="0"/>
        <v>7.126910819884456</v>
      </c>
      <c r="J73" s="33">
        <f>SUM('[3]ведомствен.2014'!G30+'[3]ведомствен.2014'!G50+'[3]ведомствен.2014'!G86+'[3]ведомствен.2014'!G350)</f>
        <v>11735.800000000001</v>
      </c>
    </row>
    <row r="74" spans="1:10" ht="28.5">
      <c r="A74" s="226" t="s">
        <v>522</v>
      </c>
      <c r="B74" s="193"/>
      <c r="C74" s="290" t="s">
        <v>460</v>
      </c>
      <c r="D74" s="291" t="s">
        <v>236</v>
      </c>
      <c r="E74" s="291" t="s">
        <v>523</v>
      </c>
      <c r="F74" s="292"/>
      <c r="G74" s="612">
        <f>SUM(G75:G76)</f>
        <v>6795.799999999999</v>
      </c>
      <c r="H74" s="12">
        <f>SUM(H75)</f>
        <v>0</v>
      </c>
      <c r="I74" s="12">
        <f t="shared" si="0"/>
        <v>0</v>
      </c>
      <c r="J74"/>
    </row>
    <row r="75" spans="1:10" ht="15">
      <c r="A75" s="226" t="s">
        <v>500</v>
      </c>
      <c r="B75" s="193"/>
      <c r="C75" s="290" t="s">
        <v>460</v>
      </c>
      <c r="D75" s="291" t="s">
        <v>236</v>
      </c>
      <c r="E75" s="291" t="s">
        <v>523</v>
      </c>
      <c r="F75" s="292" t="s">
        <v>120</v>
      </c>
      <c r="G75" s="612">
        <v>6768.4</v>
      </c>
      <c r="H75" s="12"/>
      <c r="I75" s="12">
        <f t="shared" si="0"/>
        <v>0</v>
      </c>
      <c r="J75">
        <f>SUM('[3]ведомствен.2014'!G88)</f>
        <v>6768.400000000001</v>
      </c>
    </row>
    <row r="76" spans="1:10" ht="15">
      <c r="A76" s="226" t="s">
        <v>501</v>
      </c>
      <c r="B76" s="193"/>
      <c r="C76" s="290" t="s">
        <v>460</v>
      </c>
      <c r="D76" s="291" t="s">
        <v>236</v>
      </c>
      <c r="E76" s="291" t="s">
        <v>523</v>
      </c>
      <c r="F76" s="292" t="s">
        <v>176</v>
      </c>
      <c r="G76" s="612">
        <v>27.4</v>
      </c>
      <c r="H76" s="12"/>
      <c r="I76" s="12">
        <f t="shared" si="0"/>
        <v>0</v>
      </c>
      <c r="J76">
        <f>SUM('[3]ведомствен.2014'!G89)</f>
        <v>27.4</v>
      </c>
    </row>
    <row r="77" spans="1:10" ht="28.5">
      <c r="A77" s="226" t="s">
        <v>503</v>
      </c>
      <c r="B77" s="193"/>
      <c r="C77" s="290" t="s">
        <v>460</v>
      </c>
      <c r="D77" s="291" t="s">
        <v>236</v>
      </c>
      <c r="E77" s="291" t="s">
        <v>504</v>
      </c>
      <c r="F77" s="292"/>
      <c r="G77" s="612">
        <f>SUM(G78:G80)</f>
        <v>27879.7</v>
      </c>
      <c r="H77" s="12">
        <f>SUM(H78)</f>
        <v>836.4</v>
      </c>
      <c r="I77" s="12">
        <f t="shared" si="0"/>
        <v>3.000032281552527</v>
      </c>
      <c r="J77"/>
    </row>
    <row r="78" spans="1:10" ht="15">
      <c r="A78" s="226" t="s">
        <v>500</v>
      </c>
      <c r="B78" s="193"/>
      <c r="C78" s="290" t="s">
        <v>460</v>
      </c>
      <c r="D78" s="291" t="s">
        <v>236</v>
      </c>
      <c r="E78" s="291" t="s">
        <v>504</v>
      </c>
      <c r="F78" s="292" t="s">
        <v>120</v>
      </c>
      <c r="G78" s="612">
        <f>20055.2+92.1</f>
        <v>20147.3</v>
      </c>
      <c r="H78" s="12">
        <v>836.4</v>
      </c>
      <c r="I78" s="12">
        <f t="shared" si="0"/>
        <v>4.151424756667146</v>
      </c>
      <c r="J78">
        <f>SUM('[3]ведомствен.2014'!G32+'[3]ведомствен.2014'!G52+'[3]ведомствен.2014'!G91+'[3]ведомствен.2014'!G352)</f>
        <v>20147.3</v>
      </c>
    </row>
    <row r="79" spans="1:10" ht="15">
      <c r="A79" s="225" t="s">
        <v>505</v>
      </c>
      <c r="B79" s="190"/>
      <c r="C79" s="274" t="s">
        <v>460</v>
      </c>
      <c r="D79" s="275" t="s">
        <v>236</v>
      </c>
      <c r="E79" s="275" t="s">
        <v>504</v>
      </c>
      <c r="F79" s="278" t="s">
        <v>506</v>
      </c>
      <c r="G79" s="137">
        <v>667.7</v>
      </c>
      <c r="H79" s="12"/>
      <c r="I79" s="12"/>
      <c r="J79">
        <f>SUM('[3]ведомствен.2014'!G33)</f>
        <v>667.7</v>
      </c>
    </row>
    <row r="80" spans="1:10" ht="15">
      <c r="A80" s="226" t="s">
        <v>501</v>
      </c>
      <c r="B80" s="193"/>
      <c r="C80" s="290" t="s">
        <v>460</v>
      </c>
      <c r="D80" s="291" t="s">
        <v>236</v>
      </c>
      <c r="E80" s="291" t="s">
        <v>504</v>
      </c>
      <c r="F80" s="292" t="s">
        <v>176</v>
      </c>
      <c r="G80" s="612">
        <f>7156.8-92.1</f>
        <v>7064.7</v>
      </c>
      <c r="H80" s="12">
        <f>SUM(H82)</f>
        <v>536.9</v>
      </c>
      <c r="I80" s="12">
        <f>SUM(H80/G80*100)</f>
        <v>7.599756536017099</v>
      </c>
      <c r="J80">
        <f>SUM('[3]ведомствен.2014'!G34+'[3]ведомствен.2014'!G53+'[3]ведомствен.2014'!G92+'[3]ведомствен.2014'!G353)</f>
        <v>7064.7</v>
      </c>
    </row>
    <row r="81" spans="1:10" ht="28.5">
      <c r="A81" s="226" t="s">
        <v>599</v>
      </c>
      <c r="B81" s="193"/>
      <c r="C81" s="290" t="s">
        <v>460</v>
      </c>
      <c r="D81" s="291" t="s">
        <v>236</v>
      </c>
      <c r="E81" s="291" t="s">
        <v>136</v>
      </c>
      <c r="F81" s="292"/>
      <c r="G81" s="612">
        <f>G82</f>
        <v>2465.9</v>
      </c>
      <c r="H81" s="12">
        <f>SUM(H82)</f>
        <v>536.9</v>
      </c>
      <c r="I81" s="12">
        <f>SUM(H81/G81*100)</f>
        <v>21.772983494870026</v>
      </c>
      <c r="J81"/>
    </row>
    <row r="82" spans="1:10" ht="28.5">
      <c r="A82" s="226" t="s">
        <v>15</v>
      </c>
      <c r="B82" s="193"/>
      <c r="C82" s="290" t="s">
        <v>460</v>
      </c>
      <c r="D82" s="291" t="s">
        <v>236</v>
      </c>
      <c r="E82" s="291" t="s">
        <v>204</v>
      </c>
      <c r="F82" s="292"/>
      <c r="G82" s="612">
        <f>G83+G85</f>
        <v>2465.9</v>
      </c>
      <c r="H82" s="12">
        <f>423.2+113.7</f>
        <v>536.9</v>
      </c>
      <c r="I82" s="12">
        <f>SUM(H82/G82*100)</f>
        <v>21.772983494870026</v>
      </c>
      <c r="J82"/>
    </row>
    <row r="83" spans="1:10" ht="28.5">
      <c r="A83" s="228" t="s">
        <v>633</v>
      </c>
      <c r="B83" s="193"/>
      <c r="C83" s="290" t="s">
        <v>460</v>
      </c>
      <c r="D83" s="291" t="s">
        <v>236</v>
      </c>
      <c r="E83" s="291" t="s">
        <v>206</v>
      </c>
      <c r="F83" s="292"/>
      <c r="G83" s="612">
        <f>SUM(G84)</f>
        <v>2380.3</v>
      </c>
      <c r="H83" s="12">
        <f>SUM(H85)</f>
        <v>917.7</v>
      </c>
      <c r="I83" s="12">
        <f>SUM(H83/G83*100)</f>
        <v>38.55396378607738</v>
      </c>
      <c r="J83"/>
    </row>
    <row r="84" spans="1:10" ht="28.5">
      <c r="A84" s="226" t="s">
        <v>524</v>
      </c>
      <c r="B84" s="193"/>
      <c r="C84" s="290" t="s">
        <v>460</v>
      </c>
      <c r="D84" s="291" t="s">
        <v>236</v>
      </c>
      <c r="E84" s="291" t="s">
        <v>206</v>
      </c>
      <c r="F84" s="292" t="s">
        <v>513</v>
      </c>
      <c r="G84" s="612">
        <v>2380.3</v>
      </c>
      <c r="H84" s="12"/>
      <c r="I84" s="12"/>
      <c r="J84">
        <f>SUM('[3]ведомствен.2014'!G96)</f>
        <v>2380.3</v>
      </c>
    </row>
    <row r="85" spans="1:10" ht="28.5">
      <c r="A85" s="225" t="s">
        <v>157</v>
      </c>
      <c r="B85" s="193"/>
      <c r="C85" s="290" t="s">
        <v>460</v>
      </c>
      <c r="D85" s="291" t="s">
        <v>236</v>
      </c>
      <c r="E85" s="291" t="s">
        <v>415</v>
      </c>
      <c r="F85" s="292"/>
      <c r="G85" s="612">
        <f>SUM(G86)</f>
        <v>85.6</v>
      </c>
      <c r="H85" s="12">
        <f>SUM(H86)</f>
        <v>917.7</v>
      </c>
      <c r="I85" s="12">
        <f>SUM(H85/G85*100)</f>
        <v>1072.0794392523367</v>
      </c>
      <c r="J85"/>
    </row>
    <row r="86" spans="1:10" ht="28.5">
      <c r="A86" s="226" t="s">
        <v>144</v>
      </c>
      <c r="B86" s="193"/>
      <c r="C86" s="290" t="s">
        <v>460</v>
      </c>
      <c r="D86" s="291" t="s">
        <v>236</v>
      </c>
      <c r="E86" s="291" t="s">
        <v>416</v>
      </c>
      <c r="F86" s="292"/>
      <c r="G86" s="612">
        <f>SUM(G87)</f>
        <v>85.6</v>
      </c>
      <c r="H86" s="12">
        <v>917.7</v>
      </c>
      <c r="I86" s="12">
        <f>SUM(H86/G86*100)</f>
        <v>1072.0794392523367</v>
      </c>
      <c r="J86">
        <f>SUM('[3]ведомствен.2014'!G98)</f>
        <v>85.6</v>
      </c>
    </row>
    <row r="87" spans="1:9" ht="28.5">
      <c r="A87" s="226" t="s">
        <v>524</v>
      </c>
      <c r="B87" s="193"/>
      <c r="C87" s="290" t="s">
        <v>460</v>
      </c>
      <c r="D87" s="291" t="s">
        <v>236</v>
      </c>
      <c r="E87" s="291" t="s">
        <v>416</v>
      </c>
      <c r="F87" s="292" t="s">
        <v>513</v>
      </c>
      <c r="G87" s="612">
        <v>85.6</v>
      </c>
      <c r="H87" s="12"/>
      <c r="I87" s="12"/>
    </row>
    <row r="88" spans="1:12" s="11" customFormat="1" ht="30">
      <c r="A88" s="229" t="s">
        <v>139</v>
      </c>
      <c r="B88" s="194"/>
      <c r="C88" s="279" t="s">
        <v>106</v>
      </c>
      <c r="D88" s="325"/>
      <c r="E88" s="325"/>
      <c r="F88" s="326"/>
      <c r="G88" s="139">
        <f>SUM(G89+G95)</f>
        <v>22674.199999999997</v>
      </c>
      <c r="H88" s="15" t="e">
        <f>SUM(#REF!+H93)+H113</f>
        <v>#REF!</v>
      </c>
      <c r="I88" s="15" t="e">
        <f>SUM(H88/G88*100)</f>
        <v>#REF!</v>
      </c>
      <c r="K88" s="11">
        <f>SUM(J89:J116)</f>
        <v>22674.2</v>
      </c>
      <c r="L88" s="11">
        <f>SUM('[3]ведомствен.2014'!G101)</f>
        <v>22674.199999999997</v>
      </c>
    </row>
    <row r="89" spans="1:9" s="14" customFormat="1" ht="15">
      <c r="A89" s="230" t="s">
        <v>59</v>
      </c>
      <c r="B89" s="193"/>
      <c r="C89" s="290" t="s">
        <v>106</v>
      </c>
      <c r="D89" s="291" t="s">
        <v>122</v>
      </c>
      <c r="E89" s="291"/>
      <c r="F89" s="292"/>
      <c r="G89" s="612">
        <f>SUM(G91)</f>
        <v>5707.1</v>
      </c>
      <c r="H89" s="12">
        <f>SUM(H91)</f>
        <v>0</v>
      </c>
      <c r="I89" s="12" t="e">
        <f>SUM(H89/#REF!*100)</f>
        <v>#REF!</v>
      </c>
    </row>
    <row r="90" spans="1:9" s="14" customFormat="1" ht="15">
      <c r="A90" s="226" t="s">
        <v>410</v>
      </c>
      <c r="B90" s="193"/>
      <c r="C90" s="290" t="s">
        <v>106</v>
      </c>
      <c r="D90" s="291" t="s">
        <v>122</v>
      </c>
      <c r="E90" s="291" t="s">
        <v>411</v>
      </c>
      <c r="F90" s="292"/>
      <c r="G90" s="612">
        <f>SUM(G91)</f>
        <v>5707.1</v>
      </c>
      <c r="H90" s="12"/>
      <c r="I90" s="12"/>
    </row>
    <row r="91" spans="1:9" s="14" customFormat="1" ht="28.5">
      <c r="A91" s="226" t="s">
        <v>616</v>
      </c>
      <c r="B91" s="193"/>
      <c r="C91" s="290" t="s">
        <v>106</v>
      </c>
      <c r="D91" s="291" t="s">
        <v>122</v>
      </c>
      <c r="E91" s="291" t="s">
        <v>646</v>
      </c>
      <c r="F91" s="292"/>
      <c r="G91" s="612">
        <f>G92+G93+G94</f>
        <v>5707.1</v>
      </c>
      <c r="H91" s="12">
        <f>SUM(H92)</f>
        <v>0</v>
      </c>
      <c r="I91" s="12" t="e">
        <f>SUM(H91/#REF!*100)</f>
        <v>#REF!</v>
      </c>
    </row>
    <row r="92" spans="1:10" s="14" customFormat="1" ht="42.75">
      <c r="A92" s="226" t="s">
        <v>495</v>
      </c>
      <c r="B92" s="193"/>
      <c r="C92" s="290" t="s">
        <v>106</v>
      </c>
      <c r="D92" s="291" t="s">
        <v>122</v>
      </c>
      <c r="E92" s="291" t="s">
        <v>646</v>
      </c>
      <c r="F92" s="292" t="s">
        <v>496</v>
      </c>
      <c r="G92" s="612">
        <v>3844.6</v>
      </c>
      <c r="H92" s="12"/>
      <c r="I92" s="12" t="e">
        <f>SUM(H92/#REF!*100)</f>
        <v>#REF!</v>
      </c>
      <c r="J92" s="14">
        <f>SUM('[3]ведомствен.2014'!G105)</f>
        <v>3844.6</v>
      </c>
    </row>
    <row r="93" spans="1:10" ht="15">
      <c r="A93" s="226" t="s">
        <v>500</v>
      </c>
      <c r="B93" s="193"/>
      <c r="C93" s="290" t="s">
        <v>106</v>
      </c>
      <c r="D93" s="291" t="s">
        <v>122</v>
      </c>
      <c r="E93" s="291" t="s">
        <v>646</v>
      </c>
      <c r="F93" s="292" t="s">
        <v>120</v>
      </c>
      <c r="G93" s="612">
        <v>1764.5</v>
      </c>
      <c r="H93" s="12" t="e">
        <f>SUM(#REF!+H98+H101+H104)+#REF!</f>
        <v>#REF!</v>
      </c>
      <c r="I93" s="12" t="e">
        <f>SUM(H93/G95*100)</f>
        <v>#REF!</v>
      </c>
      <c r="J93" s="14">
        <f>SUM('[3]ведомствен.2014'!G106)</f>
        <v>1764.5</v>
      </c>
    </row>
    <row r="94" spans="1:10" ht="15">
      <c r="A94" s="226" t="s">
        <v>501</v>
      </c>
      <c r="B94" s="193"/>
      <c r="C94" s="290" t="s">
        <v>106</v>
      </c>
      <c r="D94" s="291" t="s">
        <v>122</v>
      </c>
      <c r="E94" s="291" t="s">
        <v>646</v>
      </c>
      <c r="F94" s="292" t="s">
        <v>176</v>
      </c>
      <c r="G94" s="612">
        <v>98</v>
      </c>
      <c r="H94" s="12" t="e">
        <f>SUM(#REF!)</f>
        <v>#REF!</v>
      </c>
      <c r="I94" s="12" t="e">
        <f>SUM(H94/G96*100)</f>
        <v>#REF!</v>
      </c>
      <c r="J94" s="14">
        <f>SUM('[3]ведомствен.2014'!G107)</f>
        <v>98</v>
      </c>
    </row>
    <row r="95" spans="1:9" ht="42.75">
      <c r="A95" s="231" t="s">
        <v>299</v>
      </c>
      <c r="B95" s="195"/>
      <c r="C95" s="293" t="s">
        <v>106</v>
      </c>
      <c r="D95" s="294" t="s">
        <v>300</v>
      </c>
      <c r="E95" s="294"/>
      <c r="F95" s="295"/>
      <c r="G95" s="613">
        <f>G106+G111+G96+G114</f>
        <v>16967.1</v>
      </c>
      <c r="H95" s="12">
        <v>438.8</v>
      </c>
      <c r="I95" s="12" t="e">
        <f>SUM(H95/G101*100)</f>
        <v>#DIV/0!</v>
      </c>
    </row>
    <row r="96" spans="1:10" ht="42.75">
      <c r="A96" s="226" t="s">
        <v>600</v>
      </c>
      <c r="B96" s="193"/>
      <c r="C96" s="290" t="s">
        <v>106</v>
      </c>
      <c r="D96" s="291" t="s">
        <v>300</v>
      </c>
      <c r="E96" s="291" t="s">
        <v>528</v>
      </c>
      <c r="F96" s="292"/>
      <c r="G96" s="612">
        <f>SUM(G97)</f>
        <v>12677.099999999999</v>
      </c>
      <c r="H96" s="12">
        <f>SUM(H97)</f>
        <v>9825.3</v>
      </c>
      <c r="I96" s="12">
        <f>SUM(H96/G102*100)</f>
        <v>382.24789915966386</v>
      </c>
      <c r="J96"/>
    </row>
    <row r="97" spans="1:9" ht="28.5">
      <c r="A97" s="226" t="s">
        <v>56</v>
      </c>
      <c r="B97" s="193"/>
      <c r="C97" s="290" t="s">
        <v>106</v>
      </c>
      <c r="D97" s="291" t="s">
        <v>300</v>
      </c>
      <c r="E97" s="291" t="s">
        <v>529</v>
      </c>
      <c r="F97" s="292"/>
      <c r="G97" s="612">
        <f>G98+G102+G105</f>
        <v>12677.099999999999</v>
      </c>
      <c r="H97" s="12">
        <v>9825.3</v>
      </c>
      <c r="I97" s="12" t="e">
        <f>SUM(H97/G103*100)</f>
        <v>#DIV/0!</v>
      </c>
    </row>
    <row r="98" spans="1:10" ht="42.75">
      <c r="A98" s="226" t="s">
        <v>495</v>
      </c>
      <c r="B98" s="193"/>
      <c r="C98" s="290" t="s">
        <v>106</v>
      </c>
      <c r="D98" s="291" t="s">
        <v>300</v>
      </c>
      <c r="E98" s="291" t="s">
        <v>529</v>
      </c>
      <c r="F98" s="292" t="s">
        <v>496</v>
      </c>
      <c r="G98" s="612">
        <v>9896.4</v>
      </c>
      <c r="H98" s="12">
        <f>SUM(H99)</f>
        <v>227.3</v>
      </c>
      <c r="I98" s="12" t="e">
        <f>SUM(H98/G104*100)</f>
        <v>#DIV/0!</v>
      </c>
      <c r="J98">
        <f>SUM('[3]ведомствен.2014'!G111)</f>
        <v>9896.4</v>
      </c>
    </row>
    <row r="99" spans="1:10" ht="15" hidden="1">
      <c r="A99" s="226" t="s">
        <v>530</v>
      </c>
      <c r="B99" s="193"/>
      <c r="C99" s="290" t="s">
        <v>106</v>
      </c>
      <c r="D99" s="291" t="s">
        <v>300</v>
      </c>
      <c r="E99" s="291" t="s">
        <v>529</v>
      </c>
      <c r="F99" s="292" t="s">
        <v>531</v>
      </c>
      <c r="G99" s="612"/>
      <c r="H99" s="12">
        <f>SUM(H100)</f>
        <v>227.3</v>
      </c>
      <c r="I99" s="12">
        <f aca="true" t="shared" si="1" ref="I99:I104">SUM(H99/G106*100)</f>
        <v>7.705084745762712</v>
      </c>
      <c r="J99"/>
    </row>
    <row r="100" spans="1:9" ht="28.5" hidden="1">
      <c r="A100" s="226" t="s">
        <v>532</v>
      </c>
      <c r="B100" s="196"/>
      <c r="C100" s="290" t="s">
        <v>106</v>
      </c>
      <c r="D100" s="291" t="s">
        <v>300</v>
      </c>
      <c r="E100" s="291" t="s">
        <v>529</v>
      </c>
      <c r="F100" s="292" t="s">
        <v>533</v>
      </c>
      <c r="G100" s="612"/>
      <c r="H100" s="12">
        <v>227.3</v>
      </c>
      <c r="I100" s="12">
        <f t="shared" si="1"/>
        <v>23.926315789473684</v>
      </c>
    </row>
    <row r="101" spans="1:10" ht="28.5" hidden="1">
      <c r="A101" s="226" t="s">
        <v>534</v>
      </c>
      <c r="B101" s="196"/>
      <c r="C101" s="290" t="s">
        <v>106</v>
      </c>
      <c r="D101" s="291" t="s">
        <v>300</v>
      </c>
      <c r="E101" s="291" t="s">
        <v>529</v>
      </c>
      <c r="F101" s="292" t="s">
        <v>535</v>
      </c>
      <c r="G101" s="612"/>
      <c r="H101" s="12">
        <f>SUM(H102)</f>
        <v>5387.8</v>
      </c>
      <c r="I101" s="12">
        <f t="shared" si="1"/>
        <v>567.1368421052632</v>
      </c>
      <c r="J101"/>
    </row>
    <row r="102" spans="1:10" ht="15.75">
      <c r="A102" s="226" t="s">
        <v>500</v>
      </c>
      <c r="B102" s="196"/>
      <c r="C102" s="290" t="s">
        <v>106</v>
      </c>
      <c r="D102" s="291" t="s">
        <v>300</v>
      </c>
      <c r="E102" s="291" t="s">
        <v>529</v>
      </c>
      <c r="F102" s="292" t="s">
        <v>120</v>
      </c>
      <c r="G102" s="612">
        <v>2570.4</v>
      </c>
      <c r="H102" s="12">
        <f>SUM(H103)</f>
        <v>5387.8</v>
      </c>
      <c r="I102" s="12">
        <f t="shared" si="1"/>
        <v>269.39000000000004</v>
      </c>
      <c r="J102">
        <f>SUM('[3]ведомствен.2014'!G115)</f>
        <v>2570.4</v>
      </c>
    </row>
    <row r="103" spans="1:9" ht="28.5" hidden="1">
      <c r="A103" s="226" t="s">
        <v>518</v>
      </c>
      <c r="B103" s="196"/>
      <c r="C103" s="290" t="s">
        <v>106</v>
      </c>
      <c r="D103" s="291" t="s">
        <v>300</v>
      </c>
      <c r="E103" s="291" t="s">
        <v>529</v>
      </c>
      <c r="F103" s="292" t="s">
        <v>519</v>
      </c>
      <c r="G103" s="612"/>
      <c r="H103" s="12">
        <v>5387.8</v>
      </c>
      <c r="I103" s="12">
        <f t="shared" si="1"/>
        <v>269.39000000000004</v>
      </c>
    </row>
    <row r="104" spans="1:9" s="17" customFormat="1" ht="28.5" hidden="1">
      <c r="A104" s="226" t="s">
        <v>520</v>
      </c>
      <c r="B104" s="193"/>
      <c r="C104" s="290" t="s">
        <v>106</v>
      </c>
      <c r="D104" s="291" t="s">
        <v>300</v>
      </c>
      <c r="E104" s="291" t="s">
        <v>529</v>
      </c>
      <c r="F104" s="292" t="s">
        <v>521</v>
      </c>
      <c r="G104" s="612"/>
      <c r="H104" s="12">
        <f>SUM(H107)</f>
        <v>0</v>
      </c>
      <c r="I104" s="12">
        <f t="shared" si="1"/>
        <v>0</v>
      </c>
    </row>
    <row r="105" spans="1:10" s="17" customFormat="1" ht="15">
      <c r="A105" s="226" t="s">
        <v>501</v>
      </c>
      <c r="B105" s="193"/>
      <c r="C105" s="290" t="s">
        <v>106</v>
      </c>
      <c r="D105" s="291" t="s">
        <v>300</v>
      </c>
      <c r="E105" s="291" t="s">
        <v>529</v>
      </c>
      <c r="F105" s="292" t="s">
        <v>176</v>
      </c>
      <c r="G105" s="612">
        <v>210.3</v>
      </c>
      <c r="H105" s="12"/>
      <c r="I105" s="12"/>
      <c r="J105" s="17">
        <f>SUM('[3]ведомствен.2014'!G117)</f>
        <v>210.3</v>
      </c>
    </row>
    <row r="106" spans="1:9" s="17" customFormat="1" ht="28.5">
      <c r="A106" s="226" t="s">
        <v>601</v>
      </c>
      <c r="B106" s="193"/>
      <c r="C106" s="290" t="s">
        <v>106</v>
      </c>
      <c r="D106" s="291" t="s">
        <v>300</v>
      </c>
      <c r="E106" s="291" t="s">
        <v>536</v>
      </c>
      <c r="F106" s="292"/>
      <c r="G106" s="612">
        <f>SUM(G108+G110)</f>
        <v>2950</v>
      </c>
      <c r="H106" s="12">
        <f>SUM(H107)</f>
        <v>0</v>
      </c>
      <c r="I106" s="12">
        <f>SUM(H106/G112*100)</f>
        <v>0</v>
      </c>
    </row>
    <row r="107" spans="1:10" ht="28.5">
      <c r="A107" s="226" t="s">
        <v>602</v>
      </c>
      <c r="B107" s="193"/>
      <c r="C107" s="290" t="s">
        <v>106</v>
      </c>
      <c r="D107" s="291" t="s">
        <v>300</v>
      </c>
      <c r="E107" s="291" t="s">
        <v>537</v>
      </c>
      <c r="F107" s="292"/>
      <c r="G107" s="612">
        <f>SUM(G108)</f>
        <v>950</v>
      </c>
      <c r="H107" s="12"/>
      <c r="I107" s="12">
        <f>SUM(H107/G113*100)</f>
        <v>0</v>
      </c>
      <c r="J107"/>
    </row>
    <row r="108" spans="1:10" ht="15">
      <c r="A108" s="226" t="s">
        <v>500</v>
      </c>
      <c r="B108" s="193"/>
      <c r="C108" s="290" t="s">
        <v>106</v>
      </c>
      <c r="D108" s="291" t="s">
        <v>300</v>
      </c>
      <c r="E108" s="291" t="s">
        <v>537</v>
      </c>
      <c r="F108" s="292" t="s">
        <v>120</v>
      </c>
      <c r="G108" s="612">
        <v>950</v>
      </c>
      <c r="H108" s="12"/>
      <c r="I108" s="12"/>
      <c r="J108">
        <f>SUM('[3]ведомствен.2014'!G120)</f>
        <v>950</v>
      </c>
    </row>
    <row r="109" spans="1:10" ht="28.5">
      <c r="A109" s="226" t="s">
        <v>0</v>
      </c>
      <c r="B109" s="193"/>
      <c r="C109" s="290" t="s">
        <v>106</v>
      </c>
      <c r="D109" s="291" t="s">
        <v>300</v>
      </c>
      <c r="E109" s="291" t="s">
        <v>538</v>
      </c>
      <c r="F109" s="292"/>
      <c r="G109" s="612">
        <f>SUM(G110)</f>
        <v>2000</v>
      </c>
      <c r="H109" s="12"/>
      <c r="I109" s="12"/>
      <c r="J109"/>
    </row>
    <row r="110" spans="1:10" ht="15">
      <c r="A110" s="226" t="s">
        <v>500</v>
      </c>
      <c r="B110" s="193"/>
      <c r="C110" s="290" t="s">
        <v>106</v>
      </c>
      <c r="D110" s="291" t="s">
        <v>300</v>
      </c>
      <c r="E110" s="291" t="s">
        <v>538</v>
      </c>
      <c r="F110" s="292" t="s">
        <v>120</v>
      </c>
      <c r="G110" s="612">
        <v>2000</v>
      </c>
      <c r="H110" s="12"/>
      <c r="I110" s="12"/>
      <c r="J110">
        <f>SUM('[3]ведомствен.2014'!G122)</f>
        <v>2000</v>
      </c>
    </row>
    <row r="111" spans="1:10" ht="15">
      <c r="A111" s="226" t="s">
        <v>1</v>
      </c>
      <c r="B111" s="197"/>
      <c r="C111" s="284" t="s">
        <v>106</v>
      </c>
      <c r="D111" s="280" t="s">
        <v>300</v>
      </c>
      <c r="E111" s="280" t="s">
        <v>539</v>
      </c>
      <c r="F111" s="277"/>
      <c r="G111" s="612">
        <f>SUM(G112)</f>
        <v>40</v>
      </c>
      <c r="H111" s="12"/>
      <c r="I111" s="12"/>
      <c r="J111"/>
    </row>
    <row r="112" spans="1:10" ht="28.5">
      <c r="A112" s="226" t="s">
        <v>2</v>
      </c>
      <c r="B112" s="197"/>
      <c r="C112" s="284" t="s">
        <v>106</v>
      </c>
      <c r="D112" s="280" t="s">
        <v>300</v>
      </c>
      <c r="E112" s="280" t="s">
        <v>540</v>
      </c>
      <c r="F112" s="277"/>
      <c r="G112" s="612">
        <f>SUM(G113)</f>
        <v>40</v>
      </c>
      <c r="H112" s="12"/>
      <c r="I112" s="12"/>
      <c r="J112"/>
    </row>
    <row r="113" spans="1:10" ht="15">
      <c r="A113" s="226" t="s">
        <v>500</v>
      </c>
      <c r="B113" s="197"/>
      <c r="C113" s="284" t="s">
        <v>106</v>
      </c>
      <c r="D113" s="280" t="s">
        <v>300</v>
      </c>
      <c r="E113" s="280" t="s">
        <v>540</v>
      </c>
      <c r="F113" s="277" t="s">
        <v>120</v>
      </c>
      <c r="G113" s="612">
        <v>40</v>
      </c>
      <c r="H113" s="12" t="e">
        <f>SUM(#REF!+H115)</f>
        <v>#REF!</v>
      </c>
      <c r="I113" s="12" t="e">
        <f>SUM(H113/#REF!*100)</f>
        <v>#REF!</v>
      </c>
      <c r="J113">
        <f>SUM('[3]ведомствен.2014'!G125)</f>
        <v>40</v>
      </c>
    </row>
    <row r="114" spans="1:10" ht="15">
      <c r="A114" s="232" t="s">
        <v>551</v>
      </c>
      <c r="B114" s="197"/>
      <c r="C114" s="323" t="s">
        <v>106</v>
      </c>
      <c r="D114" s="300" t="s">
        <v>300</v>
      </c>
      <c r="E114" s="280" t="s">
        <v>129</v>
      </c>
      <c r="F114" s="614"/>
      <c r="G114" s="345">
        <f>SUM(G115)</f>
        <v>1300</v>
      </c>
      <c r="H114" s="12"/>
      <c r="I114" s="12" t="e">
        <f>SUM(H114/#REF!*100)</f>
        <v>#REF!</v>
      </c>
      <c r="J114"/>
    </row>
    <row r="115" spans="1:10" ht="28.5">
      <c r="A115" s="226" t="s">
        <v>670</v>
      </c>
      <c r="B115" s="190"/>
      <c r="C115" s="323" t="s">
        <v>106</v>
      </c>
      <c r="D115" s="300" t="s">
        <v>300</v>
      </c>
      <c r="E115" s="280" t="s">
        <v>138</v>
      </c>
      <c r="F115" s="277"/>
      <c r="G115" s="137">
        <f>SUM(G116)</f>
        <v>1300</v>
      </c>
      <c r="H115" s="12">
        <f>SUM(H116)</f>
        <v>0</v>
      </c>
      <c r="I115" s="12" t="e">
        <f>SUM(H115/#REF!*100)</f>
        <v>#REF!</v>
      </c>
      <c r="J115"/>
    </row>
    <row r="116" spans="1:10" ht="15">
      <c r="A116" s="226" t="s">
        <v>500</v>
      </c>
      <c r="B116" s="190"/>
      <c r="C116" s="323" t="s">
        <v>106</v>
      </c>
      <c r="D116" s="300" t="s">
        <v>300</v>
      </c>
      <c r="E116" s="280" t="s">
        <v>138</v>
      </c>
      <c r="F116" s="277" t="s">
        <v>120</v>
      </c>
      <c r="G116" s="137">
        <v>1300</v>
      </c>
      <c r="H116" s="12"/>
      <c r="I116" s="12" t="e">
        <f>SUM(H116/#REF!*100)</f>
        <v>#REF!</v>
      </c>
      <c r="J116">
        <f>SUM('[3]ведомствен.2014'!G130)</f>
        <v>1300</v>
      </c>
    </row>
    <row r="117" spans="1:12" ht="15">
      <c r="A117" s="229" t="s">
        <v>121</v>
      </c>
      <c r="B117" s="194"/>
      <c r="C117" s="281" t="s">
        <v>122</v>
      </c>
      <c r="D117" s="337"/>
      <c r="E117" s="337"/>
      <c r="F117" s="338"/>
      <c r="G117" s="139">
        <f>SUM(G118+G134+G140)</f>
        <v>273060</v>
      </c>
      <c r="H117" s="12"/>
      <c r="I117" s="12">
        <f>SUM(H117/G130*100)</f>
        <v>0</v>
      </c>
      <c r="J117"/>
      <c r="K117">
        <f>SUM(J118:J167)</f>
        <v>273060</v>
      </c>
      <c r="L117">
        <f>SUM('[3]ведомствен.2014'!G133+'[3]ведомствен.2014'!G377+'[3]ведомствен.2014'!G356)</f>
        <v>273060</v>
      </c>
    </row>
    <row r="118" spans="1:11" ht="14.25" customHeight="1">
      <c r="A118" s="226" t="s">
        <v>123</v>
      </c>
      <c r="B118" s="193"/>
      <c r="C118" s="290" t="s">
        <v>122</v>
      </c>
      <c r="D118" s="291" t="s">
        <v>124</v>
      </c>
      <c r="E118" s="291"/>
      <c r="F118" s="292"/>
      <c r="G118" s="612">
        <f>G122+G119</f>
        <v>101518.5</v>
      </c>
      <c r="H118" s="12">
        <v>870.4</v>
      </c>
      <c r="I118" s="12" t="e">
        <f>SUM(H118/G132*100)</f>
        <v>#DIV/0!</v>
      </c>
      <c r="J118"/>
      <c r="K118" s="268">
        <f>SUM(K117-G117)</f>
        <v>0</v>
      </c>
    </row>
    <row r="119" spans="1:10" ht="28.5" hidden="1">
      <c r="A119" s="226" t="s">
        <v>497</v>
      </c>
      <c r="B119" s="198"/>
      <c r="C119" s="291" t="s">
        <v>122</v>
      </c>
      <c r="D119" s="291" t="s">
        <v>124</v>
      </c>
      <c r="E119" s="291" t="s">
        <v>498</v>
      </c>
      <c r="F119" s="292"/>
      <c r="G119" s="612">
        <f>SUM(G120)</f>
        <v>0</v>
      </c>
      <c r="H119" s="12"/>
      <c r="I119" s="12"/>
      <c r="J119"/>
    </row>
    <row r="120" spans="1:10" ht="15" hidden="1">
      <c r="A120" s="226" t="s">
        <v>691</v>
      </c>
      <c r="B120" s="198"/>
      <c r="C120" s="291" t="s">
        <v>122</v>
      </c>
      <c r="D120" s="291" t="s">
        <v>124</v>
      </c>
      <c r="E120" s="291" t="s">
        <v>692</v>
      </c>
      <c r="F120" s="292"/>
      <c r="G120" s="612">
        <f>SUM(G121)</f>
        <v>0</v>
      </c>
      <c r="H120" s="12"/>
      <c r="I120" s="12"/>
      <c r="J120"/>
    </row>
    <row r="121" spans="1:10" ht="15" hidden="1">
      <c r="A121" s="226" t="s">
        <v>500</v>
      </c>
      <c r="B121" s="198"/>
      <c r="C121" s="291" t="s">
        <v>122</v>
      </c>
      <c r="D121" s="291" t="s">
        <v>124</v>
      </c>
      <c r="E121" s="291" t="s">
        <v>692</v>
      </c>
      <c r="F121" s="292" t="s">
        <v>120</v>
      </c>
      <c r="G121" s="612"/>
      <c r="H121" s="12"/>
      <c r="I121" s="12"/>
      <c r="J121">
        <f>SUM('[3]ведомствен.2014'!G137)</f>
        <v>0</v>
      </c>
    </row>
    <row r="122" spans="1:10" ht="30" customHeight="1">
      <c r="A122" s="226" t="s">
        <v>541</v>
      </c>
      <c r="B122" s="193"/>
      <c r="C122" s="290" t="s">
        <v>122</v>
      </c>
      <c r="D122" s="291" t="s">
        <v>124</v>
      </c>
      <c r="E122" s="291" t="s">
        <v>542</v>
      </c>
      <c r="F122" s="292"/>
      <c r="G122" s="612">
        <f>G123+G128</f>
        <v>101518.5</v>
      </c>
      <c r="H122" s="12">
        <f>SUM(H130)</f>
        <v>30706.4</v>
      </c>
      <c r="I122" s="12" t="e">
        <f>SUM(H122/G133*100)</f>
        <v>#DIV/0!</v>
      </c>
      <c r="J122"/>
    </row>
    <row r="123" spans="1:10" ht="22.5" customHeight="1">
      <c r="A123" s="226" t="s">
        <v>543</v>
      </c>
      <c r="B123" s="193"/>
      <c r="C123" s="290" t="s">
        <v>122</v>
      </c>
      <c r="D123" s="291" t="s">
        <v>124</v>
      </c>
      <c r="E123" s="291" t="s">
        <v>544</v>
      </c>
      <c r="F123" s="292"/>
      <c r="G123" s="612">
        <f>G124+G126</f>
        <v>40250.299999999996</v>
      </c>
      <c r="H123" s="12"/>
      <c r="I123" s="12"/>
      <c r="J123"/>
    </row>
    <row r="124" spans="1:10" ht="22.5" customHeight="1">
      <c r="A124" s="226" t="s">
        <v>6</v>
      </c>
      <c r="B124" s="193"/>
      <c r="C124" s="290" t="s">
        <v>122</v>
      </c>
      <c r="D124" s="291" t="s">
        <v>124</v>
      </c>
      <c r="E124" s="291" t="s">
        <v>545</v>
      </c>
      <c r="F124" s="292"/>
      <c r="G124" s="612">
        <f>SUM(G125)</f>
        <v>38708.6</v>
      </c>
      <c r="H124" s="12"/>
      <c r="I124" s="12"/>
      <c r="J124"/>
    </row>
    <row r="125" spans="1:10" ht="22.5" customHeight="1">
      <c r="A125" s="226" t="s">
        <v>501</v>
      </c>
      <c r="B125" s="193"/>
      <c r="C125" s="290" t="s">
        <v>122</v>
      </c>
      <c r="D125" s="291" t="s">
        <v>124</v>
      </c>
      <c r="E125" s="291" t="s">
        <v>545</v>
      </c>
      <c r="F125" s="292" t="s">
        <v>176</v>
      </c>
      <c r="G125" s="612">
        <v>38708.6</v>
      </c>
      <c r="H125" s="12"/>
      <c r="I125" s="12"/>
      <c r="J125">
        <f>SUM('[3]ведомствен.2014'!G141)+'[3]ведомствен.2014'!G382</f>
        <v>38708.6</v>
      </c>
    </row>
    <row r="126" spans="1:10" ht="30.75" customHeight="1">
      <c r="A126" s="109" t="s">
        <v>736</v>
      </c>
      <c r="B126" s="62"/>
      <c r="C126" s="303" t="s">
        <v>122</v>
      </c>
      <c r="D126" s="303" t="s">
        <v>124</v>
      </c>
      <c r="E126" s="302" t="s">
        <v>737</v>
      </c>
      <c r="F126" s="304"/>
      <c r="G126" s="258">
        <f>SUM(G127)</f>
        <v>1541.7</v>
      </c>
      <c r="H126" s="12"/>
      <c r="I126" s="12"/>
      <c r="J126"/>
    </row>
    <row r="127" spans="1:10" ht="22.5" customHeight="1">
      <c r="A127" s="109" t="s">
        <v>501</v>
      </c>
      <c r="B127" s="62"/>
      <c r="C127" s="303" t="s">
        <v>122</v>
      </c>
      <c r="D127" s="303" t="s">
        <v>124</v>
      </c>
      <c r="E127" s="302" t="s">
        <v>737</v>
      </c>
      <c r="F127" s="304" t="s">
        <v>176</v>
      </c>
      <c r="G127" s="258">
        <v>1541.7</v>
      </c>
      <c r="H127" s="12"/>
      <c r="I127" s="12"/>
      <c r="J127">
        <f>SUM('[3]ведомствен.2014'!G384)</f>
        <v>1541.7</v>
      </c>
    </row>
    <row r="128" spans="1:10" ht="22.5" customHeight="1">
      <c r="A128" s="226" t="s">
        <v>125</v>
      </c>
      <c r="B128" s="193"/>
      <c r="C128" s="290" t="s">
        <v>122</v>
      </c>
      <c r="D128" s="291" t="s">
        <v>124</v>
      </c>
      <c r="E128" s="291" t="s">
        <v>417</v>
      </c>
      <c r="F128" s="292"/>
      <c r="G128" s="612">
        <f>G129</f>
        <v>61268.2</v>
      </c>
      <c r="H128" s="12"/>
      <c r="I128" s="12"/>
      <c r="J128"/>
    </row>
    <row r="129" spans="1:10" ht="28.5" customHeight="1">
      <c r="A129" s="226" t="s">
        <v>15</v>
      </c>
      <c r="B129" s="193"/>
      <c r="C129" s="290" t="s">
        <v>122</v>
      </c>
      <c r="D129" s="291" t="s">
        <v>124</v>
      </c>
      <c r="E129" s="291" t="s">
        <v>76</v>
      </c>
      <c r="F129" s="292"/>
      <c r="G129" s="612">
        <f>SUM(G130)</f>
        <v>61268.2</v>
      </c>
      <c r="H129" s="12"/>
      <c r="I129" s="12"/>
      <c r="J129"/>
    </row>
    <row r="130" spans="1:10" ht="31.5" customHeight="1">
      <c r="A130" s="226" t="s">
        <v>205</v>
      </c>
      <c r="B130" s="193"/>
      <c r="C130" s="290" t="s">
        <v>122</v>
      </c>
      <c r="D130" s="291" t="s">
        <v>124</v>
      </c>
      <c r="E130" s="291" t="s">
        <v>77</v>
      </c>
      <c r="F130" s="292"/>
      <c r="G130" s="612">
        <f>SUM(G131)</f>
        <v>61268.2</v>
      </c>
      <c r="H130" s="12">
        <f>SUM(H131)+H132</f>
        <v>30706.4</v>
      </c>
      <c r="I130" s="12">
        <f>SUM(H130/G136*100)</f>
        <v>19.735420524287186</v>
      </c>
      <c r="J130"/>
    </row>
    <row r="131" spans="1:10" ht="28.5">
      <c r="A131" s="226" t="s">
        <v>524</v>
      </c>
      <c r="B131" s="193"/>
      <c r="C131" s="290" t="s">
        <v>122</v>
      </c>
      <c r="D131" s="291" t="s">
        <v>124</v>
      </c>
      <c r="E131" s="291" t="s">
        <v>77</v>
      </c>
      <c r="F131" s="292" t="s">
        <v>513</v>
      </c>
      <c r="G131" s="612">
        <v>61268.2</v>
      </c>
      <c r="H131" s="12">
        <v>30706.4</v>
      </c>
      <c r="I131" s="12" t="e">
        <f>SUM(H131/G137*100)</f>
        <v>#DIV/0!</v>
      </c>
      <c r="J131" s="33">
        <f>SUM('[3]ведомствен.2014'!G146)</f>
        <v>61268.2</v>
      </c>
    </row>
    <row r="132" spans="1:10" ht="15" hidden="1">
      <c r="A132" s="226" t="s">
        <v>525</v>
      </c>
      <c r="B132" s="193"/>
      <c r="C132" s="290" t="s">
        <v>122</v>
      </c>
      <c r="D132" s="291" t="s">
        <v>124</v>
      </c>
      <c r="E132" s="291" t="s">
        <v>77</v>
      </c>
      <c r="F132" s="292" t="s">
        <v>526</v>
      </c>
      <c r="G132" s="612"/>
      <c r="H132" s="12">
        <f>SUM(H133)</f>
        <v>0</v>
      </c>
      <c r="I132" s="12" t="e">
        <f>SUM(H132/G138*100)</f>
        <v>#DIV/0!</v>
      </c>
      <c r="J132"/>
    </row>
    <row r="133" spans="1:10" ht="57" hidden="1">
      <c r="A133" s="231" t="s">
        <v>527</v>
      </c>
      <c r="B133" s="193"/>
      <c r="C133" s="290" t="s">
        <v>122</v>
      </c>
      <c r="D133" s="291" t="s">
        <v>124</v>
      </c>
      <c r="E133" s="291" t="s">
        <v>77</v>
      </c>
      <c r="F133" s="292" t="s">
        <v>58</v>
      </c>
      <c r="G133" s="612"/>
      <c r="H133" s="12"/>
      <c r="I133" s="12" t="e">
        <f>SUM(H133/G139*100)</f>
        <v>#DIV/0!</v>
      </c>
      <c r="J133"/>
    </row>
    <row r="134" spans="1:10" ht="15">
      <c r="A134" s="226" t="s">
        <v>147</v>
      </c>
      <c r="B134" s="193"/>
      <c r="C134" s="290" t="s">
        <v>122</v>
      </c>
      <c r="D134" s="291" t="s">
        <v>300</v>
      </c>
      <c r="E134" s="291"/>
      <c r="F134" s="292"/>
      <c r="G134" s="612">
        <f>G135</f>
        <v>155590.3</v>
      </c>
      <c r="H134" s="12"/>
      <c r="I134" s="12"/>
      <c r="J134"/>
    </row>
    <row r="135" spans="1:9" s="503" customFormat="1" ht="42.75">
      <c r="A135" s="226" t="s">
        <v>38</v>
      </c>
      <c r="B135" s="193"/>
      <c r="C135" s="290" t="s">
        <v>122</v>
      </c>
      <c r="D135" s="291" t="s">
        <v>300</v>
      </c>
      <c r="E135" s="291" t="s">
        <v>39</v>
      </c>
      <c r="F135" s="292"/>
      <c r="G135" s="612">
        <f>G136</f>
        <v>155590.3</v>
      </c>
      <c r="H135" s="16"/>
      <c r="I135" s="16"/>
    </row>
    <row r="136" spans="1:10" s="503" customFormat="1" ht="15">
      <c r="A136" s="226" t="s">
        <v>500</v>
      </c>
      <c r="B136" s="193"/>
      <c r="C136" s="290" t="s">
        <v>122</v>
      </c>
      <c r="D136" s="291" t="s">
        <v>300</v>
      </c>
      <c r="E136" s="291" t="s">
        <v>39</v>
      </c>
      <c r="F136" s="292" t="s">
        <v>120</v>
      </c>
      <c r="G136" s="612">
        <v>155590.3</v>
      </c>
      <c r="H136" s="16"/>
      <c r="I136" s="16"/>
      <c r="J136" s="33">
        <f>SUM('[3]ведомствен.2014'!G151)</f>
        <v>155590.3</v>
      </c>
    </row>
    <row r="137" spans="1:9" s="504" customFormat="1" ht="28.5" hidden="1">
      <c r="A137" s="226" t="s">
        <v>518</v>
      </c>
      <c r="B137" s="193"/>
      <c r="C137" s="290" t="s">
        <v>122</v>
      </c>
      <c r="D137" s="291" t="s">
        <v>300</v>
      </c>
      <c r="E137" s="291" t="s">
        <v>39</v>
      </c>
      <c r="F137" s="292" t="s">
        <v>519</v>
      </c>
      <c r="G137" s="612"/>
      <c r="H137" s="16"/>
      <c r="I137" s="16"/>
    </row>
    <row r="138" spans="1:9" s="505" customFormat="1" ht="28.5" hidden="1">
      <c r="A138" s="226" t="s">
        <v>520</v>
      </c>
      <c r="B138" s="193"/>
      <c r="C138" s="290" t="s">
        <v>122</v>
      </c>
      <c r="D138" s="291" t="s">
        <v>300</v>
      </c>
      <c r="E138" s="291" t="s">
        <v>39</v>
      </c>
      <c r="F138" s="292" t="s">
        <v>521</v>
      </c>
      <c r="G138" s="612"/>
      <c r="H138" s="66"/>
      <c r="I138" s="66"/>
    </row>
    <row r="139" spans="1:9" s="13" customFormat="1" ht="28.5" hidden="1">
      <c r="A139" s="226" t="s">
        <v>547</v>
      </c>
      <c r="B139" s="193"/>
      <c r="C139" s="290" t="s">
        <v>122</v>
      </c>
      <c r="D139" s="291" t="s">
        <v>300</v>
      </c>
      <c r="E139" s="291" t="s">
        <v>39</v>
      </c>
      <c r="F139" s="292" t="s">
        <v>521</v>
      </c>
      <c r="G139" s="612"/>
      <c r="H139" s="12"/>
      <c r="I139" s="12"/>
    </row>
    <row r="140" spans="1:9" s="13" customFormat="1" ht="15">
      <c r="A140" s="226" t="s">
        <v>418</v>
      </c>
      <c r="B140" s="193"/>
      <c r="C140" s="290" t="s">
        <v>122</v>
      </c>
      <c r="D140" s="291" t="s">
        <v>408</v>
      </c>
      <c r="E140" s="291"/>
      <c r="F140" s="292"/>
      <c r="G140" s="612">
        <f>SUM(G141+G151+G158)</f>
        <v>15951.2</v>
      </c>
      <c r="H140" s="12"/>
      <c r="I140" s="12"/>
    </row>
    <row r="141" spans="1:9" s="13" customFormat="1" ht="28.5">
      <c r="A141" s="226" t="s">
        <v>541</v>
      </c>
      <c r="B141" s="193"/>
      <c r="C141" s="290" t="s">
        <v>122</v>
      </c>
      <c r="D141" s="291" t="s">
        <v>408</v>
      </c>
      <c r="E141" s="291" t="s">
        <v>542</v>
      </c>
      <c r="F141" s="292"/>
      <c r="G141" s="612">
        <f>SUM(G142)</f>
        <v>4464.4</v>
      </c>
      <c r="H141" s="12"/>
      <c r="I141" s="12"/>
    </row>
    <row r="142" spans="1:9" s="13" customFormat="1" ht="15">
      <c r="A142" s="226" t="s">
        <v>423</v>
      </c>
      <c r="B142" s="193"/>
      <c r="C142" s="290" t="s">
        <v>122</v>
      </c>
      <c r="D142" s="291" t="s">
        <v>408</v>
      </c>
      <c r="E142" s="291" t="s">
        <v>548</v>
      </c>
      <c r="F142" s="292"/>
      <c r="G142" s="612">
        <f>SUM(G143,G147)</f>
        <v>4464.4</v>
      </c>
      <c r="H142" s="12"/>
      <c r="I142" s="12"/>
    </row>
    <row r="143" spans="1:9" s="505" customFormat="1" ht="28.5">
      <c r="A143" s="226" t="s">
        <v>552</v>
      </c>
      <c r="B143" s="193"/>
      <c r="C143" s="290" t="s">
        <v>122</v>
      </c>
      <c r="D143" s="291" t="s">
        <v>408</v>
      </c>
      <c r="E143" s="280" t="s">
        <v>549</v>
      </c>
      <c r="F143" s="292"/>
      <c r="G143" s="612">
        <f>SUM(G144)</f>
        <v>0</v>
      </c>
      <c r="H143" s="66"/>
      <c r="I143" s="66"/>
    </row>
    <row r="144" spans="1:10" s="505" customFormat="1" ht="18.75" customHeight="1">
      <c r="A144" s="226" t="s">
        <v>500</v>
      </c>
      <c r="B144" s="193"/>
      <c r="C144" s="290" t="s">
        <v>122</v>
      </c>
      <c r="D144" s="291" t="s">
        <v>408</v>
      </c>
      <c r="E144" s="280" t="s">
        <v>549</v>
      </c>
      <c r="F144" s="292" t="s">
        <v>120</v>
      </c>
      <c r="G144" s="612">
        <f>412.2-412.2</f>
        <v>0</v>
      </c>
      <c r="H144" s="66"/>
      <c r="I144" s="66"/>
      <c r="J144" s="33">
        <f>SUM('[3]ведомствен.2014'!G159)</f>
        <v>0</v>
      </c>
    </row>
    <row r="145" spans="1:9" s="505" customFormat="1" ht="28.5" hidden="1">
      <c r="A145" s="226" t="s">
        <v>518</v>
      </c>
      <c r="B145" s="193"/>
      <c r="C145" s="290" t="s">
        <v>122</v>
      </c>
      <c r="D145" s="291" t="s">
        <v>408</v>
      </c>
      <c r="E145" s="280" t="s">
        <v>549</v>
      </c>
      <c r="F145" s="292" t="s">
        <v>519</v>
      </c>
      <c r="G145" s="612"/>
      <c r="H145" s="66"/>
      <c r="I145" s="66"/>
    </row>
    <row r="146" spans="1:9" s="505" customFormat="1" ht="28.5">
      <c r="A146" s="226" t="s">
        <v>15</v>
      </c>
      <c r="B146" s="193"/>
      <c r="C146" s="290" t="s">
        <v>122</v>
      </c>
      <c r="D146" s="291" t="s">
        <v>408</v>
      </c>
      <c r="E146" s="291" t="s">
        <v>553</v>
      </c>
      <c r="F146" s="292"/>
      <c r="G146" s="612">
        <f>SUM(G147)</f>
        <v>4464.4</v>
      </c>
      <c r="H146" s="66"/>
      <c r="I146" s="66"/>
    </row>
    <row r="147" spans="1:9" s="505" customFormat="1" ht="28.5">
      <c r="A147" s="226" t="s">
        <v>205</v>
      </c>
      <c r="B147" s="193"/>
      <c r="C147" s="290" t="s">
        <v>122</v>
      </c>
      <c r="D147" s="291" t="s">
        <v>408</v>
      </c>
      <c r="E147" s="291" t="s">
        <v>550</v>
      </c>
      <c r="F147" s="292"/>
      <c r="G147" s="612">
        <f>G148</f>
        <v>4464.4</v>
      </c>
      <c r="H147" s="66"/>
      <c r="I147" s="66"/>
    </row>
    <row r="148" spans="1:10" s="505" customFormat="1" ht="28.5">
      <c r="A148" s="226" t="s">
        <v>524</v>
      </c>
      <c r="B148" s="193"/>
      <c r="C148" s="290" t="s">
        <v>122</v>
      </c>
      <c r="D148" s="291" t="s">
        <v>408</v>
      </c>
      <c r="E148" s="291" t="s">
        <v>550</v>
      </c>
      <c r="F148" s="292" t="s">
        <v>513</v>
      </c>
      <c r="G148" s="612">
        <f>4052.2+412.2</f>
        <v>4464.4</v>
      </c>
      <c r="H148" s="66"/>
      <c r="I148" s="66"/>
      <c r="J148" s="33">
        <f>SUM('[3]ведомствен.2014'!G163)</f>
        <v>4464.400000000001</v>
      </c>
    </row>
    <row r="149" spans="1:9" s="505" customFormat="1" ht="15" hidden="1">
      <c r="A149" s="226" t="s">
        <v>525</v>
      </c>
      <c r="B149" s="193"/>
      <c r="C149" s="290" t="s">
        <v>122</v>
      </c>
      <c r="D149" s="291" t="s">
        <v>408</v>
      </c>
      <c r="E149" s="291" t="s">
        <v>550</v>
      </c>
      <c r="F149" s="292" t="s">
        <v>526</v>
      </c>
      <c r="G149" s="612"/>
      <c r="H149" s="66"/>
      <c r="I149" s="66"/>
    </row>
    <row r="150" spans="1:9" s="505" customFormat="1" ht="57" hidden="1">
      <c r="A150" s="231" t="s">
        <v>527</v>
      </c>
      <c r="B150" s="195"/>
      <c r="C150" s="293" t="s">
        <v>122</v>
      </c>
      <c r="D150" s="294" t="s">
        <v>408</v>
      </c>
      <c r="E150" s="294" t="s">
        <v>550</v>
      </c>
      <c r="F150" s="295" t="s">
        <v>58</v>
      </c>
      <c r="G150" s="613"/>
      <c r="H150" s="66"/>
      <c r="I150" s="66"/>
    </row>
    <row r="151" spans="1:9" s="505" customFormat="1" ht="28.5">
      <c r="A151" s="226" t="s">
        <v>420</v>
      </c>
      <c r="B151" s="190"/>
      <c r="C151" s="290" t="s">
        <v>122</v>
      </c>
      <c r="D151" s="291" t="s">
        <v>408</v>
      </c>
      <c r="E151" s="280" t="s">
        <v>421</v>
      </c>
      <c r="F151" s="277"/>
      <c r="G151" s="137">
        <f>SUM(G152)</f>
        <v>4622.8</v>
      </c>
      <c r="H151" s="66"/>
      <c r="I151" s="66"/>
    </row>
    <row r="152" spans="1:9" s="505" customFormat="1" ht="28.5">
      <c r="A152" s="226" t="s">
        <v>15</v>
      </c>
      <c r="B152" s="193"/>
      <c r="C152" s="290" t="s">
        <v>122</v>
      </c>
      <c r="D152" s="291" t="s">
        <v>408</v>
      </c>
      <c r="E152" s="291" t="s">
        <v>617</v>
      </c>
      <c r="F152" s="292"/>
      <c r="G152" s="612">
        <f>SUM(G153)+G155</f>
        <v>4622.8</v>
      </c>
      <c r="H152" s="66"/>
      <c r="I152" s="66"/>
    </row>
    <row r="153" spans="1:9" s="505" customFormat="1" ht="28.5">
      <c r="A153" s="226" t="s">
        <v>205</v>
      </c>
      <c r="B153" s="193"/>
      <c r="C153" s="290" t="s">
        <v>122</v>
      </c>
      <c r="D153" s="291" t="s">
        <v>408</v>
      </c>
      <c r="E153" s="291" t="s">
        <v>618</v>
      </c>
      <c r="F153" s="292"/>
      <c r="G153" s="612">
        <f>G154</f>
        <v>4547.8</v>
      </c>
      <c r="H153" s="66"/>
      <c r="I153" s="66"/>
    </row>
    <row r="154" spans="1:10" s="505" customFormat="1" ht="28.5">
      <c r="A154" s="226" t="s">
        <v>524</v>
      </c>
      <c r="B154" s="193"/>
      <c r="C154" s="290" t="s">
        <v>122</v>
      </c>
      <c r="D154" s="291" t="s">
        <v>408</v>
      </c>
      <c r="E154" s="291" t="s">
        <v>618</v>
      </c>
      <c r="F154" s="292" t="s">
        <v>513</v>
      </c>
      <c r="G154" s="612">
        <f>4547.8</f>
        <v>4547.8</v>
      </c>
      <c r="H154" s="66"/>
      <c r="I154" s="66"/>
      <c r="J154" s="505">
        <f>SUM('[3]ведомствен.2014'!G389)</f>
        <v>4547.8</v>
      </c>
    </row>
    <row r="155" spans="1:9" s="505" customFormat="1" ht="28.5">
      <c r="A155" s="113" t="s">
        <v>154</v>
      </c>
      <c r="B155" s="148"/>
      <c r="C155" s="291" t="s">
        <v>122</v>
      </c>
      <c r="D155" s="291" t="s">
        <v>408</v>
      </c>
      <c r="E155" s="291" t="s">
        <v>738</v>
      </c>
      <c r="F155" s="292"/>
      <c r="G155" s="615">
        <f>SUM(G156)</f>
        <v>75</v>
      </c>
      <c r="H155" s="66"/>
      <c r="I155" s="66"/>
    </row>
    <row r="156" spans="1:9" s="505" customFormat="1" ht="28.5">
      <c r="A156" s="172" t="s">
        <v>154</v>
      </c>
      <c r="B156" s="148"/>
      <c r="C156" s="291" t="s">
        <v>122</v>
      </c>
      <c r="D156" s="291" t="s">
        <v>408</v>
      </c>
      <c r="E156" s="291" t="s">
        <v>739</v>
      </c>
      <c r="F156" s="292"/>
      <c r="G156" s="615">
        <f>SUM(G157)</f>
        <v>75</v>
      </c>
      <c r="H156" s="66"/>
      <c r="I156" s="66"/>
    </row>
    <row r="157" spans="1:10" s="505" customFormat="1" ht="28.5">
      <c r="A157" s="114" t="s">
        <v>524</v>
      </c>
      <c r="B157" s="148"/>
      <c r="C157" s="291" t="s">
        <v>122</v>
      </c>
      <c r="D157" s="291" t="s">
        <v>408</v>
      </c>
      <c r="E157" s="291" t="s">
        <v>739</v>
      </c>
      <c r="F157" s="292" t="s">
        <v>513</v>
      </c>
      <c r="G157" s="615">
        <v>75</v>
      </c>
      <c r="H157" s="66"/>
      <c r="I157" s="66"/>
      <c r="J157" s="505">
        <f>SUM('[3]ведомствен.2014'!G392)</f>
        <v>75</v>
      </c>
    </row>
    <row r="158" spans="1:9" s="505" customFormat="1" ht="15">
      <c r="A158" s="233" t="s">
        <v>551</v>
      </c>
      <c r="B158" s="195"/>
      <c r="C158" s="293" t="s">
        <v>122</v>
      </c>
      <c r="D158" s="294" t="s">
        <v>408</v>
      </c>
      <c r="E158" s="294" t="s">
        <v>129</v>
      </c>
      <c r="F158" s="295"/>
      <c r="G158" s="613">
        <f>G166+G163+G161+G159</f>
        <v>6864</v>
      </c>
      <c r="H158" s="66"/>
      <c r="I158" s="66"/>
    </row>
    <row r="159" spans="1:9" s="98" customFormat="1" ht="46.5" customHeight="1">
      <c r="A159" s="116" t="s">
        <v>755</v>
      </c>
      <c r="B159" s="293"/>
      <c r="C159" s="294" t="s">
        <v>122</v>
      </c>
      <c r="D159" s="294" t="s">
        <v>408</v>
      </c>
      <c r="E159" s="294" t="s">
        <v>756</v>
      </c>
      <c r="F159" s="295"/>
      <c r="G159" s="616">
        <f>SUM(G160)</f>
        <v>1000</v>
      </c>
      <c r="H159" s="80"/>
      <c r="I159" s="80"/>
    </row>
    <row r="160" spans="1:10" s="98" customFormat="1" ht="21.75" customHeight="1">
      <c r="A160" s="113" t="s">
        <v>501</v>
      </c>
      <c r="B160" s="293"/>
      <c r="C160" s="294" t="s">
        <v>122</v>
      </c>
      <c r="D160" s="294" t="s">
        <v>408</v>
      </c>
      <c r="E160" s="294" t="s">
        <v>756</v>
      </c>
      <c r="F160" s="292" t="s">
        <v>176</v>
      </c>
      <c r="G160" s="616">
        <v>1000</v>
      </c>
      <c r="H160" s="80"/>
      <c r="I160" s="80"/>
      <c r="J160" s="98">
        <f>SUM('[3]ведомствен.2014'!G168)</f>
        <v>1000</v>
      </c>
    </row>
    <row r="161" spans="1:9" s="505" customFormat="1" ht="42.75">
      <c r="A161" s="233" t="s">
        <v>679</v>
      </c>
      <c r="B161" s="199"/>
      <c r="C161" s="294" t="s">
        <v>122</v>
      </c>
      <c r="D161" s="294" t="s">
        <v>408</v>
      </c>
      <c r="E161" s="294" t="s">
        <v>680</v>
      </c>
      <c r="F161" s="295"/>
      <c r="G161" s="613">
        <f>SUM(G162)</f>
        <v>20</v>
      </c>
      <c r="H161" s="66"/>
      <c r="I161" s="66"/>
    </row>
    <row r="162" spans="1:10" s="505" customFormat="1" ht="15">
      <c r="A162" s="226" t="s">
        <v>500</v>
      </c>
      <c r="B162" s="198"/>
      <c r="C162" s="291" t="s">
        <v>122</v>
      </c>
      <c r="D162" s="291" t="s">
        <v>408</v>
      </c>
      <c r="E162" s="294" t="s">
        <v>680</v>
      </c>
      <c r="F162" s="292" t="s">
        <v>120</v>
      </c>
      <c r="G162" s="612">
        <v>20</v>
      </c>
      <c r="H162" s="66"/>
      <c r="I162" s="66"/>
      <c r="J162" s="505">
        <f>SUM('[3]ведомствен.2014'!G170)</f>
        <v>20</v>
      </c>
    </row>
    <row r="163" spans="1:9" s="505" customFormat="1" ht="42.75">
      <c r="A163" s="234" t="s">
        <v>647</v>
      </c>
      <c r="B163" s="200"/>
      <c r="C163" s="301" t="s">
        <v>122</v>
      </c>
      <c r="D163" s="302" t="s">
        <v>408</v>
      </c>
      <c r="E163" s="303" t="s">
        <v>648</v>
      </c>
      <c r="F163" s="304"/>
      <c r="G163" s="269">
        <f>SUM(G164)</f>
        <v>5</v>
      </c>
      <c r="H163" s="66"/>
      <c r="I163" s="66"/>
    </row>
    <row r="164" spans="1:9" s="505" customFormat="1" ht="28.5">
      <c r="A164" s="235" t="s">
        <v>649</v>
      </c>
      <c r="B164" s="200"/>
      <c r="C164" s="301" t="s">
        <v>122</v>
      </c>
      <c r="D164" s="302" t="s">
        <v>408</v>
      </c>
      <c r="E164" s="303" t="s">
        <v>650</v>
      </c>
      <c r="F164" s="304"/>
      <c r="G164" s="269">
        <v>5</v>
      </c>
      <c r="H164" s="66"/>
      <c r="I164" s="66"/>
    </row>
    <row r="165" spans="1:10" s="505" customFormat="1" ht="15">
      <c r="A165" s="226" t="s">
        <v>500</v>
      </c>
      <c r="B165" s="200"/>
      <c r="C165" s="301" t="s">
        <v>122</v>
      </c>
      <c r="D165" s="302" t="s">
        <v>408</v>
      </c>
      <c r="E165" s="303" t="s">
        <v>650</v>
      </c>
      <c r="F165" s="304" t="s">
        <v>120</v>
      </c>
      <c r="G165" s="269">
        <v>5</v>
      </c>
      <c r="H165" s="66"/>
      <c r="I165" s="66"/>
      <c r="J165" s="505">
        <f>SUM('[3]ведомствен.2014'!G173)</f>
        <v>5</v>
      </c>
    </row>
    <row r="166" spans="1:9" s="505" customFormat="1" ht="28.5">
      <c r="A166" s="233" t="s">
        <v>672</v>
      </c>
      <c r="B166" s="195"/>
      <c r="C166" s="293" t="s">
        <v>122</v>
      </c>
      <c r="D166" s="294" t="s">
        <v>408</v>
      </c>
      <c r="E166" s="294" t="s">
        <v>54</v>
      </c>
      <c r="F166" s="295"/>
      <c r="G166" s="613">
        <f>SUM(G167)</f>
        <v>5839</v>
      </c>
      <c r="H166" s="66"/>
      <c r="I166" s="66"/>
    </row>
    <row r="167" spans="1:10" s="505" customFormat="1" ht="28.5">
      <c r="A167" s="231" t="s">
        <v>524</v>
      </c>
      <c r="B167" s="195"/>
      <c r="C167" s="293" t="s">
        <v>122</v>
      </c>
      <c r="D167" s="294" t="s">
        <v>408</v>
      </c>
      <c r="E167" s="294" t="s">
        <v>54</v>
      </c>
      <c r="F167" s="295" t="s">
        <v>513</v>
      </c>
      <c r="G167" s="613">
        <v>5839</v>
      </c>
      <c r="H167" s="66"/>
      <c r="I167" s="66"/>
      <c r="J167" s="505">
        <f>SUM('[3]ведомствен.2014'!G175)</f>
        <v>5839</v>
      </c>
    </row>
    <row r="168" spans="1:17" ht="15">
      <c r="A168" s="237" t="s">
        <v>424</v>
      </c>
      <c r="B168" s="201"/>
      <c r="C168" s="279" t="s">
        <v>131</v>
      </c>
      <c r="D168" s="325"/>
      <c r="E168" s="325"/>
      <c r="F168" s="339"/>
      <c r="G168" s="139">
        <f>SUM(G169+G227+G243+G260)</f>
        <v>160669.5</v>
      </c>
      <c r="H168" s="12">
        <f>SUM(H169)</f>
        <v>0</v>
      </c>
      <c r="I168" s="12">
        <f>SUM(H168/G176*100)</f>
        <v>0</v>
      </c>
      <c r="J168"/>
      <c r="K168">
        <f>SUM(J169:J276)</f>
        <v>160669.49999999997</v>
      </c>
      <c r="L168">
        <f>SUM('[3]ведомствен.2014'!G176)+'[3]ведомствен.2014'!G360</f>
        <v>160669.5</v>
      </c>
      <c r="Q168" s="268"/>
    </row>
    <row r="169" spans="1:11" ht="15">
      <c r="A169" s="225" t="s">
        <v>425</v>
      </c>
      <c r="B169" s="190"/>
      <c r="C169" s="274" t="s">
        <v>131</v>
      </c>
      <c r="D169" s="275" t="s">
        <v>460</v>
      </c>
      <c r="E169" s="275"/>
      <c r="F169" s="276"/>
      <c r="G169" s="137">
        <f>SUM(G170)</f>
        <v>1500</v>
      </c>
      <c r="H169" s="12"/>
      <c r="I169" s="12" t="e">
        <f>SUM(H169/G177*100)</f>
        <v>#DIV/0!</v>
      </c>
      <c r="J169"/>
      <c r="K169">
        <f>SUM(J170:J178)</f>
        <v>1500</v>
      </c>
    </row>
    <row r="170" spans="1:10" ht="56.25" customHeight="1">
      <c r="A170" s="226" t="s">
        <v>689</v>
      </c>
      <c r="B170" s="190"/>
      <c r="C170" s="274" t="s">
        <v>131</v>
      </c>
      <c r="D170" s="275" t="s">
        <v>460</v>
      </c>
      <c r="E170" s="275" t="s">
        <v>426</v>
      </c>
      <c r="F170" s="276"/>
      <c r="G170" s="137">
        <f>SUM(G174+G180)+G171</f>
        <v>1500</v>
      </c>
      <c r="H170" s="12">
        <f>SUM(H174)</f>
        <v>4761.6</v>
      </c>
      <c r="I170" s="12" t="e">
        <f>SUM(H170/G178*100)</f>
        <v>#DIV/0!</v>
      </c>
      <c r="J170"/>
    </row>
    <row r="171" spans="1:10" ht="85.5" hidden="1">
      <c r="A171" s="266" t="s">
        <v>703</v>
      </c>
      <c r="B171" s="62"/>
      <c r="C171" s="275" t="s">
        <v>131</v>
      </c>
      <c r="D171" s="275" t="s">
        <v>460</v>
      </c>
      <c r="E171" s="275" t="s">
        <v>701</v>
      </c>
      <c r="F171" s="276"/>
      <c r="G171" s="258">
        <f>SUM(G172)</f>
        <v>0</v>
      </c>
      <c r="H171" s="12"/>
      <c r="I171" s="12"/>
      <c r="J171"/>
    </row>
    <row r="172" spans="1:10" ht="28.5" hidden="1">
      <c r="A172" s="117" t="s">
        <v>700</v>
      </c>
      <c r="B172" s="62"/>
      <c r="C172" s="275" t="s">
        <v>131</v>
      </c>
      <c r="D172" s="275" t="s">
        <v>460</v>
      </c>
      <c r="E172" s="275" t="s">
        <v>702</v>
      </c>
      <c r="F172" s="276"/>
      <c r="G172" s="258">
        <f>SUM(G173)</f>
        <v>0</v>
      </c>
      <c r="H172" s="12"/>
      <c r="I172" s="12"/>
      <c r="J172"/>
    </row>
    <row r="173" spans="1:10" ht="28.5" hidden="1">
      <c r="A173" s="226" t="s">
        <v>566</v>
      </c>
      <c r="B173" s="62"/>
      <c r="C173" s="275" t="s">
        <v>131</v>
      </c>
      <c r="D173" s="275" t="s">
        <v>460</v>
      </c>
      <c r="E173" s="275" t="s">
        <v>702</v>
      </c>
      <c r="F173" s="276" t="s">
        <v>560</v>
      </c>
      <c r="G173" s="258"/>
      <c r="H173" s="12"/>
      <c r="I173" s="12"/>
      <c r="J173">
        <f>SUM('[3]ведомствен.2014'!G188)</f>
        <v>0</v>
      </c>
    </row>
    <row r="174" spans="1:10" ht="57">
      <c r="A174" s="226" t="s">
        <v>688</v>
      </c>
      <c r="B174" s="188"/>
      <c r="C174" s="275" t="s">
        <v>131</v>
      </c>
      <c r="D174" s="275" t="s">
        <v>460</v>
      </c>
      <c r="E174" s="275" t="s">
        <v>690</v>
      </c>
      <c r="F174" s="276"/>
      <c r="G174" s="137">
        <f>SUM(G175+G177)</f>
        <v>1500</v>
      </c>
      <c r="H174" s="12">
        <v>4761.6</v>
      </c>
      <c r="I174" s="12" t="e">
        <f>SUM(H174/G179*100)</f>
        <v>#DIV/0!</v>
      </c>
      <c r="J174"/>
    </row>
    <row r="175" spans="1:10" ht="28.5">
      <c r="A175" s="117" t="s">
        <v>698</v>
      </c>
      <c r="B175" s="62"/>
      <c r="C175" s="275" t="s">
        <v>131</v>
      </c>
      <c r="D175" s="275" t="s">
        <v>460</v>
      </c>
      <c r="E175" s="275" t="s">
        <v>697</v>
      </c>
      <c r="F175" s="276"/>
      <c r="G175" s="258">
        <f>SUM(G176)</f>
        <v>1500</v>
      </c>
      <c r="H175" s="12">
        <f>SUM(H176+H177)</f>
        <v>1562</v>
      </c>
      <c r="I175" s="12" t="e">
        <f aca="true" t="shared" si="2" ref="I175:I193">SUM(H175/G181*100)</f>
        <v>#DIV/0!</v>
      </c>
      <c r="J175"/>
    </row>
    <row r="176" spans="1:10" ht="27.75" customHeight="1">
      <c r="A176" s="114" t="s">
        <v>524</v>
      </c>
      <c r="B176" s="62"/>
      <c r="C176" s="275" t="s">
        <v>131</v>
      </c>
      <c r="D176" s="275" t="s">
        <v>460</v>
      </c>
      <c r="E176" s="275" t="s">
        <v>697</v>
      </c>
      <c r="F176" s="276" t="s">
        <v>513</v>
      </c>
      <c r="G176" s="258">
        <v>1500</v>
      </c>
      <c r="H176" s="12">
        <v>233.9</v>
      </c>
      <c r="I176" s="12" t="e">
        <f t="shared" si="2"/>
        <v>#DIV/0!</v>
      </c>
      <c r="J176" s="33">
        <f>SUM('[3]ведомствен.2014'!G232)</f>
        <v>1500</v>
      </c>
    </row>
    <row r="177" spans="1:10" ht="28.5" hidden="1">
      <c r="A177" s="117" t="s">
        <v>700</v>
      </c>
      <c r="B177" s="62"/>
      <c r="C177" s="275" t="s">
        <v>131</v>
      </c>
      <c r="D177" s="275" t="s">
        <v>460</v>
      </c>
      <c r="E177" s="275" t="s">
        <v>699</v>
      </c>
      <c r="F177" s="276"/>
      <c r="G177" s="258">
        <f>SUM(G178)</f>
        <v>0</v>
      </c>
      <c r="H177" s="12">
        <v>1328.1</v>
      </c>
      <c r="I177" s="12" t="e">
        <f t="shared" si="2"/>
        <v>#DIV/0!</v>
      </c>
      <c r="J177"/>
    </row>
    <row r="178" spans="1:10" ht="28.5" hidden="1">
      <c r="A178" s="226" t="s">
        <v>566</v>
      </c>
      <c r="B178" s="62"/>
      <c r="C178" s="275" t="s">
        <v>131</v>
      </c>
      <c r="D178" s="275" t="s">
        <v>460</v>
      </c>
      <c r="E178" s="275" t="s">
        <v>699</v>
      </c>
      <c r="F178" s="276" t="s">
        <v>560</v>
      </c>
      <c r="G178" s="258"/>
      <c r="H178" s="12">
        <f>SUM(H179)</f>
        <v>0</v>
      </c>
      <c r="I178" s="12" t="e">
        <f t="shared" si="2"/>
        <v>#DIV/0!</v>
      </c>
      <c r="J178">
        <f>SUM('[3]ведомствен.2014'!G234)</f>
        <v>0</v>
      </c>
    </row>
    <row r="179" spans="1:10" ht="15" hidden="1">
      <c r="A179" s="238" t="s">
        <v>134</v>
      </c>
      <c r="B179" s="190"/>
      <c r="C179" s="274" t="s">
        <v>131</v>
      </c>
      <c r="D179" s="275" t="s">
        <v>460</v>
      </c>
      <c r="E179" s="275" t="s">
        <v>140</v>
      </c>
      <c r="F179" s="276" t="s">
        <v>135</v>
      </c>
      <c r="G179" s="137"/>
      <c r="H179" s="12">
        <f>SUM(H180)</f>
        <v>0</v>
      </c>
      <c r="I179" s="12" t="e">
        <f t="shared" si="2"/>
        <v>#DIV/0!</v>
      </c>
      <c r="J179"/>
    </row>
    <row r="180" spans="1:10" ht="42.75" hidden="1">
      <c r="A180" s="226" t="s">
        <v>429</v>
      </c>
      <c r="B180" s="190"/>
      <c r="C180" s="274" t="s">
        <v>131</v>
      </c>
      <c r="D180" s="275" t="s">
        <v>460</v>
      </c>
      <c r="E180" s="275" t="s">
        <v>430</v>
      </c>
      <c r="F180" s="276"/>
      <c r="G180" s="137">
        <f>SUM(G181)+G187+G190</f>
        <v>0</v>
      </c>
      <c r="H180" s="12"/>
      <c r="I180" s="12" t="e">
        <f t="shared" si="2"/>
        <v>#DIV/0!</v>
      </c>
      <c r="J180"/>
    </row>
    <row r="181" spans="1:10" ht="28.5" hidden="1">
      <c r="A181" s="226" t="s">
        <v>431</v>
      </c>
      <c r="B181" s="190"/>
      <c r="C181" s="274" t="s">
        <v>131</v>
      </c>
      <c r="D181" s="275" t="s">
        <v>460</v>
      </c>
      <c r="E181" s="275" t="s">
        <v>432</v>
      </c>
      <c r="F181" s="276"/>
      <c r="G181" s="137">
        <f>SUM(G182+G183)</f>
        <v>0</v>
      </c>
      <c r="H181" s="12">
        <f>SUM(H183+H184)</f>
        <v>0</v>
      </c>
      <c r="I181" s="12" t="e">
        <f t="shared" si="2"/>
        <v>#DIV/0!</v>
      </c>
      <c r="J181"/>
    </row>
    <row r="182" spans="1:9" s="14" customFormat="1" ht="15" hidden="1">
      <c r="A182" s="226" t="s">
        <v>7</v>
      </c>
      <c r="B182" s="190"/>
      <c r="C182" s="274" t="s">
        <v>131</v>
      </c>
      <c r="D182" s="275" t="s">
        <v>460</v>
      </c>
      <c r="E182" s="275" t="s">
        <v>432</v>
      </c>
      <c r="F182" s="276" t="s">
        <v>8</v>
      </c>
      <c r="G182" s="137"/>
      <c r="H182" s="12">
        <v>1821.9</v>
      </c>
      <c r="I182" s="12" t="e">
        <f t="shared" si="2"/>
        <v>#DIV/0!</v>
      </c>
    </row>
    <row r="183" spans="1:10" ht="28.5" hidden="1">
      <c r="A183" s="226" t="s">
        <v>433</v>
      </c>
      <c r="B183" s="190"/>
      <c r="C183" s="274" t="s">
        <v>131</v>
      </c>
      <c r="D183" s="275" t="s">
        <v>460</v>
      </c>
      <c r="E183" s="275" t="s">
        <v>432</v>
      </c>
      <c r="F183" s="276" t="s">
        <v>434</v>
      </c>
      <c r="G183" s="137"/>
      <c r="H183" s="12"/>
      <c r="I183" s="12" t="e">
        <f t="shared" si="2"/>
        <v>#DIV/0!</v>
      </c>
      <c r="J183"/>
    </row>
    <row r="184" spans="1:10" ht="28.5" hidden="1">
      <c r="A184" s="226" t="s">
        <v>249</v>
      </c>
      <c r="B184" s="190"/>
      <c r="C184" s="274" t="s">
        <v>131</v>
      </c>
      <c r="D184" s="275" t="s">
        <v>460</v>
      </c>
      <c r="E184" s="275" t="s">
        <v>422</v>
      </c>
      <c r="F184" s="276"/>
      <c r="G184" s="137">
        <f>SUM(G185)</f>
        <v>0</v>
      </c>
      <c r="H184" s="12"/>
      <c r="I184" s="12" t="e">
        <f t="shared" si="2"/>
        <v>#DIV/0!</v>
      </c>
      <c r="J184"/>
    </row>
    <row r="185" spans="1:10" ht="28.5" hidden="1">
      <c r="A185" s="226" t="s">
        <v>132</v>
      </c>
      <c r="B185" s="190"/>
      <c r="C185" s="274" t="s">
        <v>131</v>
      </c>
      <c r="D185" s="275" t="s">
        <v>460</v>
      </c>
      <c r="E185" s="275" t="s">
        <v>133</v>
      </c>
      <c r="F185" s="276"/>
      <c r="G185" s="137">
        <f>SUM(G186)</f>
        <v>0</v>
      </c>
      <c r="H185" s="12">
        <f>SUM(H186)</f>
        <v>1821.9</v>
      </c>
      <c r="I185" s="12" t="e">
        <f t="shared" si="2"/>
        <v>#DIV/0!</v>
      </c>
      <c r="J185"/>
    </row>
    <row r="186" spans="1:9" ht="15" hidden="1">
      <c r="A186" s="226" t="s">
        <v>134</v>
      </c>
      <c r="B186" s="190"/>
      <c r="C186" s="274" t="s">
        <v>131</v>
      </c>
      <c r="D186" s="275" t="s">
        <v>460</v>
      </c>
      <c r="E186" s="275" t="s">
        <v>133</v>
      </c>
      <c r="F186" s="276" t="s">
        <v>135</v>
      </c>
      <c r="G186" s="137"/>
      <c r="H186" s="12">
        <v>1821.9</v>
      </c>
      <c r="I186" s="12" t="e">
        <f t="shared" si="2"/>
        <v>#DIV/0!</v>
      </c>
    </row>
    <row r="187" spans="1:10" ht="28.5" hidden="1">
      <c r="A187" s="226" t="s">
        <v>435</v>
      </c>
      <c r="B187" s="190"/>
      <c r="C187" s="274" t="s">
        <v>131</v>
      </c>
      <c r="D187" s="275" t="s">
        <v>460</v>
      </c>
      <c r="E187" s="275" t="s">
        <v>436</v>
      </c>
      <c r="F187" s="276"/>
      <c r="G187" s="137">
        <f>SUM(G188+G189)</f>
        <v>0</v>
      </c>
      <c r="H187" s="12">
        <f>SUM(H188+H190)</f>
        <v>0</v>
      </c>
      <c r="I187" s="12" t="e">
        <f t="shared" si="2"/>
        <v>#DIV/0!</v>
      </c>
      <c r="J187"/>
    </row>
    <row r="188" spans="1:10" ht="42.75" hidden="1">
      <c r="A188" s="225" t="s">
        <v>16</v>
      </c>
      <c r="B188" s="190"/>
      <c r="C188" s="274" t="s">
        <v>131</v>
      </c>
      <c r="D188" s="275" t="s">
        <v>460</v>
      </c>
      <c r="E188" s="275" t="s">
        <v>436</v>
      </c>
      <c r="F188" s="276" t="s">
        <v>58</v>
      </c>
      <c r="G188" s="137"/>
      <c r="H188" s="12">
        <f>SUM(H189)</f>
        <v>0</v>
      </c>
      <c r="I188" s="12" t="e">
        <f t="shared" si="2"/>
        <v>#DIV/0!</v>
      </c>
      <c r="J188"/>
    </row>
    <row r="189" spans="1:10" ht="15" hidden="1">
      <c r="A189" s="238" t="s">
        <v>134</v>
      </c>
      <c r="B189" s="190"/>
      <c r="C189" s="274" t="s">
        <v>131</v>
      </c>
      <c r="D189" s="275" t="s">
        <v>460</v>
      </c>
      <c r="E189" s="275" t="s">
        <v>436</v>
      </c>
      <c r="F189" s="276" t="s">
        <v>135</v>
      </c>
      <c r="G189" s="137"/>
      <c r="H189" s="12"/>
      <c r="I189" s="12" t="e">
        <f t="shared" si="2"/>
        <v>#DIV/0!</v>
      </c>
      <c r="J189"/>
    </row>
    <row r="190" spans="1:9" s="14" customFormat="1" ht="57" hidden="1">
      <c r="A190" s="226" t="s">
        <v>439</v>
      </c>
      <c r="B190" s="190"/>
      <c r="C190" s="274" t="s">
        <v>131</v>
      </c>
      <c r="D190" s="275" t="s">
        <v>460</v>
      </c>
      <c r="E190" s="275" t="s">
        <v>440</v>
      </c>
      <c r="F190" s="276"/>
      <c r="G190" s="137">
        <f>SUM(G191)</f>
        <v>0</v>
      </c>
      <c r="H190" s="12">
        <f>SUM(H191)</f>
        <v>0</v>
      </c>
      <c r="I190" s="12" t="e">
        <f t="shared" si="2"/>
        <v>#DIV/0!</v>
      </c>
    </row>
    <row r="191" spans="1:9" s="18" customFormat="1" ht="15" hidden="1">
      <c r="A191" s="238" t="s">
        <v>134</v>
      </c>
      <c r="B191" s="190"/>
      <c r="C191" s="274" t="s">
        <v>131</v>
      </c>
      <c r="D191" s="275" t="s">
        <v>460</v>
      </c>
      <c r="E191" s="275" t="s">
        <v>440</v>
      </c>
      <c r="F191" s="276" t="s">
        <v>135</v>
      </c>
      <c r="G191" s="137"/>
      <c r="H191" s="16"/>
      <c r="I191" s="12" t="e">
        <f t="shared" si="2"/>
        <v>#DIV/0!</v>
      </c>
    </row>
    <row r="192" spans="1:9" s="17" customFormat="1" ht="15" hidden="1">
      <c r="A192" s="225" t="s">
        <v>441</v>
      </c>
      <c r="B192" s="190"/>
      <c r="C192" s="274" t="s">
        <v>131</v>
      </c>
      <c r="D192" s="275" t="s">
        <v>460</v>
      </c>
      <c r="E192" s="275" t="s">
        <v>442</v>
      </c>
      <c r="F192" s="276"/>
      <c r="G192" s="137">
        <f>SUM(G193+G195)</f>
        <v>0</v>
      </c>
      <c r="H192" s="19" t="e">
        <f>SUM(H195)+#REF!+H193</f>
        <v>#REF!</v>
      </c>
      <c r="I192" s="12" t="e">
        <f t="shared" si="2"/>
        <v>#REF!</v>
      </c>
    </row>
    <row r="193" spans="1:9" s="17" customFormat="1" ht="42.75" hidden="1">
      <c r="A193" s="227" t="s">
        <v>443</v>
      </c>
      <c r="B193" s="190"/>
      <c r="C193" s="274" t="s">
        <v>131</v>
      </c>
      <c r="D193" s="275" t="s">
        <v>460</v>
      </c>
      <c r="E193" s="275" t="s">
        <v>444</v>
      </c>
      <c r="F193" s="276"/>
      <c r="G193" s="137">
        <f>SUM(G194)</f>
        <v>0</v>
      </c>
      <c r="H193" s="19">
        <f>SUM(H194)</f>
        <v>0</v>
      </c>
      <c r="I193" s="12" t="e">
        <f t="shared" si="2"/>
        <v>#DIV/0!</v>
      </c>
    </row>
    <row r="194" spans="1:9" s="17" customFormat="1" ht="15" hidden="1">
      <c r="A194" s="225" t="s">
        <v>7</v>
      </c>
      <c r="B194" s="190"/>
      <c r="C194" s="274" t="s">
        <v>131</v>
      </c>
      <c r="D194" s="275" t="s">
        <v>460</v>
      </c>
      <c r="E194" s="275" t="s">
        <v>444</v>
      </c>
      <c r="F194" s="276" t="s">
        <v>8</v>
      </c>
      <c r="G194" s="137"/>
      <c r="H194" s="19"/>
      <c r="I194" s="12" t="e">
        <f>SUM(H194/#REF!*100)</f>
        <v>#REF!</v>
      </c>
    </row>
    <row r="195" spans="1:9" s="17" customFormat="1" ht="28.5" hidden="1">
      <c r="A195" s="227" t="s">
        <v>445</v>
      </c>
      <c r="B195" s="191"/>
      <c r="C195" s="274" t="s">
        <v>131</v>
      </c>
      <c r="D195" s="275" t="s">
        <v>460</v>
      </c>
      <c r="E195" s="275" t="s">
        <v>446</v>
      </c>
      <c r="F195" s="277"/>
      <c r="G195" s="137">
        <f>SUM(G196)</f>
        <v>0</v>
      </c>
      <c r="H195" s="19">
        <f>SUM(H196+H198)</f>
        <v>0</v>
      </c>
      <c r="I195" s="12" t="e">
        <f>SUM(H195/G200*100)</f>
        <v>#DIV/0!</v>
      </c>
    </row>
    <row r="196" spans="1:9" s="17" customFormat="1" ht="15" hidden="1">
      <c r="A196" s="225" t="s">
        <v>103</v>
      </c>
      <c r="B196" s="202"/>
      <c r="C196" s="274" t="s">
        <v>131</v>
      </c>
      <c r="D196" s="275" t="s">
        <v>460</v>
      </c>
      <c r="E196" s="275" t="s">
        <v>446</v>
      </c>
      <c r="F196" s="276" t="s">
        <v>104</v>
      </c>
      <c r="G196" s="137"/>
      <c r="H196" s="19">
        <f>SUM(H197)</f>
        <v>0</v>
      </c>
      <c r="I196" s="12" t="e">
        <f>SUM(H196/G201*100)</f>
        <v>#DIV/0!</v>
      </c>
    </row>
    <row r="197" spans="1:9" s="17" customFormat="1" ht="15" hidden="1">
      <c r="A197" s="227" t="s">
        <v>3</v>
      </c>
      <c r="B197" s="190"/>
      <c r="C197" s="274" t="s">
        <v>131</v>
      </c>
      <c r="D197" s="275" t="s">
        <v>460</v>
      </c>
      <c r="E197" s="275" t="s">
        <v>4</v>
      </c>
      <c r="F197" s="276"/>
      <c r="G197" s="137">
        <f>SUM(G200)+G205+G198</f>
        <v>0</v>
      </c>
      <c r="H197" s="12">
        <v>0</v>
      </c>
      <c r="I197" s="12" t="e">
        <f>SUM(H197/G202*100)</f>
        <v>#DIV/0!</v>
      </c>
    </row>
    <row r="198" spans="1:9" s="17" customFormat="1" ht="42.75" hidden="1">
      <c r="A198" s="227" t="s">
        <v>447</v>
      </c>
      <c r="B198" s="190"/>
      <c r="C198" s="274" t="s">
        <v>131</v>
      </c>
      <c r="D198" s="275" t="s">
        <v>460</v>
      </c>
      <c r="E198" s="275" t="s">
        <v>448</v>
      </c>
      <c r="F198" s="276"/>
      <c r="G198" s="137">
        <f>SUM(G199)</f>
        <v>0</v>
      </c>
      <c r="H198" s="12">
        <f>SUM(H199)</f>
        <v>0</v>
      </c>
      <c r="I198" s="12" t="e">
        <f>SUM(H198/G203*100)</f>
        <v>#DIV/0!</v>
      </c>
    </row>
    <row r="199" spans="1:9" s="17" customFormat="1" ht="15" hidden="1">
      <c r="A199" s="227" t="s">
        <v>134</v>
      </c>
      <c r="B199" s="190"/>
      <c r="C199" s="274" t="s">
        <v>131</v>
      </c>
      <c r="D199" s="275" t="s">
        <v>460</v>
      </c>
      <c r="E199" s="275" t="s">
        <v>448</v>
      </c>
      <c r="F199" s="276" t="s">
        <v>135</v>
      </c>
      <c r="G199" s="137"/>
      <c r="H199" s="12">
        <f>SUM('[1]Ведомств.'!G180)</f>
        <v>0</v>
      </c>
      <c r="I199" s="12" t="e">
        <f>SUM(H199/G204*100)</f>
        <v>#DIV/0!</v>
      </c>
    </row>
    <row r="200" spans="1:9" s="17" customFormat="1" ht="42.75" hidden="1">
      <c r="A200" s="225" t="s">
        <v>449</v>
      </c>
      <c r="B200" s="190"/>
      <c r="C200" s="274" t="s">
        <v>131</v>
      </c>
      <c r="D200" s="275" t="s">
        <v>460</v>
      </c>
      <c r="E200" s="275" t="s">
        <v>450</v>
      </c>
      <c r="F200" s="276"/>
      <c r="G200" s="137">
        <f>SUM(G201+G203)</f>
        <v>0</v>
      </c>
      <c r="H200" s="12">
        <f>SUM(H201)</f>
        <v>0</v>
      </c>
      <c r="I200" s="12" t="e">
        <f>SUM(H200/G206*100)</f>
        <v>#DIV/0!</v>
      </c>
    </row>
    <row r="201" spans="1:9" s="17" customFormat="1" ht="28.5" hidden="1">
      <c r="A201" s="227" t="s">
        <v>451</v>
      </c>
      <c r="B201" s="190"/>
      <c r="C201" s="274" t="s">
        <v>131</v>
      </c>
      <c r="D201" s="275" t="s">
        <v>460</v>
      </c>
      <c r="E201" s="275" t="s">
        <v>452</v>
      </c>
      <c r="F201" s="276"/>
      <c r="G201" s="137">
        <f>SUM(G202)</f>
        <v>0</v>
      </c>
      <c r="H201" s="12"/>
      <c r="I201" s="12" t="e">
        <f>SUM(H201/G207*100)</f>
        <v>#DIV/0!</v>
      </c>
    </row>
    <row r="202" spans="1:9" s="17" customFormat="1" ht="15" hidden="1">
      <c r="A202" s="226" t="s">
        <v>134</v>
      </c>
      <c r="B202" s="190"/>
      <c r="C202" s="274" t="s">
        <v>131</v>
      </c>
      <c r="D202" s="275" t="s">
        <v>460</v>
      </c>
      <c r="E202" s="275" t="s">
        <v>452</v>
      </c>
      <c r="F202" s="276" t="s">
        <v>135</v>
      </c>
      <c r="G202" s="137"/>
      <c r="H202" s="12">
        <f>SUM(H203)</f>
        <v>0</v>
      </c>
      <c r="I202" s="12" t="e">
        <f>SUM(H202/G208*100)</f>
        <v>#DIV/0!</v>
      </c>
    </row>
    <row r="203" spans="1:9" s="17" customFormat="1" ht="15" hidden="1">
      <c r="A203" s="226" t="s">
        <v>453</v>
      </c>
      <c r="B203" s="190"/>
      <c r="C203" s="274" t="s">
        <v>131</v>
      </c>
      <c r="D203" s="275" t="s">
        <v>460</v>
      </c>
      <c r="E203" s="275" t="s">
        <v>454</v>
      </c>
      <c r="F203" s="276"/>
      <c r="G203" s="137">
        <f>SUM(G204)</f>
        <v>0</v>
      </c>
      <c r="H203" s="12"/>
      <c r="I203" s="12" t="e">
        <f>SUM(H203/G209*100)</f>
        <v>#DIV/0!</v>
      </c>
    </row>
    <row r="204" spans="1:9" s="14" customFormat="1" ht="15" hidden="1">
      <c r="A204" s="225" t="s">
        <v>103</v>
      </c>
      <c r="B204" s="202"/>
      <c r="C204" s="274" t="s">
        <v>131</v>
      </c>
      <c r="D204" s="275" t="s">
        <v>460</v>
      </c>
      <c r="E204" s="275" t="s">
        <v>454</v>
      </c>
      <c r="F204" s="276" t="s">
        <v>104</v>
      </c>
      <c r="G204" s="137"/>
      <c r="H204" s="12"/>
      <c r="I204" s="12"/>
    </row>
    <row r="205" spans="1:9" s="14" customFormat="1" ht="28.5" hidden="1">
      <c r="A205" s="225" t="s">
        <v>455</v>
      </c>
      <c r="B205" s="202"/>
      <c r="C205" s="274" t="s">
        <v>131</v>
      </c>
      <c r="D205" s="275" t="s">
        <v>460</v>
      </c>
      <c r="E205" s="275" t="s">
        <v>456</v>
      </c>
      <c r="F205" s="276"/>
      <c r="G205" s="137"/>
      <c r="H205" s="12"/>
      <c r="I205" s="12"/>
    </row>
    <row r="206" spans="1:9" s="14" customFormat="1" ht="42.75" hidden="1">
      <c r="A206" s="225" t="s">
        <v>44</v>
      </c>
      <c r="B206" s="202"/>
      <c r="C206" s="274" t="s">
        <v>131</v>
      </c>
      <c r="D206" s="275" t="s">
        <v>460</v>
      </c>
      <c r="E206" s="275" t="s">
        <v>45</v>
      </c>
      <c r="F206" s="276"/>
      <c r="G206" s="137">
        <f>SUM(G207)</f>
        <v>0</v>
      </c>
      <c r="H206" s="12"/>
      <c r="I206" s="12"/>
    </row>
    <row r="207" spans="1:10" ht="15" hidden="1">
      <c r="A207" s="225" t="s">
        <v>7</v>
      </c>
      <c r="B207" s="202"/>
      <c r="C207" s="274" t="s">
        <v>131</v>
      </c>
      <c r="D207" s="275" t="s">
        <v>460</v>
      </c>
      <c r="E207" s="275" t="s">
        <v>45</v>
      </c>
      <c r="F207" s="276" t="s">
        <v>8</v>
      </c>
      <c r="G207" s="137"/>
      <c r="H207" s="12"/>
      <c r="I207" s="12"/>
      <c r="J207"/>
    </row>
    <row r="208" spans="1:10" ht="42.75" hidden="1">
      <c r="A208" s="225" t="s">
        <v>46</v>
      </c>
      <c r="B208" s="202"/>
      <c r="C208" s="274" t="s">
        <v>131</v>
      </c>
      <c r="D208" s="275" t="s">
        <v>460</v>
      </c>
      <c r="E208" s="275" t="s">
        <v>47</v>
      </c>
      <c r="F208" s="276"/>
      <c r="G208" s="137">
        <f>SUM(G209)</f>
        <v>0</v>
      </c>
      <c r="H208" s="12"/>
      <c r="I208" s="12"/>
      <c r="J208"/>
    </row>
    <row r="209" spans="1:9" s="17" customFormat="1" ht="15" hidden="1">
      <c r="A209" s="225" t="s">
        <v>7</v>
      </c>
      <c r="B209" s="202"/>
      <c r="C209" s="274" t="s">
        <v>131</v>
      </c>
      <c r="D209" s="275" t="s">
        <v>460</v>
      </c>
      <c r="E209" s="275" t="s">
        <v>47</v>
      </c>
      <c r="F209" s="276" t="s">
        <v>8</v>
      </c>
      <c r="G209" s="137"/>
      <c r="H209" s="12" t="e">
        <f>SUM(#REF!+#REF!)+H214</f>
        <v>#REF!</v>
      </c>
      <c r="I209" s="12" t="e">
        <f aca="true" t="shared" si="3" ref="I209:I216">SUM(H209/G215*100)</f>
        <v>#REF!</v>
      </c>
    </row>
    <row r="210" spans="1:9" s="17" customFormat="1" ht="15" hidden="1">
      <c r="A210" s="225" t="s">
        <v>441</v>
      </c>
      <c r="B210" s="202"/>
      <c r="C210" s="274" t="s">
        <v>131</v>
      </c>
      <c r="D210" s="275" t="s">
        <v>460</v>
      </c>
      <c r="E210" s="275" t="s">
        <v>442</v>
      </c>
      <c r="F210" s="276"/>
      <c r="G210" s="137">
        <f>SUM(G211)</f>
        <v>0</v>
      </c>
      <c r="H210" s="20">
        <f>SUM('[1]Ведомств.'!G188)</f>
        <v>0</v>
      </c>
      <c r="I210" s="12" t="e">
        <f t="shared" si="3"/>
        <v>#DIV/0!</v>
      </c>
    </row>
    <row r="211" spans="1:10" s="17" customFormat="1" ht="42.75" hidden="1">
      <c r="A211" s="225" t="s">
        <v>288</v>
      </c>
      <c r="B211" s="202"/>
      <c r="C211" s="274" t="s">
        <v>131</v>
      </c>
      <c r="D211" s="275" t="s">
        <v>460</v>
      </c>
      <c r="E211" s="275" t="s">
        <v>446</v>
      </c>
      <c r="F211" s="276"/>
      <c r="G211" s="137">
        <f>SUM(G212)</f>
        <v>0</v>
      </c>
      <c r="H211" s="20"/>
      <c r="I211" s="12" t="e">
        <f t="shared" si="3"/>
        <v>#DIV/0!</v>
      </c>
      <c r="J211" s="14"/>
    </row>
    <row r="212" spans="1:9" s="17" customFormat="1" ht="15" hidden="1">
      <c r="A212" s="225" t="s">
        <v>103</v>
      </c>
      <c r="B212" s="202"/>
      <c r="C212" s="274" t="s">
        <v>131</v>
      </c>
      <c r="D212" s="275" t="s">
        <v>460</v>
      </c>
      <c r="E212" s="275" t="s">
        <v>446</v>
      </c>
      <c r="F212" s="276" t="s">
        <v>104</v>
      </c>
      <c r="G212" s="137"/>
      <c r="H212" s="12">
        <f>SUM(H213)</f>
        <v>167.7</v>
      </c>
      <c r="I212" s="12" t="e">
        <f t="shared" si="3"/>
        <v>#DIV/0!</v>
      </c>
    </row>
    <row r="213" spans="1:9" s="17" customFormat="1" ht="15" hidden="1">
      <c r="A213" s="238" t="s">
        <v>128</v>
      </c>
      <c r="B213" s="190"/>
      <c r="C213" s="274" t="s">
        <v>131</v>
      </c>
      <c r="D213" s="275" t="s">
        <v>460</v>
      </c>
      <c r="E213" s="275" t="s">
        <v>129</v>
      </c>
      <c r="F213" s="276"/>
      <c r="G213" s="137">
        <f>SUM(G214+G217)+G221</f>
        <v>0</v>
      </c>
      <c r="H213" s="12">
        <v>167.7</v>
      </c>
      <c r="I213" s="12" t="e">
        <f t="shared" si="3"/>
        <v>#DIV/0!</v>
      </c>
    </row>
    <row r="214" spans="1:9" s="17" customFormat="1" ht="42.75" hidden="1">
      <c r="A214" s="238" t="s">
        <v>492</v>
      </c>
      <c r="B214" s="190"/>
      <c r="C214" s="274" t="s">
        <v>131</v>
      </c>
      <c r="D214" s="275" t="s">
        <v>460</v>
      </c>
      <c r="E214" s="275" t="s">
        <v>298</v>
      </c>
      <c r="F214" s="276"/>
      <c r="G214" s="138">
        <f>SUM(G215)</f>
        <v>0</v>
      </c>
      <c r="H214" s="12">
        <f>SUM(H215)</f>
        <v>110.4</v>
      </c>
      <c r="I214" s="12" t="e">
        <f t="shared" si="3"/>
        <v>#DIV/0!</v>
      </c>
    </row>
    <row r="215" spans="1:9" s="17" customFormat="1" ht="15" hidden="1">
      <c r="A215" s="226" t="s">
        <v>7</v>
      </c>
      <c r="B215" s="190"/>
      <c r="C215" s="274" t="s">
        <v>131</v>
      </c>
      <c r="D215" s="275" t="s">
        <v>460</v>
      </c>
      <c r="E215" s="275" t="s">
        <v>298</v>
      </c>
      <c r="F215" s="276" t="s">
        <v>8</v>
      </c>
      <c r="G215" s="138"/>
      <c r="H215" s="12">
        <v>110.4</v>
      </c>
      <c r="I215" s="12" t="e">
        <f t="shared" si="3"/>
        <v>#DIV/0!</v>
      </c>
    </row>
    <row r="216" spans="1:9" s="14" customFormat="1" ht="15" hidden="1">
      <c r="A216" s="238" t="s">
        <v>48</v>
      </c>
      <c r="B216" s="190"/>
      <c r="C216" s="274" t="s">
        <v>131</v>
      </c>
      <c r="D216" s="275" t="s">
        <v>460</v>
      </c>
      <c r="E216" s="275" t="s">
        <v>49</v>
      </c>
      <c r="F216" s="276" t="s">
        <v>104</v>
      </c>
      <c r="G216" s="137"/>
      <c r="H216" s="12" t="e">
        <f>SUM(H228+H250)+H219+H246+H221</f>
        <v>#REF!</v>
      </c>
      <c r="I216" s="12" t="e">
        <f t="shared" si="3"/>
        <v>#REF!</v>
      </c>
    </row>
    <row r="217" spans="1:9" s="14" customFormat="1" ht="15" hidden="1">
      <c r="A217" s="238" t="s">
        <v>134</v>
      </c>
      <c r="B217" s="190"/>
      <c r="C217" s="274" t="s">
        <v>131</v>
      </c>
      <c r="D217" s="275" t="s">
        <v>460</v>
      </c>
      <c r="E217" s="275" t="s">
        <v>129</v>
      </c>
      <c r="F217" s="276" t="s">
        <v>135</v>
      </c>
      <c r="G217" s="137">
        <f>SUM(G218)</f>
        <v>0</v>
      </c>
      <c r="H217" s="12"/>
      <c r="I217" s="12">
        <f>SUM(H217/G227*100)</f>
        <v>0</v>
      </c>
    </row>
    <row r="218" spans="1:9" s="14" customFormat="1" ht="28.5" hidden="1">
      <c r="A218" s="226" t="s">
        <v>50</v>
      </c>
      <c r="B218" s="190"/>
      <c r="C218" s="274" t="s">
        <v>131</v>
      </c>
      <c r="D218" s="275" t="s">
        <v>460</v>
      </c>
      <c r="E218" s="275" t="s">
        <v>51</v>
      </c>
      <c r="F218" s="276" t="s">
        <v>135</v>
      </c>
      <c r="G218" s="137">
        <f>SUM(G220)</f>
        <v>0</v>
      </c>
      <c r="H218" s="12"/>
      <c r="I218" s="12">
        <f>SUM(H218/G228*100)</f>
        <v>0</v>
      </c>
    </row>
    <row r="219" spans="1:9" s="14" customFormat="1" ht="28.5" hidden="1">
      <c r="A219" s="226" t="s">
        <v>66</v>
      </c>
      <c r="B219" s="190"/>
      <c r="C219" s="274"/>
      <c r="D219" s="275"/>
      <c r="E219" s="275"/>
      <c r="F219" s="276"/>
      <c r="G219" s="137"/>
      <c r="H219" s="12">
        <f>SUM(H220)</f>
        <v>0</v>
      </c>
      <c r="I219" s="12">
        <f>SUM(H219/G229*100)</f>
        <v>0</v>
      </c>
    </row>
    <row r="220" spans="1:9" s="14" customFormat="1" ht="28.5" hidden="1">
      <c r="A220" s="227" t="s">
        <v>451</v>
      </c>
      <c r="B220" s="190"/>
      <c r="C220" s="274" t="s">
        <v>131</v>
      </c>
      <c r="D220" s="275" t="s">
        <v>460</v>
      </c>
      <c r="E220" s="275" t="s">
        <v>52</v>
      </c>
      <c r="F220" s="276" t="s">
        <v>135</v>
      </c>
      <c r="G220" s="137"/>
      <c r="H220" s="12"/>
      <c r="I220" s="12">
        <f>SUM(H220/G230*100)</f>
        <v>0</v>
      </c>
    </row>
    <row r="221" spans="1:9" s="14" customFormat="1" ht="28.5" hidden="1">
      <c r="A221" s="225" t="s">
        <v>53</v>
      </c>
      <c r="B221" s="190"/>
      <c r="C221" s="274" t="s">
        <v>131</v>
      </c>
      <c r="D221" s="275" t="s">
        <v>460</v>
      </c>
      <c r="E221" s="275" t="s">
        <v>54</v>
      </c>
      <c r="F221" s="276"/>
      <c r="G221" s="137">
        <f>SUM(G222)</f>
        <v>0</v>
      </c>
      <c r="H221" s="12">
        <f>SUM(H222)</f>
        <v>9483.6</v>
      </c>
      <c r="I221" s="12" t="e">
        <f>SUM(H221/G232*100)</f>
        <v>#DIV/0!</v>
      </c>
    </row>
    <row r="222" spans="1:9" s="14" customFormat="1" ht="15" hidden="1">
      <c r="A222" s="238" t="s">
        <v>134</v>
      </c>
      <c r="B222" s="190"/>
      <c r="C222" s="274" t="s">
        <v>131</v>
      </c>
      <c r="D222" s="275" t="s">
        <v>460</v>
      </c>
      <c r="E222" s="275" t="s">
        <v>54</v>
      </c>
      <c r="F222" s="276" t="s">
        <v>135</v>
      </c>
      <c r="G222" s="137"/>
      <c r="H222" s="12">
        <f>SUM(H227)</f>
        <v>9483.6</v>
      </c>
      <c r="I222" s="12" t="e">
        <f>SUM(H222/G233*100)</f>
        <v>#DIV/0!</v>
      </c>
    </row>
    <row r="223" spans="1:9" s="14" customFormat="1" ht="15" hidden="1">
      <c r="A223" s="238"/>
      <c r="B223" s="190"/>
      <c r="C223" s="274"/>
      <c r="D223" s="275"/>
      <c r="E223" s="275"/>
      <c r="F223" s="276"/>
      <c r="G223" s="137"/>
      <c r="H223" s="12"/>
      <c r="I223" s="12"/>
    </row>
    <row r="224" spans="1:9" s="14" customFormat="1" ht="15" hidden="1">
      <c r="A224" s="238"/>
      <c r="B224" s="190"/>
      <c r="C224" s="274"/>
      <c r="D224" s="275"/>
      <c r="E224" s="275"/>
      <c r="F224" s="276"/>
      <c r="G224" s="137"/>
      <c r="H224" s="12"/>
      <c r="I224" s="12"/>
    </row>
    <row r="225" spans="1:9" s="14" customFormat="1" ht="15" hidden="1">
      <c r="A225" s="238"/>
      <c r="B225" s="190"/>
      <c r="C225" s="274"/>
      <c r="D225" s="275"/>
      <c r="E225" s="275"/>
      <c r="F225" s="276"/>
      <c r="G225" s="137"/>
      <c r="H225" s="12"/>
      <c r="I225" s="12"/>
    </row>
    <row r="226" spans="1:9" s="14" customFormat="1" ht="15" hidden="1">
      <c r="A226" s="238"/>
      <c r="B226" s="190"/>
      <c r="C226" s="274"/>
      <c r="D226" s="275"/>
      <c r="E226" s="275"/>
      <c r="F226" s="276"/>
      <c r="G226" s="137"/>
      <c r="H226" s="12"/>
      <c r="I226" s="12"/>
    </row>
    <row r="227" spans="1:11" s="14" customFormat="1" ht="15">
      <c r="A227" s="226" t="s">
        <v>55</v>
      </c>
      <c r="B227" s="193"/>
      <c r="C227" s="290" t="s">
        <v>131</v>
      </c>
      <c r="D227" s="291" t="s">
        <v>462</v>
      </c>
      <c r="E227" s="291"/>
      <c r="F227" s="292"/>
      <c r="G227" s="612">
        <f>G228+G234+G236</f>
        <v>31973.699999999997</v>
      </c>
      <c r="H227" s="12">
        <v>9483.6</v>
      </c>
      <c r="I227" s="12">
        <f>SUM(H227/G243*100)</f>
        <v>14.656468730053984</v>
      </c>
      <c r="K227" s="168">
        <f>SUM(J228:J242)</f>
        <v>31973.7</v>
      </c>
    </row>
    <row r="228" spans="1:9" s="14" customFormat="1" ht="15">
      <c r="A228" s="226" t="s">
        <v>295</v>
      </c>
      <c r="B228" s="193"/>
      <c r="C228" s="290" t="s">
        <v>131</v>
      </c>
      <c r="D228" s="291" t="s">
        <v>462</v>
      </c>
      <c r="E228" s="291" t="s">
        <v>554</v>
      </c>
      <c r="F228" s="292"/>
      <c r="G228" s="612">
        <f>G229</f>
        <v>20842.3</v>
      </c>
      <c r="H228" s="12">
        <f>SUM(H229+H232+H243)</f>
        <v>15047</v>
      </c>
      <c r="I228" s="12">
        <f>SUM(H228/G244*100)</f>
        <v>23.381825979668516</v>
      </c>
    </row>
    <row r="229" spans="1:9" s="14" customFormat="1" ht="15">
      <c r="A229" s="226" t="s">
        <v>41</v>
      </c>
      <c r="B229" s="193"/>
      <c r="C229" s="290" t="s">
        <v>131</v>
      </c>
      <c r="D229" s="291" t="s">
        <v>462</v>
      </c>
      <c r="E229" s="291" t="s">
        <v>555</v>
      </c>
      <c r="F229" s="292"/>
      <c r="G229" s="612">
        <f>SUM(G230:G231)</f>
        <v>20842.3</v>
      </c>
      <c r="H229" s="12">
        <f>SUM(H230)</f>
        <v>0</v>
      </c>
      <c r="I229" s="12">
        <f>SUM(H229/G245*100)</f>
        <v>0</v>
      </c>
    </row>
    <row r="230" spans="1:10" s="14" customFormat="1" ht="13.5" customHeight="1">
      <c r="A230" s="226" t="s">
        <v>500</v>
      </c>
      <c r="B230" s="193"/>
      <c r="C230" s="290" t="s">
        <v>131</v>
      </c>
      <c r="D230" s="291" t="s">
        <v>462</v>
      </c>
      <c r="E230" s="291" t="s">
        <v>555</v>
      </c>
      <c r="F230" s="292" t="s">
        <v>120</v>
      </c>
      <c r="G230" s="612">
        <v>11031.3</v>
      </c>
      <c r="H230" s="12"/>
      <c r="I230" s="12">
        <f>SUM(H230/G246*100)</f>
        <v>0</v>
      </c>
      <c r="J230" s="14">
        <f>SUM('[3]ведомствен.2014'!G238)</f>
        <v>11031.3</v>
      </c>
    </row>
    <row r="231" spans="1:10" s="14" customFormat="1" ht="13.5" customHeight="1">
      <c r="A231" s="238" t="s">
        <v>660</v>
      </c>
      <c r="B231" s="203"/>
      <c r="C231" s="291" t="s">
        <v>131</v>
      </c>
      <c r="D231" s="291" t="s">
        <v>462</v>
      </c>
      <c r="E231" s="291" t="s">
        <v>555</v>
      </c>
      <c r="F231" s="277" t="s">
        <v>560</v>
      </c>
      <c r="G231" s="612">
        <v>9811</v>
      </c>
      <c r="H231" s="12"/>
      <c r="I231" s="12"/>
      <c r="J231" s="14">
        <f>SUM('[3]ведомствен.2014'!G239)</f>
        <v>9811</v>
      </c>
    </row>
    <row r="232" spans="1:9" s="14" customFormat="1" ht="28.5" hidden="1">
      <c r="A232" s="226" t="s">
        <v>520</v>
      </c>
      <c r="B232" s="193"/>
      <c r="C232" s="290" t="s">
        <v>131</v>
      </c>
      <c r="D232" s="291" t="s">
        <v>462</v>
      </c>
      <c r="E232" s="291" t="s">
        <v>555</v>
      </c>
      <c r="F232" s="292" t="s">
        <v>521</v>
      </c>
      <c r="G232" s="612"/>
      <c r="H232" s="12">
        <f>SUM(H233)</f>
        <v>0</v>
      </c>
      <c r="I232" s="12">
        <f>SUM(H232/G247*100)</f>
        <v>0</v>
      </c>
    </row>
    <row r="233" spans="1:9" s="14" customFormat="1" ht="28.5" hidden="1">
      <c r="A233" s="226" t="s">
        <v>520</v>
      </c>
      <c r="B233" s="193"/>
      <c r="C233" s="290" t="s">
        <v>131</v>
      </c>
      <c r="D233" s="291" t="s">
        <v>462</v>
      </c>
      <c r="E233" s="291" t="s">
        <v>555</v>
      </c>
      <c r="F233" s="292" t="s">
        <v>521</v>
      </c>
      <c r="G233" s="612"/>
      <c r="H233" s="12"/>
      <c r="I233" s="12" t="e">
        <f>SUM(H233/#REF!*100)</f>
        <v>#REF!</v>
      </c>
    </row>
    <row r="234" spans="1:9" s="14" customFormat="1" ht="15" hidden="1">
      <c r="A234" s="227" t="s">
        <v>511</v>
      </c>
      <c r="B234" s="190"/>
      <c r="C234" s="290" t="s">
        <v>131</v>
      </c>
      <c r="D234" s="291" t="s">
        <v>462</v>
      </c>
      <c r="E234" s="275" t="s">
        <v>512</v>
      </c>
      <c r="F234" s="276"/>
      <c r="G234" s="612">
        <f>G235</f>
        <v>0</v>
      </c>
      <c r="H234" s="12"/>
      <c r="I234" s="12"/>
    </row>
    <row r="235" spans="1:10" s="14" customFormat="1" ht="15" hidden="1">
      <c r="A235" s="225" t="s">
        <v>501</v>
      </c>
      <c r="B235" s="190"/>
      <c r="C235" s="290" t="s">
        <v>131</v>
      </c>
      <c r="D235" s="291" t="s">
        <v>462</v>
      </c>
      <c r="E235" s="275" t="s">
        <v>512</v>
      </c>
      <c r="F235" s="276" t="s">
        <v>176</v>
      </c>
      <c r="G235" s="137"/>
      <c r="H235" s="12"/>
      <c r="I235" s="12"/>
      <c r="J235" s="14">
        <f>SUM('[3]ведомствен.2014'!G363)</f>
        <v>0</v>
      </c>
    </row>
    <row r="236" spans="1:9" s="14" customFormat="1" ht="15">
      <c r="A236" s="114" t="s">
        <v>753</v>
      </c>
      <c r="B236" s="204"/>
      <c r="C236" s="274" t="s">
        <v>131</v>
      </c>
      <c r="D236" s="275" t="s">
        <v>462</v>
      </c>
      <c r="E236" s="275" t="s">
        <v>129</v>
      </c>
      <c r="F236" s="276"/>
      <c r="G236" s="270">
        <f>SUM(G237)+G242+G239</f>
        <v>11131.4</v>
      </c>
      <c r="H236" s="12"/>
      <c r="I236" s="12"/>
    </row>
    <row r="237" spans="1:9" s="14" customFormat="1" ht="57">
      <c r="A237" s="239" t="s">
        <v>673</v>
      </c>
      <c r="B237" s="205"/>
      <c r="C237" s="274" t="s">
        <v>131</v>
      </c>
      <c r="D237" s="275" t="s">
        <v>462</v>
      </c>
      <c r="E237" s="275" t="s">
        <v>654</v>
      </c>
      <c r="F237" s="306"/>
      <c r="G237" s="270">
        <f>SUM(G238:G238)</f>
        <v>16.4</v>
      </c>
      <c r="H237" s="12"/>
      <c r="I237" s="12"/>
    </row>
    <row r="238" spans="1:10" s="14" customFormat="1" ht="15">
      <c r="A238" s="226" t="s">
        <v>500</v>
      </c>
      <c r="B238" s="205"/>
      <c r="C238" s="274" t="s">
        <v>131</v>
      </c>
      <c r="D238" s="275" t="s">
        <v>462</v>
      </c>
      <c r="E238" s="275" t="s">
        <v>654</v>
      </c>
      <c r="F238" s="306" t="s">
        <v>120</v>
      </c>
      <c r="G238" s="270">
        <v>16.4</v>
      </c>
      <c r="H238" s="12"/>
      <c r="I238" s="12"/>
      <c r="J238" s="14">
        <f>SUM('[3]ведомствен.2014'!G242)</f>
        <v>16.4</v>
      </c>
    </row>
    <row r="239" spans="1:9" s="14" customFormat="1" ht="42.75">
      <c r="A239" s="113" t="s">
        <v>742</v>
      </c>
      <c r="B239" s="179"/>
      <c r="C239" s="275" t="s">
        <v>131</v>
      </c>
      <c r="D239" s="275" t="s">
        <v>462</v>
      </c>
      <c r="E239" s="275" t="s">
        <v>743</v>
      </c>
      <c r="F239" s="306"/>
      <c r="G239" s="270">
        <f>SUM(G240)</f>
        <v>11059</v>
      </c>
      <c r="H239" s="12"/>
      <c r="I239" s="12"/>
    </row>
    <row r="240" spans="1:10" s="14" customFormat="1" ht="15">
      <c r="A240" s="113" t="s">
        <v>501</v>
      </c>
      <c r="B240" s="179"/>
      <c r="C240" s="275" t="s">
        <v>131</v>
      </c>
      <c r="D240" s="275" t="s">
        <v>462</v>
      </c>
      <c r="E240" s="275" t="s">
        <v>743</v>
      </c>
      <c r="F240" s="306" t="s">
        <v>176</v>
      </c>
      <c r="G240" s="270">
        <v>11059</v>
      </c>
      <c r="H240" s="12"/>
      <c r="I240" s="12"/>
      <c r="J240" s="14">
        <f>SUM('[3]ведомствен.2014'!G244)</f>
        <v>11059</v>
      </c>
    </row>
    <row r="241" spans="1:9" s="14" customFormat="1" ht="57">
      <c r="A241" s="226" t="s">
        <v>676</v>
      </c>
      <c r="B241" s="203"/>
      <c r="C241" s="274" t="s">
        <v>131</v>
      </c>
      <c r="D241" s="275" t="s">
        <v>462</v>
      </c>
      <c r="E241" s="280" t="s">
        <v>42</v>
      </c>
      <c r="F241" s="277"/>
      <c r="G241" s="612">
        <f>G242</f>
        <v>56</v>
      </c>
      <c r="H241" s="12"/>
      <c r="I241" s="12"/>
    </row>
    <row r="242" spans="1:10" s="14" customFormat="1" ht="28.5">
      <c r="A242" s="226" t="s">
        <v>559</v>
      </c>
      <c r="B242" s="203"/>
      <c r="C242" s="274" t="s">
        <v>131</v>
      </c>
      <c r="D242" s="275" t="s">
        <v>462</v>
      </c>
      <c r="E242" s="280" t="s">
        <v>42</v>
      </c>
      <c r="F242" s="277" t="s">
        <v>560</v>
      </c>
      <c r="G242" s="612">
        <v>56</v>
      </c>
      <c r="H242" s="12"/>
      <c r="I242" s="12"/>
      <c r="J242" s="14">
        <f>SUM('[3]ведомствен.2014'!G246)</f>
        <v>56</v>
      </c>
    </row>
    <row r="243" spans="1:9" s="14" customFormat="1" ht="15">
      <c r="A243" s="226" t="s">
        <v>43</v>
      </c>
      <c r="B243" s="193"/>
      <c r="C243" s="290" t="s">
        <v>131</v>
      </c>
      <c r="D243" s="291" t="s">
        <v>106</v>
      </c>
      <c r="E243" s="291"/>
      <c r="F243" s="292"/>
      <c r="G243" s="612">
        <f>G244+G255</f>
        <v>64705.9</v>
      </c>
      <c r="H243" s="12">
        <f>SUM(H244)+H245</f>
        <v>15047</v>
      </c>
      <c r="I243" s="12">
        <f>SUM(H243/G249*100)</f>
        <v>72.60313630880579</v>
      </c>
    </row>
    <row r="244" spans="1:10" s="14" customFormat="1" ht="15">
      <c r="A244" s="226" t="s">
        <v>43</v>
      </c>
      <c r="B244" s="197"/>
      <c r="C244" s="290" t="s">
        <v>131</v>
      </c>
      <c r="D244" s="291" t="s">
        <v>106</v>
      </c>
      <c r="E244" s="280" t="s">
        <v>71</v>
      </c>
      <c r="F244" s="277"/>
      <c r="G244" s="612">
        <f>G245+G249+G253+G247</f>
        <v>64353.4</v>
      </c>
      <c r="H244" s="16">
        <f>878+4272.1+2990.6</f>
        <v>8140.700000000001</v>
      </c>
      <c r="I244" s="12">
        <f>SUM(H244/G250*100)</f>
        <v>39.27961399276237</v>
      </c>
      <c r="J244" s="33"/>
    </row>
    <row r="245" spans="1:10" s="14" customFormat="1" ht="15">
      <c r="A245" s="232" t="s">
        <v>72</v>
      </c>
      <c r="B245" s="197"/>
      <c r="C245" s="290" t="s">
        <v>131</v>
      </c>
      <c r="D245" s="291" t="s">
        <v>106</v>
      </c>
      <c r="E245" s="280" t="s">
        <v>73</v>
      </c>
      <c r="F245" s="277"/>
      <c r="G245" s="612">
        <f>SUM(G246)</f>
        <v>42699.2</v>
      </c>
      <c r="H245" s="16">
        <v>6906.3</v>
      </c>
      <c r="I245" s="12" t="e">
        <f>SUM(H245/G251*100)</f>
        <v>#DIV/0!</v>
      </c>
      <c r="J245" s="33"/>
    </row>
    <row r="246" spans="1:10" s="14" customFormat="1" ht="15">
      <c r="A246" s="226" t="s">
        <v>500</v>
      </c>
      <c r="B246" s="197"/>
      <c r="C246" s="290" t="s">
        <v>131</v>
      </c>
      <c r="D246" s="291" t="s">
        <v>106</v>
      </c>
      <c r="E246" s="280" t="s">
        <v>73</v>
      </c>
      <c r="F246" s="277" t="s">
        <v>120</v>
      </c>
      <c r="G246" s="612">
        <f>42698.5+0.7</f>
        <v>42699.2</v>
      </c>
      <c r="H246" s="16" t="e">
        <f>SUM(H247)</f>
        <v>#REF!</v>
      </c>
      <c r="I246" s="12" t="e">
        <f>SUM(H246/G252*100)</f>
        <v>#REF!</v>
      </c>
      <c r="J246" s="14">
        <f>SUM('[3]ведомствен.2014'!G250)</f>
        <v>42699.2</v>
      </c>
    </row>
    <row r="247" spans="1:9" s="14" customFormat="1" ht="15">
      <c r="A247" s="238" t="s">
        <v>655</v>
      </c>
      <c r="B247" s="206"/>
      <c r="C247" s="301" t="s">
        <v>131</v>
      </c>
      <c r="D247" s="302" t="s">
        <v>106</v>
      </c>
      <c r="E247" s="275" t="s">
        <v>656</v>
      </c>
      <c r="F247" s="277"/>
      <c r="G247" s="612">
        <f>SUM(G248)</f>
        <v>730.8</v>
      </c>
      <c r="H247" s="16" t="e">
        <f>SUM(#REF!)</f>
        <v>#REF!</v>
      </c>
      <c r="I247" s="12" t="e">
        <f>SUM(H247/G253*100)</f>
        <v>#REF!</v>
      </c>
    </row>
    <row r="248" spans="1:10" s="14" customFormat="1" ht="15">
      <c r="A248" s="226" t="s">
        <v>500</v>
      </c>
      <c r="B248" s="207"/>
      <c r="C248" s="290" t="s">
        <v>131</v>
      </c>
      <c r="D248" s="291" t="s">
        <v>106</v>
      </c>
      <c r="E248" s="275" t="s">
        <v>656</v>
      </c>
      <c r="F248" s="277" t="s">
        <v>120</v>
      </c>
      <c r="G248" s="612">
        <v>730.8</v>
      </c>
      <c r="H248" s="16"/>
      <c r="I248" s="12"/>
      <c r="J248" s="14">
        <f>SUM('[3]ведомствен.2014'!G252)</f>
        <v>730.8</v>
      </c>
    </row>
    <row r="249" spans="1:9" s="14" customFormat="1" ht="28.5">
      <c r="A249" s="226" t="s">
        <v>605</v>
      </c>
      <c r="B249" s="197"/>
      <c r="C249" s="290" t="s">
        <v>131</v>
      </c>
      <c r="D249" s="291" t="s">
        <v>106</v>
      </c>
      <c r="E249" s="280" t="s">
        <v>40</v>
      </c>
      <c r="F249" s="277"/>
      <c r="G249" s="612">
        <f>G250</f>
        <v>20725</v>
      </c>
      <c r="H249" s="16"/>
      <c r="I249" s="12">
        <f>SUM(H249/G260*100)</f>
        <v>0</v>
      </c>
    </row>
    <row r="250" spans="1:10" s="14" customFormat="1" ht="15">
      <c r="A250" s="226" t="s">
        <v>500</v>
      </c>
      <c r="B250" s="197"/>
      <c r="C250" s="290" t="s">
        <v>131</v>
      </c>
      <c r="D250" s="291" t="s">
        <v>106</v>
      </c>
      <c r="E250" s="280" t="s">
        <v>40</v>
      </c>
      <c r="F250" s="277" t="s">
        <v>120</v>
      </c>
      <c r="G250" s="612">
        <v>20725</v>
      </c>
      <c r="H250" s="16">
        <f>SUM(H251)</f>
        <v>0</v>
      </c>
      <c r="I250" s="12">
        <f>SUM(H250/G265*100)</f>
        <v>0</v>
      </c>
      <c r="J250" s="14">
        <f>SUM('[3]ведомствен.2014'!G254)</f>
        <v>20725</v>
      </c>
    </row>
    <row r="251" spans="1:9" s="14" customFormat="1" ht="28.5" hidden="1">
      <c r="A251" s="226" t="s">
        <v>518</v>
      </c>
      <c r="B251" s="197"/>
      <c r="C251" s="290" t="s">
        <v>131</v>
      </c>
      <c r="D251" s="291" t="s">
        <v>106</v>
      </c>
      <c r="E251" s="280" t="s">
        <v>40</v>
      </c>
      <c r="F251" s="277" t="s">
        <v>519</v>
      </c>
      <c r="G251" s="612"/>
      <c r="H251" s="16">
        <f>SUM(H252:H260)</f>
        <v>0</v>
      </c>
      <c r="I251" s="12" t="e">
        <f>SUM(H251/G268*100)</f>
        <v>#DIV/0!</v>
      </c>
    </row>
    <row r="252" spans="1:9" s="14" customFormat="1" ht="28.5" hidden="1">
      <c r="A252" s="226" t="s">
        <v>520</v>
      </c>
      <c r="B252" s="197"/>
      <c r="C252" s="290" t="s">
        <v>131</v>
      </c>
      <c r="D252" s="291" t="s">
        <v>106</v>
      </c>
      <c r="E252" s="280" t="s">
        <v>40</v>
      </c>
      <c r="F252" s="277" t="s">
        <v>521</v>
      </c>
      <c r="G252" s="612"/>
      <c r="H252" s="16"/>
      <c r="I252" s="12" t="e">
        <f>SUM(H252/G269*100)</f>
        <v>#DIV/0!</v>
      </c>
    </row>
    <row r="253" spans="1:9" s="14" customFormat="1" ht="57">
      <c r="A253" s="231" t="s">
        <v>603</v>
      </c>
      <c r="B253" s="195"/>
      <c r="C253" s="293" t="s">
        <v>131</v>
      </c>
      <c r="D253" s="294" t="s">
        <v>106</v>
      </c>
      <c r="E253" s="300" t="s">
        <v>604</v>
      </c>
      <c r="F253" s="295"/>
      <c r="G253" s="613">
        <f>SUM(G254)</f>
        <v>198.4</v>
      </c>
      <c r="H253" s="16"/>
      <c r="I253" s="12" t="e">
        <f>SUM(H253/G270*100)</f>
        <v>#DIV/0!</v>
      </c>
    </row>
    <row r="254" spans="1:10" s="14" customFormat="1" ht="15">
      <c r="A254" s="226" t="s">
        <v>500</v>
      </c>
      <c r="B254" s="197"/>
      <c r="C254" s="290" t="s">
        <v>131</v>
      </c>
      <c r="D254" s="291" t="s">
        <v>106</v>
      </c>
      <c r="E254" s="300" t="s">
        <v>604</v>
      </c>
      <c r="F254" s="277" t="s">
        <v>120</v>
      </c>
      <c r="G254" s="612">
        <v>198.4</v>
      </c>
      <c r="H254" s="16"/>
      <c r="I254" s="12" t="e">
        <f>SUM(H254/G271*100)</f>
        <v>#DIV/0!</v>
      </c>
      <c r="J254" s="14">
        <f>SUM('[3]ведомствен.2014'!G258)</f>
        <v>198.4</v>
      </c>
    </row>
    <row r="255" spans="1:9" s="14" customFormat="1" ht="15">
      <c r="A255" s="114" t="s">
        <v>753</v>
      </c>
      <c r="B255" s="206"/>
      <c r="C255" s="301" t="s">
        <v>131</v>
      </c>
      <c r="D255" s="302" t="s">
        <v>106</v>
      </c>
      <c r="E255" s="275" t="s">
        <v>129</v>
      </c>
      <c r="F255" s="277"/>
      <c r="G255" s="612">
        <f>SUM(G256)+G258</f>
        <v>352.5</v>
      </c>
      <c r="H255" s="16"/>
      <c r="I255" s="12"/>
    </row>
    <row r="256" spans="1:9" s="14" customFormat="1" ht="42.75">
      <c r="A256" s="234" t="s">
        <v>674</v>
      </c>
      <c r="B256" s="208"/>
      <c r="C256" s="340" t="s">
        <v>131</v>
      </c>
      <c r="D256" s="308" t="s">
        <v>106</v>
      </c>
      <c r="E256" s="275" t="s">
        <v>657</v>
      </c>
      <c r="F256" s="277"/>
      <c r="G256" s="612">
        <f>SUM(G257)</f>
        <v>172.7</v>
      </c>
      <c r="H256" s="16"/>
      <c r="I256" s="12"/>
    </row>
    <row r="257" spans="1:10" s="14" customFormat="1" ht="15">
      <c r="A257" s="226" t="s">
        <v>500</v>
      </c>
      <c r="B257" s="207"/>
      <c r="C257" s="340" t="s">
        <v>131</v>
      </c>
      <c r="D257" s="308" t="s">
        <v>106</v>
      </c>
      <c r="E257" s="275" t="s">
        <v>657</v>
      </c>
      <c r="F257" s="277" t="s">
        <v>120</v>
      </c>
      <c r="G257" s="612">
        <v>172.7</v>
      </c>
      <c r="H257" s="16"/>
      <c r="I257" s="12"/>
      <c r="J257" s="14">
        <f>SUM('[3]ведомствен.2014'!G261)</f>
        <v>172.7</v>
      </c>
    </row>
    <row r="258" spans="1:9" s="14" customFormat="1" ht="42.75">
      <c r="A258" s="113" t="s">
        <v>744</v>
      </c>
      <c r="B258" s="150"/>
      <c r="C258" s="308" t="s">
        <v>131</v>
      </c>
      <c r="D258" s="308" t="s">
        <v>106</v>
      </c>
      <c r="E258" s="275" t="s">
        <v>745</v>
      </c>
      <c r="F258" s="277"/>
      <c r="G258" s="615">
        <f>SUM(G259)</f>
        <v>179.8</v>
      </c>
      <c r="H258" s="16"/>
      <c r="I258" s="12"/>
    </row>
    <row r="259" spans="1:10" s="14" customFormat="1" ht="15">
      <c r="A259" s="113" t="s">
        <v>500</v>
      </c>
      <c r="B259" s="150"/>
      <c r="C259" s="308" t="s">
        <v>131</v>
      </c>
      <c r="D259" s="308" t="s">
        <v>106</v>
      </c>
      <c r="E259" s="275" t="s">
        <v>745</v>
      </c>
      <c r="F259" s="277" t="s">
        <v>120</v>
      </c>
      <c r="G259" s="615">
        <v>179.8</v>
      </c>
      <c r="H259" s="16"/>
      <c r="I259" s="12"/>
      <c r="J259" s="14">
        <f>SUM('[3]ведомствен.2014'!G263)</f>
        <v>179.8</v>
      </c>
    </row>
    <row r="260" spans="1:9" s="14" customFormat="1" ht="27.75" customHeight="1">
      <c r="A260" s="226" t="s">
        <v>64</v>
      </c>
      <c r="B260" s="197"/>
      <c r="C260" s="290" t="s">
        <v>131</v>
      </c>
      <c r="D260" s="291" t="s">
        <v>131</v>
      </c>
      <c r="E260" s="280"/>
      <c r="F260" s="277"/>
      <c r="G260" s="612">
        <f>G265+G261</f>
        <v>62489.9</v>
      </c>
      <c r="H260" s="16">
        <f>SUM(H265)</f>
        <v>0</v>
      </c>
      <c r="I260" s="12">
        <f>SUM(H260/G272*100)</f>
        <v>0</v>
      </c>
    </row>
    <row r="261" spans="1:9" s="14" customFormat="1" ht="18.75" customHeight="1">
      <c r="A261" s="231" t="s">
        <v>681</v>
      </c>
      <c r="B261" s="197"/>
      <c r="C261" s="290" t="s">
        <v>131</v>
      </c>
      <c r="D261" s="291" t="s">
        <v>131</v>
      </c>
      <c r="E261" s="280" t="s">
        <v>683</v>
      </c>
      <c r="F261" s="277"/>
      <c r="G261" s="612">
        <f>SUM(G262)</f>
        <v>50600</v>
      </c>
      <c r="H261" s="16"/>
      <c r="I261" s="12"/>
    </row>
    <row r="262" spans="1:9" s="14" customFormat="1" ht="57" customHeight="1">
      <c r="A262" s="226" t="s">
        <v>746</v>
      </c>
      <c r="B262" s="197"/>
      <c r="C262" s="290" t="s">
        <v>131</v>
      </c>
      <c r="D262" s="291" t="s">
        <v>131</v>
      </c>
      <c r="E262" s="280" t="s">
        <v>712</v>
      </c>
      <c r="F262" s="277"/>
      <c r="G262" s="612">
        <f>SUM(G263)</f>
        <v>50600</v>
      </c>
      <c r="H262" s="16"/>
      <c r="I262" s="12"/>
    </row>
    <row r="263" spans="1:9" s="14" customFormat="1" ht="28.5">
      <c r="A263" s="227" t="s">
        <v>747</v>
      </c>
      <c r="B263" s="190"/>
      <c r="C263" s="290" t="s">
        <v>131</v>
      </c>
      <c r="D263" s="291" t="s">
        <v>131</v>
      </c>
      <c r="E263" s="280" t="s">
        <v>748</v>
      </c>
      <c r="F263" s="276"/>
      <c r="G263" s="612">
        <f>G264</f>
        <v>50600</v>
      </c>
      <c r="H263" s="16"/>
      <c r="I263" s="12"/>
    </row>
    <row r="264" spans="1:10" s="14" customFormat="1" ht="42.75">
      <c r="A264" s="238" t="s">
        <v>660</v>
      </c>
      <c r="B264" s="190"/>
      <c r="C264" s="290" t="s">
        <v>131</v>
      </c>
      <c r="D264" s="291" t="s">
        <v>131</v>
      </c>
      <c r="E264" s="280" t="s">
        <v>748</v>
      </c>
      <c r="F264" s="276" t="s">
        <v>560</v>
      </c>
      <c r="G264" s="137">
        <v>50600</v>
      </c>
      <c r="H264" s="16"/>
      <c r="I264" s="12"/>
      <c r="J264" s="14">
        <f>SUM('[3]ведомствен.2014'!G271)</f>
        <v>50600</v>
      </c>
    </row>
    <row r="265" spans="1:9" s="14" customFormat="1" ht="15">
      <c r="A265" s="226" t="s">
        <v>551</v>
      </c>
      <c r="B265" s="197"/>
      <c r="C265" s="290" t="s">
        <v>131</v>
      </c>
      <c r="D265" s="291" t="s">
        <v>131</v>
      </c>
      <c r="E265" s="280" t="s">
        <v>129</v>
      </c>
      <c r="F265" s="277"/>
      <c r="G265" s="612">
        <f>G268+G270+G272+G274+G266</f>
        <v>11889.9</v>
      </c>
      <c r="H265" s="16">
        <f>SUM(H268)</f>
        <v>0</v>
      </c>
      <c r="I265" s="12">
        <f>SUM(H265/G273*100)</f>
        <v>0</v>
      </c>
    </row>
    <row r="266" spans="1:9" s="14" customFormat="1" ht="28.5">
      <c r="A266" s="225" t="s">
        <v>675</v>
      </c>
      <c r="B266" s="206"/>
      <c r="C266" s="284" t="s">
        <v>131</v>
      </c>
      <c r="D266" s="280" t="s">
        <v>131</v>
      </c>
      <c r="E266" s="275" t="s">
        <v>661</v>
      </c>
      <c r="F266" s="277"/>
      <c r="G266" s="612">
        <f>SUM(G267)</f>
        <v>995.3</v>
      </c>
      <c r="H266" s="16"/>
      <c r="I266" s="12"/>
    </row>
    <row r="267" spans="1:10" s="14" customFormat="1" ht="42" customHeight="1">
      <c r="A267" s="238" t="s">
        <v>660</v>
      </c>
      <c r="B267" s="207"/>
      <c r="C267" s="284" t="s">
        <v>131</v>
      </c>
      <c r="D267" s="280" t="s">
        <v>131</v>
      </c>
      <c r="E267" s="275" t="s">
        <v>661</v>
      </c>
      <c r="F267" s="277" t="s">
        <v>560</v>
      </c>
      <c r="G267" s="612">
        <v>995.3</v>
      </c>
      <c r="H267" s="16"/>
      <c r="I267" s="12"/>
      <c r="J267" s="14">
        <f>SUM('[3]ведомствен.2014'!G274)</f>
        <v>995.3</v>
      </c>
    </row>
    <row r="268" spans="1:9" s="14" customFormat="1" ht="0.75" customHeight="1" hidden="1">
      <c r="A268" s="232" t="s">
        <v>556</v>
      </c>
      <c r="B268" s="197"/>
      <c r="C268" s="290" t="s">
        <v>131</v>
      </c>
      <c r="D268" s="291" t="s">
        <v>131</v>
      </c>
      <c r="E268" s="280" t="s">
        <v>13</v>
      </c>
      <c r="F268" s="277"/>
      <c r="G268" s="612">
        <f>G269</f>
        <v>0</v>
      </c>
      <c r="H268" s="16"/>
      <c r="I268" s="12">
        <f>SUM(H268/G274*100)</f>
        <v>0</v>
      </c>
    </row>
    <row r="269" spans="1:10" ht="28.5" hidden="1">
      <c r="A269" s="226" t="s">
        <v>524</v>
      </c>
      <c r="B269" s="197"/>
      <c r="C269" s="290" t="s">
        <v>131</v>
      </c>
      <c r="D269" s="291" t="s">
        <v>131</v>
      </c>
      <c r="E269" s="280" t="s">
        <v>13</v>
      </c>
      <c r="F269" s="277" t="s">
        <v>513</v>
      </c>
      <c r="G269" s="612"/>
      <c r="H269" s="12"/>
      <c r="I269" s="12"/>
      <c r="J269" s="14">
        <f>SUM('[3]ведомствен.2014'!G276)</f>
        <v>0</v>
      </c>
    </row>
    <row r="270" spans="1:10" ht="42.75" hidden="1">
      <c r="A270" s="232" t="s">
        <v>557</v>
      </c>
      <c r="B270" s="197"/>
      <c r="C270" s="290" t="s">
        <v>558</v>
      </c>
      <c r="D270" s="291" t="s">
        <v>131</v>
      </c>
      <c r="E270" s="280" t="s">
        <v>14</v>
      </c>
      <c r="F270" s="277"/>
      <c r="G270" s="612">
        <f>G271</f>
        <v>0</v>
      </c>
      <c r="H270" s="12"/>
      <c r="I270" s="12"/>
      <c r="J270"/>
    </row>
    <row r="271" spans="1:10" ht="28.5" hidden="1">
      <c r="A271" s="226" t="s">
        <v>559</v>
      </c>
      <c r="B271" s="197"/>
      <c r="C271" s="290" t="s">
        <v>558</v>
      </c>
      <c r="D271" s="291" t="s">
        <v>131</v>
      </c>
      <c r="E271" s="280" t="s">
        <v>14</v>
      </c>
      <c r="F271" s="277" t="s">
        <v>560</v>
      </c>
      <c r="G271" s="612"/>
      <c r="H271" s="12"/>
      <c r="I271" s="12"/>
      <c r="J271" s="14">
        <f>SUM('[3]ведомствен.2014'!G278)</f>
        <v>0</v>
      </c>
    </row>
    <row r="272" spans="1:10" ht="57">
      <c r="A272" s="226" t="s">
        <v>676</v>
      </c>
      <c r="B272" s="197"/>
      <c r="C272" s="290" t="s">
        <v>131</v>
      </c>
      <c r="D272" s="291" t="s">
        <v>131</v>
      </c>
      <c r="E272" s="280" t="s">
        <v>42</v>
      </c>
      <c r="F272" s="277"/>
      <c r="G272" s="612">
        <f>G273</f>
        <v>1971.2</v>
      </c>
      <c r="H272" s="12"/>
      <c r="I272" s="12"/>
      <c r="J272"/>
    </row>
    <row r="273" spans="1:10" ht="28.5">
      <c r="A273" s="226" t="s">
        <v>559</v>
      </c>
      <c r="B273" s="197"/>
      <c r="C273" s="290" t="s">
        <v>131</v>
      </c>
      <c r="D273" s="291" t="s">
        <v>131</v>
      </c>
      <c r="E273" s="280" t="s">
        <v>42</v>
      </c>
      <c r="F273" s="277" t="s">
        <v>560</v>
      </c>
      <c r="G273" s="612">
        <v>1971.2</v>
      </c>
      <c r="H273" s="12"/>
      <c r="I273" s="12"/>
      <c r="J273" s="14">
        <f>SUM('[3]ведомствен.2014'!G280)</f>
        <v>1971.2</v>
      </c>
    </row>
    <row r="274" spans="1:10" ht="28.5">
      <c r="A274" s="232" t="s">
        <v>671</v>
      </c>
      <c r="B274" s="197"/>
      <c r="C274" s="290" t="s">
        <v>131</v>
      </c>
      <c r="D274" s="291" t="s">
        <v>131</v>
      </c>
      <c r="E274" s="280" t="s">
        <v>54</v>
      </c>
      <c r="F274" s="277"/>
      <c r="G274" s="612">
        <f>SUM(G275:G276)</f>
        <v>8923.4</v>
      </c>
      <c r="H274" s="12"/>
      <c r="I274" s="12"/>
      <c r="J274"/>
    </row>
    <row r="275" spans="1:10" ht="28.5">
      <c r="A275" s="226" t="s">
        <v>559</v>
      </c>
      <c r="B275" s="197"/>
      <c r="C275" s="290" t="s">
        <v>131</v>
      </c>
      <c r="D275" s="291" t="s">
        <v>131</v>
      </c>
      <c r="E275" s="280" t="s">
        <v>54</v>
      </c>
      <c r="F275" s="277" t="s">
        <v>560</v>
      </c>
      <c r="G275" s="612">
        <v>6723.4</v>
      </c>
      <c r="H275" s="12"/>
      <c r="I275" s="12"/>
      <c r="J275" s="14">
        <f>SUM('[3]ведомствен.2014'!G282)</f>
        <v>6723.4</v>
      </c>
    </row>
    <row r="276" spans="1:10" ht="28.5">
      <c r="A276" s="226" t="s">
        <v>524</v>
      </c>
      <c r="B276" s="197"/>
      <c r="C276" s="290" t="s">
        <v>131</v>
      </c>
      <c r="D276" s="291" t="s">
        <v>131</v>
      </c>
      <c r="E276" s="280" t="s">
        <v>54</v>
      </c>
      <c r="F276" s="277" t="s">
        <v>513</v>
      </c>
      <c r="G276" s="612">
        <v>2200</v>
      </c>
      <c r="H276" s="12"/>
      <c r="I276" s="12"/>
      <c r="J276" s="14">
        <f>SUM('[3]ведомствен.2014'!G283)</f>
        <v>2200</v>
      </c>
    </row>
    <row r="277" spans="1:12" ht="15">
      <c r="A277" s="229" t="s">
        <v>67</v>
      </c>
      <c r="B277" s="194"/>
      <c r="C277" s="281" t="s">
        <v>391</v>
      </c>
      <c r="D277" s="337"/>
      <c r="E277" s="337"/>
      <c r="F277" s="338"/>
      <c r="G277" s="139">
        <f>SUM(G278)</f>
        <v>6232.4</v>
      </c>
      <c r="H277" s="16">
        <f>SUM(H278)</f>
        <v>0</v>
      </c>
      <c r="I277" s="12">
        <f>SUM(H277/G283*100)</f>
        <v>0</v>
      </c>
      <c r="J277"/>
      <c r="K277">
        <f>SUM(J278:J288)</f>
        <v>6232.399999999999</v>
      </c>
      <c r="L277">
        <f>SUM('[3]ведомствен.2014'!G284)</f>
        <v>6232.4</v>
      </c>
    </row>
    <row r="278" spans="1:10" ht="15">
      <c r="A278" s="225" t="s">
        <v>67</v>
      </c>
      <c r="B278" s="190"/>
      <c r="C278" s="274" t="s">
        <v>391</v>
      </c>
      <c r="D278" s="275"/>
      <c r="E278" s="275"/>
      <c r="F278" s="276"/>
      <c r="G278" s="137">
        <f>SUM(G279)+G284</f>
        <v>6232.4</v>
      </c>
      <c r="H278" s="16">
        <f>SUM(H279)</f>
        <v>0</v>
      </c>
      <c r="I278" s="12">
        <f>SUM(H278/G284*100)</f>
        <v>0</v>
      </c>
      <c r="J278"/>
    </row>
    <row r="279" spans="1:9" s="21" customFormat="1" ht="15">
      <c r="A279" s="226" t="s">
        <v>68</v>
      </c>
      <c r="B279" s="193"/>
      <c r="C279" s="290" t="s">
        <v>391</v>
      </c>
      <c r="D279" s="291" t="s">
        <v>106</v>
      </c>
      <c r="E279" s="291" t="s">
        <v>561</v>
      </c>
      <c r="F279" s="292"/>
      <c r="G279" s="612">
        <f>SUM(G280)</f>
        <v>5287.299999999999</v>
      </c>
      <c r="H279" s="16"/>
      <c r="I279" s="12">
        <f>SUM(H279/G285*100)</f>
        <v>0</v>
      </c>
    </row>
    <row r="280" spans="1:10" ht="28.5">
      <c r="A280" s="226" t="s">
        <v>56</v>
      </c>
      <c r="B280" s="193"/>
      <c r="C280" s="290" t="s">
        <v>391</v>
      </c>
      <c r="D280" s="291" t="s">
        <v>106</v>
      </c>
      <c r="E280" s="291" t="s">
        <v>562</v>
      </c>
      <c r="F280" s="292"/>
      <c r="G280" s="612">
        <f>SUM(G281:G283)</f>
        <v>5287.299999999999</v>
      </c>
      <c r="H280" s="16" t="e">
        <f>SUM(H283+H284+#REF!)</f>
        <v>#REF!</v>
      </c>
      <c r="I280" s="12" t="e">
        <f>SUM(H280/G286*100)</f>
        <v>#REF!</v>
      </c>
      <c r="J280"/>
    </row>
    <row r="281" spans="1:10" ht="42.75">
      <c r="A281" s="226" t="s">
        <v>495</v>
      </c>
      <c r="B281" s="193"/>
      <c r="C281" s="290" t="s">
        <v>391</v>
      </c>
      <c r="D281" s="291" t="s">
        <v>106</v>
      </c>
      <c r="E281" s="291" t="s">
        <v>562</v>
      </c>
      <c r="F281" s="292" t="s">
        <v>496</v>
      </c>
      <c r="G281" s="612">
        <v>4446.9</v>
      </c>
      <c r="H281" s="16"/>
      <c r="I281" s="12">
        <f>SUM(H281/G288*100)</f>
        <v>0</v>
      </c>
      <c r="J281">
        <f>SUM('[3]ведомствен.2014'!G288)</f>
        <v>4446.9</v>
      </c>
    </row>
    <row r="282" spans="1:10" ht="15">
      <c r="A282" s="226" t="s">
        <v>500</v>
      </c>
      <c r="B282" s="193"/>
      <c r="C282" s="290" t="s">
        <v>391</v>
      </c>
      <c r="D282" s="291" t="s">
        <v>106</v>
      </c>
      <c r="E282" s="291" t="s">
        <v>562</v>
      </c>
      <c r="F282" s="292" t="s">
        <v>120</v>
      </c>
      <c r="G282" s="612">
        <v>751.9</v>
      </c>
      <c r="H282" s="22">
        <v>300</v>
      </c>
      <c r="I282" s="12" t="e">
        <f>SUM(H282/#REF!*100)</f>
        <v>#REF!</v>
      </c>
      <c r="J282">
        <f>SUM('[3]ведомствен.2014'!G289)</f>
        <v>751.9</v>
      </c>
    </row>
    <row r="283" spans="1:10" ht="15">
      <c r="A283" s="226" t="s">
        <v>501</v>
      </c>
      <c r="B283" s="193"/>
      <c r="C283" s="290" t="s">
        <v>391</v>
      </c>
      <c r="D283" s="291" t="s">
        <v>106</v>
      </c>
      <c r="E283" s="291" t="s">
        <v>562</v>
      </c>
      <c r="F283" s="292" t="s">
        <v>176</v>
      </c>
      <c r="G283" s="612">
        <v>88.5</v>
      </c>
      <c r="H283" s="16"/>
      <c r="I283" s="12" t="e">
        <f>SUM(H283/#REF!*100)</f>
        <v>#REF!</v>
      </c>
      <c r="J283">
        <f>SUM('[3]ведомствен.2014'!G290)</f>
        <v>88.5</v>
      </c>
    </row>
    <row r="284" spans="1:10" ht="15">
      <c r="A284" s="226" t="s">
        <v>69</v>
      </c>
      <c r="B284" s="193"/>
      <c r="C284" s="290" t="s">
        <v>391</v>
      </c>
      <c r="D284" s="291" t="s">
        <v>131</v>
      </c>
      <c r="E284" s="312"/>
      <c r="F284" s="292"/>
      <c r="G284" s="612">
        <f>G286</f>
        <v>945.1</v>
      </c>
      <c r="H284" s="16">
        <f>SUM(H285:H288)</f>
        <v>347.3</v>
      </c>
      <c r="I284" s="12" t="e">
        <f>SUM(H284/#REF!*100)</f>
        <v>#REF!</v>
      </c>
      <c r="J284"/>
    </row>
    <row r="285" spans="1:9" ht="15">
      <c r="A285" s="226" t="s">
        <v>551</v>
      </c>
      <c r="B285" s="193"/>
      <c r="C285" s="290" t="s">
        <v>391</v>
      </c>
      <c r="D285" s="291" t="s">
        <v>131</v>
      </c>
      <c r="E285" s="280" t="s">
        <v>129</v>
      </c>
      <c r="F285" s="292"/>
      <c r="G285" s="612">
        <f>SUM(G286)</f>
        <v>945.1</v>
      </c>
      <c r="H285" s="16"/>
      <c r="I285" s="12" t="e">
        <f>SUM(H285/#REF!*100)</f>
        <v>#REF!</v>
      </c>
    </row>
    <row r="286" spans="1:10" ht="15.75">
      <c r="A286" s="226" t="s">
        <v>642</v>
      </c>
      <c r="B286" s="196"/>
      <c r="C286" s="290" t="s">
        <v>391</v>
      </c>
      <c r="D286" s="291" t="s">
        <v>131</v>
      </c>
      <c r="E286" s="291" t="s">
        <v>70</v>
      </c>
      <c r="F286" s="292"/>
      <c r="G286" s="612">
        <f>SUM(G287:G288)</f>
        <v>945.1</v>
      </c>
      <c r="H286" s="16"/>
      <c r="I286" s="12"/>
      <c r="J286"/>
    </row>
    <row r="287" spans="1:10" s="86" customFormat="1" ht="42.75">
      <c r="A287" s="113" t="s">
        <v>495</v>
      </c>
      <c r="B287" s="296"/>
      <c r="C287" s="291" t="s">
        <v>391</v>
      </c>
      <c r="D287" s="291" t="s">
        <v>131</v>
      </c>
      <c r="E287" s="291" t="s">
        <v>70</v>
      </c>
      <c r="F287" s="292" t="s">
        <v>496</v>
      </c>
      <c r="G287" s="615">
        <v>81.2</v>
      </c>
      <c r="H287" s="20"/>
      <c r="I287" s="20"/>
      <c r="J287" s="86">
        <f>SUM('[3]ведомствен.2014'!G294)</f>
        <v>81.2</v>
      </c>
    </row>
    <row r="288" spans="1:10" ht="15">
      <c r="A288" s="226" t="s">
        <v>500</v>
      </c>
      <c r="B288" s="193"/>
      <c r="C288" s="290" t="s">
        <v>391</v>
      </c>
      <c r="D288" s="291" t="s">
        <v>131</v>
      </c>
      <c r="E288" s="291" t="s">
        <v>70</v>
      </c>
      <c r="F288" s="292" t="s">
        <v>120</v>
      </c>
      <c r="G288" s="612">
        <v>863.9</v>
      </c>
      <c r="H288" s="16">
        <v>347.3</v>
      </c>
      <c r="I288" s="12" t="e">
        <f>SUM(H288/#REF!*100)</f>
        <v>#REF!</v>
      </c>
      <c r="J288">
        <f>SUM('[3]ведомствен.2014'!G295)</f>
        <v>863.9</v>
      </c>
    </row>
    <row r="289" spans="1:12" s="23" customFormat="1" ht="15">
      <c r="A289" s="229" t="s">
        <v>116</v>
      </c>
      <c r="B289" s="194"/>
      <c r="C289" s="279" t="s">
        <v>117</v>
      </c>
      <c r="D289" s="325"/>
      <c r="E289" s="325"/>
      <c r="F289" s="326"/>
      <c r="G289" s="139">
        <f>SUM(G290+G324+G390+G421)</f>
        <v>1889809.2000000004</v>
      </c>
      <c r="H289" s="12"/>
      <c r="I289" s="12"/>
      <c r="K289" s="72">
        <f>SUM(J294:J437)</f>
        <v>1889809.2000000002</v>
      </c>
      <c r="L289" s="72">
        <f>SUM('[3]ведомствен.2014'!G296+'[3]ведомствен.2014'!G393+'[3]ведомствен.2014'!G555+'[3]ведомствен.2014'!G619+'[3]ведомствен.2014'!G761)+'[3]ведомствен.2014'!G865</f>
        <v>1889809.2000000002</v>
      </c>
    </row>
    <row r="290" spans="1:12" s="23" customFormat="1" ht="15">
      <c r="A290" s="231" t="s">
        <v>338</v>
      </c>
      <c r="B290" s="209"/>
      <c r="C290" s="323" t="s">
        <v>117</v>
      </c>
      <c r="D290" s="300" t="s">
        <v>460</v>
      </c>
      <c r="E290" s="300"/>
      <c r="F290" s="324"/>
      <c r="G290" s="140">
        <f>SUM(G291+G316)+G311</f>
        <v>677697.4</v>
      </c>
      <c r="H290" s="12"/>
      <c r="I290" s="12"/>
      <c r="L290" s="68">
        <f>SUM(L289-K289)</f>
        <v>0</v>
      </c>
    </row>
    <row r="291" spans="1:12" s="23" customFormat="1" ht="15">
      <c r="A291" s="231" t="s">
        <v>339</v>
      </c>
      <c r="B291" s="209"/>
      <c r="C291" s="323" t="s">
        <v>117</v>
      </c>
      <c r="D291" s="300" t="s">
        <v>460</v>
      </c>
      <c r="E291" s="300" t="s">
        <v>340</v>
      </c>
      <c r="F291" s="324"/>
      <c r="G291" s="140">
        <f>SUM(G292+G304+G308)</f>
        <v>652579.7</v>
      </c>
      <c r="H291" s="12"/>
      <c r="I291" s="12"/>
      <c r="K291" s="23">
        <f>SUM(J290:J323)</f>
        <v>677697.4</v>
      </c>
      <c r="L291" s="23">
        <f>SUM('[3]ведомствен.2014'!G620)</f>
        <v>677697.4</v>
      </c>
    </row>
    <row r="292" spans="1:10" ht="28.5">
      <c r="A292" s="231" t="s">
        <v>606</v>
      </c>
      <c r="B292" s="209"/>
      <c r="C292" s="323" t="s">
        <v>117</v>
      </c>
      <c r="D292" s="300" t="s">
        <v>460</v>
      </c>
      <c r="E292" s="300" t="s">
        <v>85</v>
      </c>
      <c r="F292" s="324"/>
      <c r="G292" s="140">
        <f>SUM(G295+G293+G297)</f>
        <v>553216.5</v>
      </c>
      <c r="H292" s="12"/>
      <c r="I292" s="12"/>
      <c r="J292"/>
    </row>
    <row r="293" spans="1:10" ht="85.5">
      <c r="A293" s="231" t="s">
        <v>607</v>
      </c>
      <c r="B293" s="209"/>
      <c r="C293" s="323" t="s">
        <v>117</v>
      </c>
      <c r="D293" s="300" t="s">
        <v>460</v>
      </c>
      <c r="E293" s="300" t="s">
        <v>212</v>
      </c>
      <c r="F293" s="324"/>
      <c r="G293" s="140">
        <f>G294</f>
        <v>361178.7</v>
      </c>
      <c r="H293" s="12"/>
      <c r="I293" s="12"/>
      <c r="J293"/>
    </row>
    <row r="294" spans="1:10" s="23" customFormat="1" ht="28.5">
      <c r="A294" s="231" t="s">
        <v>524</v>
      </c>
      <c r="B294" s="209"/>
      <c r="C294" s="323" t="s">
        <v>117</v>
      </c>
      <c r="D294" s="300" t="s">
        <v>460</v>
      </c>
      <c r="E294" s="300" t="s">
        <v>212</v>
      </c>
      <c r="F294" s="324" t="s">
        <v>513</v>
      </c>
      <c r="G294" s="140">
        <v>361178.7</v>
      </c>
      <c r="H294" s="12"/>
      <c r="I294" s="12"/>
      <c r="J294">
        <f>SUM('[3]ведомствен.2014'!G624)</f>
        <v>361178.7</v>
      </c>
    </row>
    <row r="295" spans="1:10" ht="28.5">
      <c r="A295" s="231" t="s">
        <v>205</v>
      </c>
      <c r="B295" s="209"/>
      <c r="C295" s="323" t="s">
        <v>117</v>
      </c>
      <c r="D295" s="300" t="s">
        <v>460</v>
      </c>
      <c r="E295" s="300" t="s">
        <v>86</v>
      </c>
      <c r="F295" s="324"/>
      <c r="G295" s="140">
        <f>SUM(G296)</f>
        <v>185267</v>
      </c>
      <c r="H295" s="12"/>
      <c r="I295" s="12"/>
      <c r="J295"/>
    </row>
    <row r="296" spans="1:10" ht="28.5">
      <c r="A296" s="231" t="s">
        <v>524</v>
      </c>
      <c r="B296" s="209"/>
      <c r="C296" s="323" t="s">
        <v>117</v>
      </c>
      <c r="D296" s="300" t="s">
        <v>460</v>
      </c>
      <c r="E296" s="300" t="s">
        <v>86</v>
      </c>
      <c r="F296" s="324" t="s">
        <v>513</v>
      </c>
      <c r="G296" s="140">
        <v>185267</v>
      </c>
      <c r="H296" s="12"/>
      <c r="I296" s="12"/>
      <c r="J296">
        <f>SUM('[3]ведомствен.2014'!G626)</f>
        <v>185267</v>
      </c>
    </row>
    <row r="297" spans="1:10" ht="28.5">
      <c r="A297" s="240" t="s">
        <v>157</v>
      </c>
      <c r="B297" s="183"/>
      <c r="C297" s="301" t="s">
        <v>117</v>
      </c>
      <c r="D297" s="302" t="s">
        <v>460</v>
      </c>
      <c r="E297" s="302" t="s">
        <v>663</v>
      </c>
      <c r="F297" s="304"/>
      <c r="G297" s="169">
        <f>SUM(G302)+G298+G300</f>
        <v>6770.8</v>
      </c>
      <c r="H297" s="166"/>
      <c r="I297" s="166"/>
      <c r="J297"/>
    </row>
    <row r="298" spans="1:10" ht="28.5">
      <c r="A298" s="174" t="s">
        <v>144</v>
      </c>
      <c r="B298" s="182"/>
      <c r="C298" s="302" t="s">
        <v>117</v>
      </c>
      <c r="D298" s="302" t="s">
        <v>460</v>
      </c>
      <c r="E298" s="302" t="s">
        <v>723</v>
      </c>
      <c r="F298" s="304"/>
      <c r="G298" s="169">
        <f>SUM(G299)</f>
        <v>2593.2</v>
      </c>
      <c r="H298" s="166"/>
      <c r="I298" s="166"/>
      <c r="J298"/>
    </row>
    <row r="299" spans="1:10" ht="28.5">
      <c r="A299" s="114" t="s">
        <v>524</v>
      </c>
      <c r="B299" s="182"/>
      <c r="C299" s="302" t="s">
        <v>117</v>
      </c>
      <c r="D299" s="302" t="s">
        <v>460</v>
      </c>
      <c r="E299" s="302" t="s">
        <v>723</v>
      </c>
      <c r="F299" s="304" t="s">
        <v>513</v>
      </c>
      <c r="G299" s="169">
        <v>2593.2</v>
      </c>
      <c r="H299" s="166"/>
      <c r="I299" s="166"/>
      <c r="J299" s="33">
        <f>SUM('[3]ведомствен.2014'!G629)</f>
        <v>2593.2</v>
      </c>
    </row>
    <row r="300" spans="1:10" ht="28.5">
      <c r="A300" s="174" t="s">
        <v>414</v>
      </c>
      <c r="B300" s="182"/>
      <c r="C300" s="302" t="s">
        <v>117</v>
      </c>
      <c r="D300" s="302" t="s">
        <v>460</v>
      </c>
      <c r="E300" s="302" t="s">
        <v>724</v>
      </c>
      <c r="F300" s="304"/>
      <c r="G300" s="169">
        <f>SUM(G301)</f>
        <v>10</v>
      </c>
      <c r="H300" s="166"/>
      <c r="I300" s="166"/>
      <c r="J300"/>
    </row>
    <row r="301" spans="1:10" ht="28.5">
      <c r="A301" s="114" t="s">
        <v>524</v>
      </c>
      <c r="B301" s="182"/>
      <c r="C301" s="302" t="s">
        <v>117</v>
      </c>
      <c r="D301" s="302" t="s">
        <v>460</v>
      </c>
      <c r="E301" s="302" t="s">
        <v>724</v>
      </c>
      <c r="F301" s="304" t="s">
        <v>513</v>
      </c>
      <c r="G301" s="169">
        <v>10</v>
      </c>
      <c r="H301" s="166"/>
      <c r="I301" s="166"/>
      <c r="J301" s="33">
        <f>SUM('[3]ведомствен.2014'!G631)</f>
        <v>10</v>
      </c>
    </row>
    <row r="302" spans="1:7" ht="28.5">
      <c r="A302" s="236" t="s">
        <v>154</v>
      </c>
      <c r="B302" s="183"/>
      <c r="C302" s="301" t="s">
        <v>117</v>
      </c>
      <c r="D302" s="302" t="s">
        <v>460</v>
      </c>
      <c r="E302" s="302" t="s">
        <v>662</v>
      </c>
      <c r="F302" s="304"/>
      <c r="G302" s="169">
        <f>SUM(G303)</f>
        <v>4167.6</v>
      </c>
    </row>
    <row r="303" spans="1:10" ht="28.5">
      <c r="A303" s="231" t="s">
        <v>524</v>
      </c>
      <c r="B303" s="183"/>
      <c r="C303" s="301" t="s">
        <v>117</v>
      </c>
      <c r="D303" s="302" t="s">
        <v>460</v>
      </c>
      <c r="E303" s="302" t="s">
        <v>662</v>
      </c>
      <c r="F303" s="324" t="s">
        <v>513</v>
      </c>
      <c r="G303" s="169">
        <v>4167.6</v>
      </c>
      <c r="J303" s="33">
        <f>SUM('[3]ведомствен.2014'!G633)</f>
        <v>4167.6</v>
      </c>
    </row>
    <row r="304" spans="1:9" s="23" customFormat="1" ht="28.5">
      <c r="A304" s="231" t="s">
        <v>56</v>
      </c>
      <c r="B304" s="209"/>
      <c r="C304" s="323" t="s">
        <v>117</v>
      </c>
      <c r="D304" s="300" t="s">
        <v>460</v>
      </c>
      <c r="E304" s="300" t="s">
        <v>341</v>
      </c>
      <c r="F304" s="324"/>
      <c r="G304" s="140">
        <f>SUM(G305+G306+G307)</f>
        <v>39095.200000000004</v>
      </c>
      <c r="H304" s="12"/>
      <c r="I304" s="12"/>
    </row>
    <row r="305" spans="1:10" s="23" customFormat="1" ht="42.75">
      <c r="A305" s="231" t="s">
        <v>495</v>
      </c>
      <c r="B305" s="209"/>
      <c r="C305" s="323" t="s">
        <v>117</v>
      </c>
      <c r="D305" s="300" t="s">
        <v>460</v>
      </c>
      <c r="E305" s="300" t="s">
        <v>341</v>
      </c>
      <c r="F305" s="324" t="s">
        <v>496</v>
      </c>
      <c r="G305" s="140">
        <v>11329.5</v>
      </c>
      <c r="H305" s="12"/>
      <c r="I305" s="12"/>
      <c r="J305">
        <f>SUM('[3]ведомствен.2014'!G635)</f>
        <v>11329.5</v>
      </c>
    </row>
    <row r="306" spans="1:10" s="23" customFormat="1" ht="15">
      <c r="A306" s="231" t="s">
        <v>500</v>
      </c>
      <c r="B306" s="210"/>
      <c r="C306" s="323" t="s">
        <v>117</v>
      </c>
      <c r="D306" s="300" t="s">
        <v>460</v>
      </c>
      <c r="E306" s="300" t="s">
        <v>341</v>
      </c>
      <c r="F306" s="324" t="s">
        <v>120</v>
      </c>
      <c r="G306" s="140">
        <v>25491.9</v>
      </c>
      <c r="H306" s="12"/>
      <c r="I306" s="12"/>
      <c r="J306">
        <f>SUM('[3]ведомствен.2014'!G636)</f>
        <v>25491.9</v>
      </c>
    </row>
    <row r="307" spans="1:10" s="23" customFormat="1" ht="15">
      <c r="A307" s="231" t="s">
        <v>501</v>
      </c>
      <c r="B307" s="209"/>
      <c r="C307" s="323" t="s">
        <v>117</v>
      </c>
      <c r="D307" s="300" t="s">
        <v>460</v>
      </c>
      <c r="E307" s="300" t="s">
        <v>341</v>
      </c>
      <c r="F307" s="324" t="s">
        <v>176</v>
      </c>
      <c r="G307" s="140">
        <v>2273.8</v>
      </c>
      <c r="H307" s="12"/>
      <c r="I307" s="12"/>
      <c r="J307">
        <f>SUM('[3]ведомствен.2014'!G637)</f>
        <v>2273.8</v>
      </c>
    </row>
    <row r="308" spans="1:9" s="23" customFormat="1" ht="57">
      <c r="A308" s="241" t="s">
        <v>608</v>
      </c>
      <c r="B308" s="209"/>
      <c r="C308" s="323" t="s">
        <v>117</v>
      </c>
      <c r="D308" s="300" t="s">
        <v>460</v>
      </c>
      <c r="E308" s="300" t="s">
        <v>342</v>
      </c>
      <c r="F308" s="324"/>
      <c r="G308" s="140">
        <f>SUM(G309+G310)</f>
        <v>60268</v>
      </c>
      <c r="H308" s="12">
        <f>SUM(H324+H328+H337+H339+H326)</f>
        <v>213007.5</v>
      </c>
      <c r="I308" s="12">
        <f>SUM(H308/G324*100)</f>
        <v>19.40218065544999</v>
      </c>
    </row>
    <row r="309" spans="1:10" ht="42.75">
      <c r="A309" s="231" t="s">
        <v>495</v>
      </c>
      <c r="B309" s="209"/>
      <c r="C309" s="323" t="s">
        <v>117</v>
      </c>
      <c r="D309" s="300" t="s">
        <v>460</v>
      </c>
      <c r="E309" s="300" t="s">
        <v>342</v>
      </c>
      <c r="F309" s="324" t="s">
        <v>496</v>
      </c>
      <c r="G309" s="140">
        <v>58822.8</v>
      </c>
      <c r="H309" s="12"/>
      <c r="I309" s="12"/>
      <c r="J309">
        <f>SUM('[3]ведомствен.2014'!G639)</f>
        <v>58822.8</v>
      </c>
    </row>
    <row r="310" spans="1:10" ht="15">
      <c r="A310" s="231" t="s">
        <v>500</v>
      </c>
      <c r="B310" s="209"/>
      <c r="C310" s="323" t="s">
        <v>117</v>
      </c>
      <c r="D310" s="300" t="s">
        <v>460</v>
      </c>
      <c r="E310" s="300" t="s">
        <v>342</v>
      </c>
      <c r="F310" s="324" t="s">
        <v>120</v>
      </c>
      <c r="G310" s="140">
        <v>1445.2</v>
      </c>
      <c r="H310" s="12">
        <v>187516.5</v>
      </c>
      <c r="I310" s="12">
        <f>SUM(H310/G326*100)</f>
        <v>49.427912372418014</v>
      </c>
      <c r="J310">
        <f>SUM('[3]ведомствен.2014'!G640)</f>
        <v>1445.2</v>
      </c>
    </row>
    <row r="311" spans="1:10" ht="15">
      <c r="A311" s="231" t="s">
        <v>681</v>
      </c>
      <c r="B311" s="211"/>
      <c r="C311" s="300" t="s">
        <v>117</v>
      </c>
      <c r="D311" s="300" t="s">
        <v>460</v>
      </c>
      <c r="E311" s="300" t="s">
        <v>683</v>
      </c>
      <c r="F311" s="324"/>
      <c r="G311" s="140">
        <f>SUM(G312)</f>
        <v>17968.8</v>
      </c>
      <c r="H311" s="12"/>
      <c r="I311" s="12"/>
      <c r="J311"/>
    </row>
    <row r="312" spans="1:10" ht="42.75">
      <c r="A312" s="231" t="s">
        <v>693</v>
      </c>
      <c r="B312" s="211"/>
      <c r="C312" s="300" t="s">
        <v>117</v>
      </c>
      <c r="D312" s="300" t="s">
        <v>460</v>
      </c>
      <c r="E312" s="300" t="s">
        <v>694</v>
      </c>
      <c r="F312" s="324"/>
      <c r="G312" s="140">
        <f>SUM(G313:G315)</f>
        <v>17968.8</v>
      </c>
      <c r="H312" s="12"/>
      <c r="I312" s="12"/>
      <c r="J312"/>
    </row>
    <row r="313" spans="1:10" ht="15">
      <c r="A313" s="231" t="s">
        <v>500</v>
      </c>
      <c r="B313" s="211"/>
      <c r="C313" s="300" t="s">
        <v>117</v>
      </c>
      <c r="D313" s="300" t="s">
        <v>460</v>
      </c>
      <c r="E313" s="300" t="s">
        <v>694</v>
      </c>
      <c r="F313" s="324" t="s">
        <v>120</v>
      </c>
      <c r="G313" s="140">
        <v>11663.4</v>
      </c>
      <c r="H313" s="12"/>
      <c r="I313" s="12"/>
      <c r="J313">
        <f>SUM('[3]ведомствен.2014'!G643)</f>
        <v>11663.4</v>
      </c>
    </row>
    <row r="314" spans="1:10" ht="15">
      <c r="A314" s="233" t="s">
        <v>505</v>
      </c>
      <c r="B314" s="211"/>
      <c r="C314" s="300" t="s">
        <v>117</v>
      </c>
      <c r="D314" s="300" t="s">
        <v>460</v>
      </c>
      <c r="E314" s="300" t="s">
        <v>694</v>
      </c>
      <c r="F314" s="324" t="s">
        <v>506</v>
      </c>
      <c r="G314" s="140">
        <v>808.1</v>
      </c>
      <c r="H314" s="12"/>
      <c r="I314" s="12"/>
      <c r="J314">
        <f>SUM('[3]ведомствен.2014'!G644)</f>
        <v>808.1</v>
      </c>
    </row>
    <row r="315" spans="1:10" ht="28.5">
      <c r="A315" s="231" t="s">
        <v>517</v>
      </c>
      <c r="B315" s="215"/>
      <c r="C315" s="300" t="s">
        <v>117</v>
      </c>
      <c r="D315" s="300" t="s">
        <v>460</v>
      </c>
      <c r="E315" s="300" t="s">
        <v>694</v>
      </c>
      <c r="F315" s="324" t="s">
        <v>513</v>
      </c>
      <c r="G315" s="140">
        <v>5497.3</v>
      </c>
      <c r="H315" s="12"/>
      <c r="I315" s="12"/>
      <c r="J315">
        <f>SUM('[3]ведомствен.2014'!G645)</f>
        <v>5497.3</v>
      </c>
    </row>
    <row r="316" spans="1:9" s="14" customFormat="1" ht="15">
      <c r="A316" s="231" t="s">
        <v>594</v>
      </c>
      <c r="B316" s="212"/>
      <c r="C316" s="323" t="s">
        <v>117</v>
      </c>
      <c r="D316" s="300" t="s">
        <v>460</v>
      </c>
      <c r="E316" s="300" t="s">
        <v>129</v>
      </c>
      <c r="F316" s="324"/>
      <c r="G316" s="140">
        <f>G317+G321</f>
        <v>7148.9</v>
      </c>
      <c r="H316" s="12"/>
      <c r="I316" s="12"/>
    </row>
    <row r="317" spans="1:9" s="14" customFormat="1" ht="28.5">
      <c r="A317" s="231" t="s">
        <v>609</v>
      </c>
      <c r="B317" s="209"/>
      <c r="C317" s="323" t="s">
        <v>117</v>
      </c>
      <c r="D317" s="300" t="s">
        <v>460</v>
      </c>
      <c r="E317" s="300" t="s">
        <v>366</v>
      </c>
      <c r="F317" s="324"/>
      <c r="G317" s="140">
        <f>SUM(G318:G320)</f>
        <v>4146.9</v>
      </c>
      <c r="H317" s="12">
        <v>187516.5</v>
      </c>
      <c r="I317" s="12">
        <f>SUM(H317/G328*100)</f>
        <v>202.18524145262978</v>
      </c>
    </row>
    <row r="318" spans="1:10" s="14" customFormat="1" ht="15">
      <c r="A318" s="231" t="s">
        <v>500</v>
      </c>
      <c r="B318" s="214"/>
      <c r="C318" s="323" t="s">
        <v>117</v>
      </c>
      <c r="D318" s="300" t="s">
        <v>460</v>
      </c>
      <c r="E318" s="300" t="s">
        <v>366</v>
      </c>
      <c r="F318" s="324" t="s">
        <v>120</v>
      </c>
      <c r="G318" s="140">
        <v>2301.9</v>
      </c>
      <c r="H318" s="12"/>
      <c r="I318" s="12"/>
      <c r="J318">
        <f>SUM('[3]ведомствен.2014'!G648)</f>
        <v>2301.9</v>
      </c>
    </row>
    <row r="319" spans="1:10" s="14" customFormat="1" ht="15">
      <c r="A319" s="233" t="s">
        <v>505</v>
      </c>
      <c r="B319" s="213"/>
      <c r="C319" s="323" t="s">
        <v>117</v>
      </c>
      <c r="D319" s="300" t="s">
        <v>460</v>
      </c>
      <c r="E319" s="300" t="s">
        <v>366</v>
      </c>
      <c r="F319" s="324" t="s">
        <v>506</v>
      </c>
      <c r="G319" s="140">
        <v>1700</v>
      </c>
      <c r="H319" s="12"/>
      <c r="I319" s="12"/>
      <c r="J319">
        <f>SUM('[3]ведомствен.2014'!G649)</f>
        <v>1700</v>
      </c>
    </row>
    <row r="320" spans="1:10" s="14" customFormat="1" ht="28.5">
      <c r="A320" s="114" t="s">
        <v>524</v>
      </c>
      <c r="B320" s="154"/>
      <c r="C320" s="300" t="s">
        <v>117</v>
      </c>
      <c r="D320" s="300" t="s">
        <v>460</v>
      </c>
      <c r="E320" s="300" t="s">
        <v>366</v>
      </c>
      <c r="F320" s="324" t="s">
        <v>513</v>
      </c>
      <c r="G320" s="261">
        <v>145</v>
      </c>
      <c r="H320" s="12"/>
      <c r="I320" s="12"/>
      <c r="J320">
        <f>SUM('[3]ведомствен.2014'!G650)</f>
        <v>145</v>
      </c>
    </row>
    <row r="321" spans="1:10" s="14" customFormat="1" ht="28.5">
      <c r="A321" s="114" t="s">
        <v>725</v>
      </c>
      <c r="B321" s="154"/>
      <c r="C321" s="300" t="s">
        <v>117</v>
      </c>
      <c r="D321" s="300" t="s">
        <v>460</v>
      </c>
      <c r="E321" s="300" t="s">
        <v>726</v>
      </c>
      <c r="F321" s="324"/>
      <c r="G321" s="261">
        <f>SUM(G322:G323)</f>
        <v>3002</v>
      </c>
      <c r="H321" s="12"/>
      <c r="I321" s="12"/>
      <c r="J321"/>
    </row>
    <row r="322" spans="1:10" s="14" customFormat="1" ht="15">
      <c r="A322" s="114" t="s">
        <v>500</v>
      </c>
      <c r="B322" s="154"/>
      <c r="C322" s="300" t="s">
        <v>117</v>
      </c>
      <c r="D322" s="300" t="s">
        <v>460</v>
      </c>
      <c r="E322" s="300" t="s">
        <v>726</v>
      </c>
      <c r="F322" s="324" t="s">
        <v>120</v>
      </c>
      <c r="G322" s="261">
        <v>410</v>
      </c>
      <c r="H322" s="12"/>
      <c r="I322" s="12"/>
      <c r="J322">
        <f>SUM('[3]ведомствен.2014'!G652)</f>
        <v>410</v>
      </c>
    </row>
    <row r="323" spans="1:10" s="14" customFormat="1" ht="28.5">
      <c r="A323" s="114" t="s">
        <v>524</v>
      </c>
      <c r="B323" s="328"/>
      <c r="C323" s="300" t="s">
        <v>117</v>
      </c>
      <c r="D323" s="300" t="s">
        <v>460</v>
      </c>
      <c r="E323" s="300" t="s">
        <v>726</v>
      </c>
      <c r="F323" s="324" t="s">
        <v>513</v>
      </c>
      <c r="G323" s="261">
        <v>2592</v>
      </c>
      <c r="H323" s="12"/>
      <c r="I323" s="12"/>
      <c r="J323">
        <f>SUM('[3]ведомствен.2014'!G653)</f>
        <v>2592</v>
      </c>
    </row>
    <row r="324" spans="1:12" s="23" customFormat="1" ht="15">
      <c r="A324" s="231" t="s">
        <v>343</v>
      </c>
      <c r="B324" s="209"/>
      <c r="C324" s="323" t="s">
        <v>117</v>
      </c>
      <c r="D324" s="300" t="s">
        <v>462</v>
      </c>
      <c r="E324" s="300"/>
      <c r="F324" s="324"/>
      <c r="G324" s="140">
        <f>SUM(G325+G348+G368+G376+G360)+G380+G384</f>
        <v>1097853.4000000001</v>
      </c>
      <c r="H324" s="12">
        <v>187516.5</v>
      </c>
      <c r="I324" s="12">
        <f>SUM(H324/G337*100)</f>
        <v>66.92010799062844</v>
      </c>
      <c r="J324" s="36"/>
      <c r="K324" s="23">
        <f>SUM(J325:J389)</f>
        <v>1097853.4</v>
      </c>
      <c r="L324" s="23">
        <f>SUM('[3]ведомствен.2014'!G394+'[3]ведомствен.2014'!G556+'[3]ведомствен.2014'!G654+'[3]ведомствен.2014'!G762)</f>
        <v>1097853.4</v>
      </c>
    </row>
    <row r="325" spans="1:12" s="23" customFormat="1" ht="28.5">
      <c r="A325" s="231" t="s">
        <v>344</v>
      </c>
      <c r="B325" s="209"/>
      <c r="C325" s="323" t="s">
        <v>117</v>
      </c>
      <c r="D325" s="300" t="s">
        <v>462</v>
      </c>
      <c r="E325" s="300" t="s">
        <v>345</v>
      </c>
      <c r="F325" s="324"/>
      <c r="G325" s="140">
        <f>G326+G338</f>
        <v>796721.1</v>
      </c>
      <c r="H325" s="12"/>
      <c r="I325" s="12">
        <f>SUM(H325/G338*100)</f>
        <v>0</v>
      </c>
      <c r="K325" s="72">
        <f>SUM(K324-G324)</f>
        <v>-2.3283064365386963E-10</v>
      </c>
      <c r="L325" s="187">
        <f>SUM(L324-K324)</f>
        <v>0</v>
      </c>
    </row>
    <row r="326" spans="1:10" ht="28.5">
      <c r="A326" s="231" t="s">
        <v>15</v>
      </c>
      <c r="B326" s="209"/>
      <c r="C326" s="323" t="s">
        <v>117</v>
      </c>
      <c r="D326" s="300" t="s">
        <v>462</v>
      </c>
      <c r="E326" s="300" t="s">
        <v>87</v>
      </c>
      <c r="F326" s="324"/>
      <c r="G326" s="140">
        <f>G327+G336+G329+G334</f>
        <v>379373.7</v>
      </c>
      <c r="H326" s="12">
        <f>SUM(H327)</f>
        <v>120.3</v>
      </c>
      <c r="I326" s="12">
        <f>SUM(H326/G339*100)</f>
        <v>0.31884188569929206</v>
      </c>
      <c r="J326"/>
    </row>
    <row r="327" spans="1:10" ht="28.5">
      <c r="A327" s="231" t="s">
        <v>205</v>
      </c>
      <c r="B327" s="209"/>
      <c r="C327" s="323" t="s">
        <v>117</v>
      </c>
      <c r="D327" s="300" t="s">
        <v>462</v>
      </c>
      <c r="E327" s="300" t="s">
        <v>88</v>
      </c>
      <c r="F327" s="324"/>
      <c r="G327" s="140">
        <f>SUM(G328)</f>
        <v>92744.9</v>
      </c>
      <c r="H327" s="12">
        <v>120.3</v>
      </c>
      <c r="I327" s="12">
        <f>SUM(H327/G340*100)</f>
        <v>0.2568822228106289</v>
      </c>
      <c r="J327"/>
    </row>
    <row r="328" spans="1:10" s="23" customFormat="1" ht="28.5">
      <c r="A328" s="231" t="s">
        <v>517</v>
      </c>
      <c r="B328" s="209"/>
      <c r="C328" s="323" t="s">
        <v>117</v>
      </c>
      <c r="D328" s="300" t="s">
        <v>462</v>
      </c>
      <c r="E328" s="300" t="s">
        <v>88</v>
      </c>
      <c r="F328" s="324" t="s">
        <v>513</v>
      </c>
      <c r="G328" s="140">
        <v>92744.9</v>
      </c>
      <c r="H328" s="12">
        <f>SUM(H336)</f>
        <v>24134</v>
      </c>
      <c r="I328" s="12">
        <f>SUM(H328/G341*100)</f>
        <v>153.41291938416163</v>
      </c>
      <c r="J328">
        <f>SUM('[3]ведомствен.2014'!G658)</f>
        <v>92744.9</v>
      </c>
    </row>
    <row r="329" spans="1:10" s="23" customFormat="1" ht="28.5">
      <c r="A329" s="240" t="s">
        <v>157</v>
      </c>
      <c r="B329" s="215"/>
      <c r="C329" s="301" t="s">
        <v>117</v>
      </c>
      <c r="D329" s="302" t="s">
        <v>462</v>
      </c>
      <c r="E329" s="302" t="s">
        <v>665</v>
      </c>
      <c r="F329" s="324"/>
      <c r="G329" s="140">
        <f>SUM(G332)+G330</f>
        <v>1665.1</v>
      </c>
      <c r="H329" s="12"/>
      <c r="I329" s="12"/>
      <c r="J329"/>
    </row>
    <row r="330" spans="1:10" s="23" customFormat="1" ht="28.5">
      <c r="A330" s="174" t="s">
        <v>144</v>
      </c>
      <c r="B330" s="182"/>
      <c r="C330" s="302" t="s">
        <v>117</v>
      </c>
      <c r="D330" s="302" t="s">
        <v>462</v>
      </c>
      <c r="E330" s="302" t="s">
        <v>727</v>
      </c>
      <c r="F330" s="304"/>
      <c r="G330" s="169">
        <f>SUM(G331)</f>
        <v>250</v>
      </c>
      <c r="H330" s="12"/>
      <c r="I330" s="12"/>
      <c r="J330"/>
    </row>
    <row r="331" spans="1:10" s="23" customFormat="1" ht="28.5">
      <c r="A331" s="114" t="s">
        <v>524</v>
      </c>
      <c r="B331" s="182"/>
      <c r="C331" s="302" t="s">
        <v>117</v>
      </c>
      <c r="D331" s="302" t="s">
        <v>462</v>
      </c>
      <c r="E331" s="302" t="s">
        <v>727</v>
      </c>
      <c r="F331" s="304" t="s">
        <v>513</v>
      </c>
      <c r="G331" s="169">
        <v>250</v>
      </c>
      <c r="H331" s="12"/>
      <c r="I331" s="12"/>
      <c r="J331">
        <f>SUM('[3]ведомствен.2014'!G661)</f>
        <v>250</v>
      </c>
    </row>
    <row r="332" spans="1:10" s="23" customFormat="1" ht="28.5">
      <c r="A332" s="236" t="s">
        <v>215</v>
      </c>
      <c r="B332" s="183"/>
      <c r="C332" s="301" t="s">
        <v>117</v>
      </c>
      <c r="D332" s="302" t="s">
        <v>462</v>
      </c>
      <c r="E332" s="302" t="s">
        <v>664</v>
      </c>
      <c r="F332" s="304"/>
      <c r="G332" s="169">
        <f>SUM(G333)</f>
        <v>1415.1</v>
      </c>
      <c r="H332" s="12"/>
      <c r="I332" s="12"/>
      <c r="J332"/>
    </row>
    <row r="333" spans="1:10" s="23" customFormat="1" ht="28.5">
      <c r="A333" s="231" t="s">
        <v>524</v>
      </c>
      <c r="B333" s="183"/>
      <c r="C333" s="301" t="s">
        <v>117</v>
      </c>
      <c r="D333" s="302" t="s">
        <v>462</v>
      </c>
      <c r="E333" s="302" t="s">
        <v>664</v>
      </c>
      <c r="F333" s="304" t="s">
        <v>513</v>
      </c>
      <c r="G333" s="169">
        <v>1415.1</v>
      </c>
      <c r="H333" s="12"/>
      <c r="I333" s="12"/>
      <c r="J333">
        <f>SUM('[3]ведомствен.2014'!G663)</f>
        <v>1415.1</v>
      </c>
    </row>
    <row r="334" spans="1:10" s="23" customFormat="1" ht="57">
      <c r="A334" s="240" t="s">
        <v>666</v>
      </c>
      <c r="B334" s="216"/>
      <c r="C334" s="301" t="s">
        <v>117</v>
      </c>
      <c r="D334" s="302" t="s">
        <v>462</v>
      </c>
      <c r="E334" s="302" t="s">
        <v>668</v>
      </c>
      <c r="F334" s="304"/>
      <c r="G334" s="169">
        <f>SUM(G335)</f>
        <v>4754.2</v>
      </c>
      <c r="H334" s="12"/>
      <c r="I334" s="12"/>
      <c r="J334"/>
    </row>
    <row r="335" spans="1:10" s="23" customFormat="1" ht="28.5">
      <c r="A335" s="231" t="s">
        <v>524</v>
      </c>
      <c r="B335" s="183"/>
      <c r="C335" s="301" t="s">
        <v>117</v>
      </c>
      <c r="D335" s="302" t="s">
        <v>462</v>
      </c>
      <c r="E335" s="302" t="s">
        <v>668</v>
      </c>
      <c r="F335" s="304" t="s">
        <v>513</v>
      </c>
      <c r="G335" s="169">
        <v>4754.2</v>
      </c>
      <c r="H335" s="12"/>
      <c r="I335" s="12"/>
      <c r="J335">
        <f>SUM('[3]ведомствен.2014'!G665)</f>
        <v>4754.2</v>
      </c>
    </row>
    <row r="336" spans="1:10" s="23" customFormat="1" ht="85.5">
      <c r="A336" s="231" t="s">
        <v>610</v>
      </c>
      <c r="B336" s="209"/>
      <c r="C336" s="323" t="s">
        <v>117</v>
      </c>
      <c r="D336" s="300" t="s">
        <v>462</v>
      </c>
      <c r="E336" s="300" t="s">
        <v>89</v>
      </c>
      <c r="F336" s="324"/>
      <c r="G336" s="140">
        <f>SUM(G337)</f>
        <v>280209.5</v>
      </c>
      <c r="H336" s="12">
        <v>24134</v>
      </c>
      <c r="I336" s="12">
        <f>SUM(H336/G344*100)</f>
        <v>7.722734194778404</v>
      </c>
      <c r="J336" s="36"/>
    </row>
    <row r="337" spans="1:10" s="23" customFormat="1" ht="28.5">
      <c r="A337" s="231" t="s">
        <v>517</v>
      </c>
      <c r="B337" s="209"/>
      <c r="C337" s="323" t="s">
        <v>117</v>
      </c>
      <c r="D337" s="300" t="s">
        <v>462</v>
      </c>
      <c r="E337" s="300" t="s">
        <v>89</v>
      </c>
      <c r="F337" s="324" t="s">
        <v>513</v>
      </c>
      <c r="G337" s="140">
        <v>280209.5</v>
      </c>
      <c r="H337" s="12">
        <f>SUM(H338)</f>
        <v>1236.7</v>
      </c>
      <c r="I337" s="12">
        <f>SUM(H337/G345*100)</f>
        <v>0.40092055794966763</v>
      </c>
      <c r="J337">
        <f>SUM('[3]ведомствен.2014'!G667)</f>
        <v>280209.5</v>
      </c>
    </row>
    <row r="338" spans="1:10" s="23" customFormat="1" ht="28.5">
      <c r="A338" s="231" t="s">
        <v>56</v>
      </c>
      <c r="B338" s="209"/>
      <c r="C338" s="323" t="s">
        <v>117</v>
      </c>
      <c r="D338" s="300" t="s">
        <v>462</v>
      </c>
      <c r="E338" s="300" t="s">
        <v>346</v>
      </c>
      <c r="F338" s="324"/>
      <c r="G338" s="140">
        <f>SUM(G339+G340+G341+G344+G342)</f>
        <v>417347.39999999997</v>
      </c>
      <c r="H338" s="12">
        <v>1236.7</v>
      </c>
      <c r="I338" s="12">
        <f>SUM(H338/G346*100)</f>
        <v>30.723939183146182</v>
      </c>
      <c r="J338" s="36"/>
    </row>
    <row r="339" spans="1:10" s="23" customFormat="1" ht="42.75">
      <c r="A339" s="231" t="s">
        <v>495</v>
      </c>
      <c r="B339" s="209"/>
      <c r="C339" s="323" t="s">
        <v>117</v>
      </c>
      <c r="D339" s="300" t="s">
        <v>462</v>
      </c>
      <c r="E339" s="300" t="s">
        <v>346</v>
      </c>
      <c r="F339" s="324" t="s">
        <v>496</v>
      </c>
      <c r="G339" s="140">
        <v>37730.3</v>
      </c>
      <c r="H339" s="12">
        <f>SUM(H340)</f>
        <v>0</v>
      </c>
      <c r="I339" s="12">
        <f>SUM(H339/G348*100)</f>
        <v>0</v>
      </c>
      <c r="J339">
        <f>SUM('[3]ведомствен.2014'!G669)</f>
        <v>37730.3</v>
      </c>
    </row>
    <row r="340" spans="1:10" s="23" customFormat="1" ht="15">
      <c r="A340" s="231" t="s">
        <v>500</v>
      </c>
      <c r="B340" s="209"/>
      <c r="C340" s="323" t="s">
        <v>117</v>
      </c>
      <c r="D340" s="300" t="s">
        <v>462</v>
      </c>
      <c r="E340" s="300" t="s">
        <v>346</v>
      </c>
      <c r="F340" s="324" t="s">
        <v>120</v>
      </c>
      <c r="G340" s="140">
        <v>46830.8</v>
      </c>
      <c r="H340" s="12"/>
      <c r="I340" s="12">
        <f>SUM(H340/G349*100)</f>
        <v>0</v>
      </c>
      <c r="J340">
        <f>SUM('[3]ведомствен.2014'!G670)</f>
        <v>46830.8</v>
      </c>
    </row>
    <row r="341" spans="1:15" s="23" customFormat="1" ht="15">
      <c r="A341" s="231" t="s">
        <v>501</v>
      </c>
      <c r="B341" s="213"/>
      <c r="C341" s="323" t="s">
        <v>117</v>
      </c>
      <c r="D341" s="300" t="s">
        <v>462</v>
      </c>
      <c r="E341" s="300" t="s">
        <v>346</v>
      </c>
      <c r="F341" s="329">
        <v>800</v>
      </c>
      <c r="G341" s="140">
        <v>15731.4</v>
      </c>
      <c r="H341" s="12">
        <f>SUM(H344)</f>
        <v>9549.8</v>
      </c>
      <c r="I341" s="12" t="e">
        <f>SUM(H341/G350*100)</f>
        <v>#DIV/0!</v>
      </c>
      <c r="J341">
        <f>SUM('[3]ведомствен.2014'!G671)</f>
        <v>15731.4</v>
      </c>
      <c r="O341" s="68">
        <f>SUM(G350+G369)</f>
        <v>53863.9</v>
      </c>
    </row>
    <row r="342" spans="1:15" s="23" customFormat="1" ht="57">
      <c r="A342" s="240" t="s">
        <v>666</v>
      </c>
      <c r="B342" s="216"/>
      <c r="C342" s="301" t="s">
        <v>117</v>
      </c>
      <c r="D342" s="302" t="s">
        <v>462</v>
      </c>
      <c r="E342" s="302" t="s">
        <v>667</v>
      </c>
      <c r="F342" s="304"/>
      <c r="G342" s="169">
        <f>SUM(G343)</f>
        <v>4549</v>
      </c>
      <c r="H342" s="12"/>
      <c r="I342" s="12"/>
      <c r="J342"/>
      <c r="O342" s="68"/>
    </row>
    <row r="343" spans="1:15" s="23" customFormat="1" ht="15">
      <c r="A343" s="231" t="s">
        <v>500</v>
      </c>
      <c r="B343" s="214"/>
      <c r="C343" s="301" t="s">
        <v>117</v>
      </c>
      <c r="D343" s="302" t="s">
        <v>462</v>
      </c>
      <c r="E343" s="302" t="s">
        <v>667</v>
      </c>
      <c r="F343" s="329">
        <v>200</v>
      </c>
      <c r="G343" s="140">
        <v>4549</v>
      </c>
      <c r="H343" s="12"/>
      <c r="I343" s="12"/>
      <c r="J343">
        <f>SUM('[3]ведомствен.2014'!G673)</f>
        <v>4549</v>
      </c>
      <c r="O343" s="68"/>
    </row>
    <row r="344" spans="1:9" s="23" customFormat="1" ht="85.5">
      <c r="A344" s="242" t="s">
        <v>610</v>
      </c>
      <c r="B344" s="209"/>
      <c r="C344" s="323" t="s">
        <v>117</v>
      </c>
      <c r="D344" s="300" t="s">
        <v>462</v>
      </c>
      <c r="E344" s="300" t="s">
        <v>319</v>
      </c>
      <c r="F344" s="324"/>
      <c r="G344" s="140">
        <f>SUM(G345+G346)+G347</f>
        <v>312505.89999999997</v>
      </c>
      <c r="H344" s="12">
        <f>SUM(H345)</f>
        <v>9549.8</v>
      </c>
      <c r="I344" s="12" t="e">
        <f>SUM(H344/G351*100)</f>
        <v>#DIV/0!</v>
      </c>
    </row>
    <row r="345" spans="1:10" ht="42.75">
      <c r="A345" s="231" t="s">
        <v>495</v>
      </c>
      <c r="B345" s="209"/>
      <c r="C345" s="323" t="s">
        <v>117</v>
      </c>
      <c r="D345" s="300" t="s">
        <v>462</v>
      </c>
      <c r="E345" s="300" t="s">
        <v>319</v>
      </c>
      <c r="F345" s="324" t="s">
        <v>496</v>
      </c>
      <c r="G345" s="140">
        <v>308465.1</v>
      </c>
      <c r="H345" s="12">
        <v>9549.8</v>
      </c>
      <c r="I345" s="12">
        <f>SUM(H345/G352*100)</f>
        <v>5.745560784493038</v>
      </c>
      <c r="J345" s="268">
        <f>SUM('[3]ведомствен.2014'!G675)</f>
        <v>308465.1</v>
      </c>
    </row>
    <row r="346" spans="1:10" ht="15">
      <c r="A346" s="231" t="s">
        <v>500</v>
      </c>
      <c r="B346" s="209"/>
      <c r="C346" s="323" t="s">
        <v>117</v>
      </c>
      <c r="D346" s="300" t="s">
        <v>462</v>
      </c>
      <c r="E346" s="300" t="s">
        <v>319</v>
      </c>
      <c r="F346" s="324" t="s">
        <v>120</v>
      </c>
      <c r="G346" s="140">
        <v>4025.2</v>
      </c>
      <c r="H346" s="12">
        <v>9549.8</v>
      </c>
      <c r="I346" s="12">
        <f>SUM(H346/G353*100)</f>
        <v>5.745560784493038</v>
      </c>
      <c r="J346">
        <f>SUM('[3]ведомствен.2014'!G676)</f>
        <v>4025.2</v>
      </c>
    </row>
    <row r="347" spans="1:10" ht="15">
      <c r="A347" s="114" t="s">
        <v>501</v>
      </c>
      <c r="B347" s="131"/>
      <c r="C347" s="300" t="s">
        <v>117</v>
      </c>
      <c r="D347" s="300" t="s">
        <v>462</v>
      </c>
      <c r="E347" s="300" t="s">
        <v>319</v>
      </c>
      <c r="F347" s="324" t="s">
        <v>176</v>
      </c>
      <c r="G347" s="261">
        <v>15.6</v>
      </c>
      <c r="H347" s="12"/>
      <c r="I347" s="12"/>
      <c r="J347">
        <f>SUM('[3]ведомствен.2014'!G677)</f>
        <v>15.6</v>
      </c>
    </row>
    <row r="348" spans="1:10" ht="15">
      <c r="A348" s="231" t="s">
        <v>634</v>
      </c>
      <c r="B348" s="210"/>
      <c r="C348" s="323" t="s">
        <v>117</v>
      </c>
      <c r="D348" s="300" t="s">
        <v>462</v>
      </c>
      <c r="E348" s="300" t="s">
        <v>321</v>
      </c>
      <c r="F348" s="324"/>
      <c r="G348" s="140">
        <f>SUM(G349)</f>
        <v>173543.9</v>
      </c>
      <c r="H348" s="12">
        <v>56722</v>
      </c>
      <c r="I348" s="12">
        <f>SUM(H348/G368*100)</f>
        <v>105.30615124415425</v>
      </c>
      <c r="J348"/>
    </row>
    <row r="349" spans="1:10" ht="28.5">
      <c r="A349" s="231" t="s">
        <v>606</v>
      </c>
      <c r="B349" s="209"/>
      <c r="C349" s="323" t="s">
        <v>117</v>
      </c>
      <c r="D349" s="300" t="s">
        <v>462</v>
      </c>
      <c r="E349" s="300" t="s">
        <v>78</v>
      </c>
      <c r="F349" s="324"/>
      <c r="G349" s="140">
        <f>SUM(G352+G354)</f>
        <v>173543.9</v>
      </c>
      <c r="H349" s="12" t="e">
        <f>SUM(#REF!)</f>
        <v>#REF!</v>
      </c>
      <c r="I349" s="12" t="e">
        <f>SUM(H349/G369*100)</f>
        <v>#REF!</v>
      </c>
      <c r="J349"/>
    </row>
    <row r="350" spans="1:9" s="14" customFormat="1" ht="57" hidden="1">
      <c r="A350" s="231" t="s">
        <v>211</v>
      </c>
      <c r="B350" s="209"/>
      <c r="C350" s="323" t="s">
        <v>117</v>
      </c>
      <c r="D350" s="300" t="s">
        <v>462</v>
      </c>
      <c r="E350" s="300" t="s">
        <v>213</v>
      </c>
      <c r="F350" s="324"/>
      <c r="G350" s="140">
        <f>SUM(G351)</f>
        <v>0</v>
      </c>
      <c r="H350" s="12"/>
      <c r="I350" s="12"/>
    </row>
    <row r="351" spans="1:9" s="14" customFormat="1" ht="28.5" hidden="1">
      <c r="A351" s="231" t="s">
        <v>157</v>
      </c>
      <c r="B351" s="209"/>
      <c r="C351" s="323" t="s">
        <v>117</v>
      </c>
      <c r="D351" s="300" t="s">
        <v>462</v>
      </c>
      <c r="E351" s="300" t="s">
        <v>213</v>
      </c>
      <c r="F351" s="324" t="s">
        <v>83</v>
      </c>
      <c r="G351" s="140"/>
      <c r="H351" s="12"/>
      <c r="I351" s="12"/>
    </row>
    <row r="352" spans="1:9" s="14" customFormat="1" ht="28.5">
      <c r="A352" s="231" t="s">
        <v>94</v>
      </c>
      <c r="B352" s="209"/>
      <c r="C352" s="323" t="s">
        <v>117</v>
      </c>
      <c r="D352" s="300" t="s">
        <v>462</v>
      </c>
      <c r="E352" s="300" t="s">
        <v>79</v>
      </c>
      <c r="F352" s="324"/>
      <c r="G352" s="140">
        <f>SUM(G353)</f>
        <v>166211.8</v>
      </c>
      <c r="H352" s="12"/>
      <c r="I352" s="12"/>
    </row>
    <row r="353" spans="1:10" s="14" customFormat="1" ht="28.5">
      <c r="A353" s="231" t="s">
        <v>517</v>
      </c>
      <c r="B353" s="209"/>
      <c r="C353" s="323" t="s">
        <v>117</v>
      </c>
      <c r="D353" s="300" t="s">
        <v>462</v>
      </c>
      <c r="E353" s="300" t="s">
        <v>79</v>
      </c>
      <c r="F353" s="324" t="s">
        <v>513</v>
      </c>
      <c r="G353" s="140">
        <v>166211.8</v>
      </c>
      <c r="H353" s="12"/>
      <c r="I353" s="12"/>
      <c r="J353" s="14">
        <f>SUM('[3]ведомствен.2014'!G766+'[3]ведомствен.2014'!G683+'[3]ведомствен.2014'!G560)</f>
        <v>166211.8</v>
      </c>
    </row>
    <row r="354" spans="1:9" s="14" customFormat="1" ht="28.5">
      <c r="A354" s="231" t="s">
        <v>157</v>
      </c>
      <c r="B354" s="215"/>
      <c r="C354" s="284" t="s">
        <v>117</v>
      </c>
      <c r="D354" s="280" t="s">
        <v>462</v>
      </c>
      <c r="E354" s="280" t="s">
        <v>151</v>
      </c>
      <c r="F354" s="278"/>
      <c r="G354" s="137">
        <f>SUM(G357)+G355</f>
        <v>7332.1</v>
      </c>
      <c r="H354" s="12"/>
      <c r="I354" s="12"/>
    </row>
    <row r="355" spans="1:9" s="86" customFormat="1" ht="26.25" customHeight="1">
      <c r="A355" s="114" t="s">
        <v>463</v>
      </c>
      <c r="B355" s="317"/>
      <c r="C355" s="280" t="s">
        <v>117</v>
      </c>
      <c r="D355" s="280" t="s">
        <v>462</v>
      </c>
      <c r="E355" s="280" t="s">
        <v>464</v>
      </c>
      <c r="F355" s="278"/>
      <c r="G355" s="258">
        <f>SUM(G356)</f>
        <v>310.5</v>
      </c>
      <c r="H355" s="20"/>
      <c r="I355" s="20"/>
    </row>
    <row r="356" spans="1:10" s="86" customFormat="1" ht="27.75" customHeight="1">
      <c r="A356" s="114" t="s">
        <v>517</v>
      </c>
      <c r="B356" s="317"/>
      <c r="C356" s="280" t="s">
        <v>117</v>
      </c>
      <c r="D356" s="280" t="s">
        <v>462</v>
      </c>
      <c r="E356" s="280" t="s">
        <v>464</v>
      </c>
      <c r="F356" s="278" t="s">
        <v>83</v>
      </c>
      <c r="G356" s="258">
        <v>310.5</v>
      </c>
      <c r="H356" s="20">
        <f>SUM(H358+H408+H406)</f>
        <v>392.5</v>
      </c>
      <c r="I356" s="20" t="e">
        <f>SUM(H356/G391*100)</f>
        <v>#DIV/0!</v>
      </c>
      <c r="J356" s="86">
        <f>SUM('[3]ведомствен.2014'!G769)</f>
        <v>310.5</v>
      </c>
    </row>
    <row r="357" spans="1:9" s="14" customFormat="1" ht="28.5">
      <c r="A357" s="231" t="s">
        <v>154</v>
      </c>
      <c r="B357" s="215"/>
      <c r="C357" s="284" t="s">
        <v>117</v>
      </c>
      <c r="D357" s="280" t="s">
        <v>462</v>
      </c>
      <c r="E357" s="280" t="s">
        <v>220</v>
      </c>
      <c r="F357" s="278"/>
      <c r="G357" s="137">
        <f>SUM(G358)</f>
        <v>7021.6</v>
      </c>
      <c r="H357" s="12"/>
      <c r="I357" s="12"/>
    </row>
    <row r="358" spans="1:10" s="14" customFormat="1" ht="27.75" customHeight="1">
      <c r="A358" s="231" t="s">
        <v>517</v>
      </c>
      <c r="B358" s="215"/>
      <c r="C358" s="284" t="s">
        <v>117</v>
      </c>
      <c r="D358" s="280" t="s">
        <v>462</v>
      </c>
      <c r="E358" s="280" t="s">
        <v>220</v>
      </c>
      <c r="F358" s="278" t="s">
        <v>513</v>
      </c>
      <c r="G358" s="137">
        <v>7021.6</v>
      </c>
      <c r="H358" s="12"/>
      <c r="I358" s="12"/>
      <c r="J358" s="14">
        <f>SUM('[3]ведомствен.2014'!G771)+'[3]ведомствен.2014'!G686</f>
        <v>7021.6</v>
      </c>
    </row>
    <row r="359" spans="1:9" s="14" customFormat="1" ht="28.5" hidden="1">
      <c r="A359" s="231" t="s">
        <v>154</v>
      </c>
      <c r="B359" s="215"/>
      <c r="C359" s="284" t="s">
        <v>117</v>
      </c>
      <c r="D359" s="280" t="s">
        <v>462</v>
      </c>
      <c r="E359" s="280" t="s">
        <v>220</v>
      </c>
      <c r="F359" s="278"/>
      <c r="G359" s="137"/>
      <c r="H359" s="12"/>
      <c r="I359" s="12"/>
    </row>
    <row r="360" spans="1:10" ht="17.25" customHeight="1">
      <c r="A360" s="225" t="s">
        <v>323</v>
      </c>
      <c r="B360" s="190"/>
      <c r="C360" s="284" t="s">
        <v>117</v>
      </c>
      <c r="D360" s="280" t="s">
        <v>462</v>
      </c>
      <c r="E360" s="280" t="s">
        <v>324</v>
      </c>
      <c r="F360" s="276"/>
      <c r="G360" s="137">
        <f>SUM(G361)</f>
        <v>64606.700000000004</v>
      </c>
      <c r="H360" s="12">
        <f>SUM(H363)</f>
        <v>0</v>
      </c>
      <c r="I360" s="12">
        <f>SUM(H360/G374*100)</f>
        <v>0</v>
      </c>
      <c r="J360"/>
    </row>
    <row r="361" spans="1:10" ht="17.25" customHeight="1">
      <c r="A361" s="109" t="s">
        <v>56</v>
      </c>
      <c r="B361" s="62"/>
      <c r="C361" s="280" t="s">
        <v>117</v>
      </c>
      <c r="D361" s="280" t="s">
        <v>462</v>
      </c>
      <c r="E361" s="280" t="s">
        <v>325</v>
      </c>
      <c r="F361" s="276"/>
      <c r="G361" s="137">
        <f>SUM(G363+G362)</f>
        <v>64606.700000000004</v>
      </c>
      <c r="H361" s="12"/>
      <c r="I361" s="12"/>
      <c r="J361"/>
    </row>
    <row r="362" spans="1:10" ht="17.25" customHeight="1">
      <c r="A362" s="109" t="s">
        <v>500</v>
      </c>
      <c r="B362" s="62"/>
      <c r="C362" s="280" t="s">
        <v>117</v>
      </c>
      <c r="D362" s="280" t="s">
        <v>462</v>
      </c>
      <c r="E362" s="275" t="s">
        <v>325</v>
      </c>
      <c r="F362" s="277" t="s">
        <v>120</v>
      </c>
      <c r="G362" s="258">
        <v>250</v>
      </c>
      <c r="H362" s="12"/>
      <c r="I362" s="12"/>
      <c r="J362" s="14">
        <f>SUM('[3]ведомствен.2014'!G403)</f>
        <v>250</v>
      </c>
    </row>
    <row r="363" spans="1:9" s="14" customFormat="1" ht="71.25">
      <c r="A363" s="225" t="s">
        <v>467</v>
      </c>
      <c r="B363" s="190"/>
      <c r="C363" s="284" t="s">
        <v>117</v>
      </c>
      <c r="D363" s="280" t="s">
        <v>462</v>
      </c>
      <c r="E363" s="280" t="s">
        <v>329</v>
      </c>
      <c r="F363" s="276"/>
      <c r="G363" s="137">
        <f>SUM(G364:G367)</f>
        <v>64356.700000000004</v>
      </c>
      <c r="H363" s="12"/>
      <c r="I363" s="12"/>
    </row>
    <row r="364" spans="1:10" s="14" customFormat="1" ht="42.75">
      <c r="A364" s="225" t="s">
        <v>495</v>
      </c>
      <c r="B364" s="190"/>
      <c r="C364" s="284" t="s">
        <v>117</v>
      </c>
      <c r="D364" s="280" t="s">
        <v>462</v>
      </c>
      <c r="E364" s="280" t="s">
        <v>329</v>
      </c>
      <c r="F364" s="276" t="s">
        <v>496</v>
      </c>
      <c r="G364" s="137">
        <v>42775.3</v>
      </c>
      <c r="H364" s="12"/>
      <c r="I364" s="12"/>
      <c r="J364" s="14">
        <f>SUM('[3]ведомствен.2014'!G407)</f>
        <v>42775.3</v>
      </c>
    </row>
    <row r="365" spans="1:10" s="14" customFormat="1" ht="15">
      <c r="A365" s="225" t="s">
        <v>500</v>
      </c>
      <c r="B365" s="190"/>
      <c r="C365" s="284" t="s">
        <v>117</v>
      </c>
      <c r="D365" s="280" t="s">
        <v>462</v>
      </c>
      <c r="E365" s="280" t="s">
        <v>329</v>
      </c>
      <c r="F365" s="276" t="s">
        <v>120</v>
      </c>
      <c r="G365" s="137">
        <v>20850.2</v>
      </c>
      <c r="H365" s="12"/>
      <c r="I365" s="12"/>
      <c r="J365" s="14">
        <f>SUM('[3]ведомствен.2014'!G408)</f>
        <v>20850.2</v>
      </c>
    </row>
    <row r="366" spans="1:10" s="14" customFormat="1" ht="15">
      <c r="A366" s="225" t="s">
        <v>505</v>
      </c>
      <c r="B366" s="206"/>
      <c r="C366" s="284" t="s">
        <v>117</v>
      </c>
      <c r="D366" s="280" t="s">
        <v>462</v>
      </c>
      <c r="E366" s="280" t="s">
        <v>329</v>
      </c>
      <c r="F366" s="276" t="s">
        <v>506</v>
      </c>
      <c r="G366" s="137">
        <v>26.9</v>
      </c>
      <c r="H366" s="12"/>
      <c r="I366" s="12"/>
      <c r="J366" s="14">
        <f>SUM('[3]ведомствен.2014'!G409)</f>
        <v>26.9</v>
      </c>
    </row>
    <row r="367" spans="1:10" s="14" customFormat="1" ht="15">
      <c r="A367" s="225" t="s">
        <v>501</v>
      </c>
      <c r="B367" s="190"/>
      <c r="C367" s="284" t="s">
        <v>117</v>
      </c>
      <c r="D367" s="280" t="s">
        <v>462</v>
      </c>
      <c r="E367" s="280" t="s">
        <v>329</v>
      </c>
      <c r="F367" s="276" t="s">
        <v>176</v>
      </c>
      <c r="G367" s="137">
        <v>704.3</v>
      </c>
      <c r="H367" s="12"/>
      <c r="I367" s="12"/>
      <c r="J367" s="14">
        <f>SUM('[3]ведомствен.2014'!G410)</f>
        <v>704.3</v>
      </c>
    </row>
    <row r="368" spans="1:9" s="14" customFormat="1" ht="15">
      <c r="A368" s="231" t="s">
        <v>330</v>
      </c>
      <c r="B368" s="210"/>
      <c r="C368" s="323" t="s">
        <v>117</v>
      </c>
      <c r="D368" s="300" t="s">
        <v>462</v>
      </c>
      <c r="E368" s="300" t="s">
        <v>331</v>
      </c>
      <c r="F368" s="324"/>
      <c r="G368" s="140">
        <f>SUM(G369)</f>
        <v>53863.9</v>
      </c>
      <c r="H368" s="12"/>
      <c r="I368" s="12"/>
    </row>
    <row r="369" spans="1:9" s="14" customFormat="1" ht="28.5">
      <c r="A369" s="231" t="s">
        <v>56</v>
      </c>
      <c r="B369" s="209"/>
      <c r="C369" s="323" t="s">
        <v>117</v>
      </c>
      <c r="D369" s="300" t="s">
        <v>462</v>
      </c>
      <c r="E369" s="300" t="s">
        <v>332</v>
      </c>
      <c r="F369" s="324"/>
      <c r="G369" s="140">
        <f>SUM(G370+G371+G372+G373)</f>
        <v>53863.9</v>
      </c>
      <c r="H369" s="12"/>
      <c r="I369" s="12"/>
    </row>
    <row r="370" spans="1:10" s="14" customFormat="1" ht="42.75">
      <c r="A370" s="231" t="s">
        <v>495</v>
      </c>
      <c r="B370" s="209"/>
      <c r="C370" s="323" t="s">
        <v>117</v>
      </c>
      <c r="D370" s="300" t="s">
        <v>462</v>
      </c>
      <c r="E370" s="300" t="s">
        <v>264</v>
      </c>
      <c r="F370" s="324" t="s">
        <v>496</v>
      </c>
      <c r="G370" s="140">
        <v>2687.8</v>
      </c>
      <c r="H370" s="12"/>
      <c r="I370" s="12"/>
      <c r="J370" s="14">
        <f>SUM('[3]ведомствен.2014'!G689)</f>
        <v>2687.8</v>
      </c>
    </row>
    <row r="371" spans="1:10" s="14" customFormat="1" ht="15">
      <c r="A371" s="231" t="s">
        <v>500</v>
      </c>
      <c r="B371" s="209"/>
      <c r="C371" s="323" t="s">
        <v>117</v>
      </c>
      <c r="D371" s="300" t="s">
        <v>462</v>
      </c>
      <c r="E371" s="300" t="s">
        <v>264</v>
      </c>
      <c r="F371" s="324" t="s">
        <v>120</v>
      </c>
      <c r="G371" s="140">
        <v>3094.8</v>
      </c>
      <c r="H371" s="12"/>
      <c r="I371" s="12" t="e">
        <f>SUM(H371/#REF!*100)</f>
        <v>#REF!</v>
      </c>
      <c r="J371" s="14">
        <f>SUM('[3]ведомствен.2014'!G690)</f>
        <v>3094.7</v>
      </c>
    </row>
    <row r="372" spans="1:10" ht="15">
      <c r="A372" s="231" t="s">
        <v>501</v>
      </c>
      <c r="B372" s="209"/>
      <c r="C372" s="323" t="s">
        <v>117</v>
      </c>
      <c r="D372" s="300" t="s">
        <v>462</v>
      </c>
      <c r="E372" s="300" t="s">
        <v>264</v>
      </c>
      <c r="F372" s="324" t="s">
        <v>176</v>
      </c>
      <c r="G372" s="140">
        <v>947.2</v>
      </c>
      <c r="H372" s="12"/>
      <c r="I372" s="12"/>
      <c r="J372" s="14">
        <f>SUM('[3]ведомствен.2014'!G691)</f>
        <v>947.2</v>
      </c>
    </row>
    <row r="373" spans="1:10" ht="85.5">
      <c r="A373" s="231" t="s">
        <v>612</v>
      </c>
      <c r="B373" s="209"/>
      <c r="C373" s="323" t="s">
        <v>117</v>
      </c>
      <c r="D373" s="300" t="s">
        <v>462</v>
      </c>
      <c r="E373" s="300" t="s">
        <v>333</v>
      </c>
      <c r="F373" s="324"/>
      <c r="G373" s="140">
        <f>SUM(G374+G375)</f>
        <v>47134.1</v>
      </c>
      <c r="H373" s="12"/>
      <c r="I373" s="12"/>
      <c r="J373" s="14"/>
    </row>
    <row r="374" spans="1:10" s="23" customFormat="1" ht="42.75">
      <c r="A374" s="231" t="s">
        <v>495</v>
      </c>
      <c r="B374" s="209"/>
      <c r="C374" s="323" t="s">
        <v>117</v>
      </c>
      <c r="D374" s="300" t="s">
        <v>462</v>
      </c>
      <c r="E374" s="300" t="s">
        <v>333</v>
      </c>
      <c r="F374" s="324" t="s">
        <v>496</v>
      </c>
      <c r="G374" s="140">
        <v>35190.7</v>
      </c>
      <c r="H374" s="12" t="e">
        <f>SUM(H376+#REF!+#REF!+#REF!)+#REF!+#REF!+#REF!+#REF!+#REF!+#REF!</f>
        <v>#REF!</v>
      </c>
      <c r="I374" s="12" t="e">
        <f>SUM(H374/G376*100)</f>
        <v>#REF!</v>
      </c>
      <c r="J374" s="14">
        <f>SUM('[3]ведомствен.2014'!G693)</f>
        <v>35190.7</v>
      </c>
    </row>
    <row r="375" spans="1:10" ht="15">
      <c r="A375" s="231" t="s">
        <v>500</v>
      </c>
      <c r="B375" s="209"/>
      <c r="C375" s="323" t="s">
        <v>117</v>
      </c>
      <c r="D375" s="300" t="s">
        <v>462</v>
      </c>
      <c r="E375" s="300" t="s">
        <v>333</v>
      </c>
      <c r="F375" s="324" t="s">
        <v>120</v>
      </c>
      <c r="G375" s="140">
        <v>11943.4</v>
      </c>
      <c r="H375" s="12"/>
      <c r="I375" s="12" t="e">
        <f>SUM(H375/G391*100)</f>
        <v>#DIV/0!</v>
      </c>
      <c r="J375" s="14">
        <f>SUM('[3]ведомствен.2014'!G694)</f>
        <v>11943.4</v>
      </c>
    </row>
    <row r="376" spans="1:9" s="23" customFormat="1" ht="15">
      <c r="A376" s="231" t="s">
        <v>334</v>
      </c>
      <c r="B376" s="210"/>
      <c r="C376" s="323" t="s">
        <v>117</v>
      </c>
      <c r="D376" s="300" t="s">
        <v>462</v>
      </c>
      <c r="E376" s="300" t="s">
        <v>335</v>
      </c>
      <c r="F376" s="324"/>
      <c r="G376" s="140">
        <f>G377</f>
        <v>6181.3</v>
      </c>
      <c r="H376" s="12" t="e">
        <f>SUM(H402)</f>
        <v>#REF!</v>
      </c>
      <c r="I376" s="12" t="e">
        <f>SUM(H376/G392*100)</f>
        <v>#REF!</v>
      </c>
    </row>
    <row r="377" spans="1:9" s="23" customFormat="1" ht="15">
      <c r="A377" s="231" t="s">
        <v>232</v>
      </c>
      <c r="B377" s="210"/>
      <c r="C377" s="323" t="s">
        <v>117</v>
      </c>
      <c r="D377" s="300" t="s">
        <v>462</v>
      </c>
      <c r="E377" s="300" t="s">
        <v>294</v>
      </c>
      <c r="F377" s="324"/>
      <c r="G377" s="140">
        <f>G378</f>
        <v>6181.3</v>
      </c>
      <c r="H377" s="12"/>
      <c r="I377" s="12"/>
    </row>
    <row r="378" spans="1:10" ht="57">
      <c r="A378" s="231" t="s">
        <v>613</v>
      </c>
      <c r="B378" s="210"/>
      <c r="C378" s="323" t="s">
        <v>117</v>
      </c>
      <c r="D378" s="300" t="s">
        <v>462</v>
      </c>
      <c r="E378" s="300" t="s">
        <v>290</v>
      </c>
      <c r="F378" s="324"/>
      <c r="G378" s="140">
        <f>G379</f>
        <v>6181.3</v>
      </c>
      <c r="H378" s="12"/>
      <c r="I378" s="12"/>
      <c r="J378"/>
    </row>
    <row r="379" spans="1:10" ht="28.5">
      <c r="A379" s="231" t="s">
        <v>517</v>
      </c>
      <c r="B379" s="210"/>
      <c r="C379" s="323" t="s">
        <v>117</v>
      </c>
      <c r="D379" s="300" t="s">
        <v>462</v>
      </c>
      <c r="E379" s="300" t="s">
        <v>290</v>
      </c>
      <c r="F379" s="324" t="s">
        <v>513</v>
      </c>
      <c r="G379" s="140">
        <v>6181.3</v>
      </c>
      <c r="H379" s="12"/>
      <c r="I379" s="12"/>
      <c r="J379">
        <f>SUM('[3]ведомствен.2014'!G698)</f>
        <v>6181.3</v>
      </c>
    </row>
    <row r="380" spans="1:10" ht="15">
      <c r="A380" s="231" t="s">
        <v>681</v>
      </c>
      <c r="B380" s="217"/>
      <c r="C380" s="300" t="s">
        <v>117</v>
      </c>
      <c r="D380" s="300" t="s">
        <v>462</v>
      </c>
      <c r="E380" s="300" t="s">
        <v>683</v>
      </c>
      <c r="F380" s="324"/>
      <c r="G380" s="140">
        <f>SUM(G381)</f>
        <v>549.5</v>
      </c>
      <c r="H380" s="12"/>
      <c r="I380" s="12"/>
      <c r="J380"/>
    </row>
    <row r="381" spans="1:10" ht="28.5">
      <c r="A381" s="231" t="s">
        <v>682</v>
      </c>
      <c r="B381" s="217"/>
      <c r="C381" s="300" t="s">
        <v>117</v>
      </c>
      <c r="D381" s="300" t="s">
        <v>462</v>
      </c>
      <c r="E381" s="300" t="s">
        <v>684</v>
      </c>
      <c r="F381" s="324"/>
      <c r="G381" s="140">
        <f>SUM(G382:G383)</f>
        <v>549.5</v>
      </c>
      <c r="H381" s="12"/>
      <c r="I381" s="12"/>
      <c r="J381"/>
    </row>
    <row r="382" spans="1:10" ht="15">
      <c r="A382" s="231" t="s">
        <v>500</v>
      </c>
      <c r="B382" s="217"/>
      <c r="C382" s="300" t="s">
        <v>117</v>
      </c>
      <c r="D382" s="300" t="s">
        <v>462</v>
      </c>
      <c r="E382" s="300" t="s">
        <v>684</v>
      </c>
      <c r="F382" s="324" t="s">
        <v>120</v>
      </c>
      <c r="G382" s="140">
        <v>43.5</v>
      </c>
      <c r="H382" s="12"/>
      <c r="I382" s="12"/>
      <c r="J382">
        <f>SUM('[3]ведомствен.2014'!G701)</f>
        <v>43.5</v>
      </c>
    </row>
    <row r="383" spans="1:10" ht="28.5">
      <c r="A383" s="231" t="s">
        <v>524</v>
      </c>
      <c r="B383" s="217"/>
      <c r="C383" s="300" t="s">
        <v>117</v>
      </c>
      <c r="D383" s="300" t="s">
        <v>462</v>
      </c>
      <c r="E383" s="300" t="s">
        <v>684</v>
      </c>
      <c r="F383" s="324" t="s">
        <v>513</v>
      </c>
      <c r="G383" s="140">
        <v>506</v>
      </c>
      <c r="H383" s="12"/>
      <c r="I383" s="12"/>
      <c r="J383">
        <f>SUM('[3]ведомствен.2014'!G702)</f>
        <v>506.1</v>
      </c>
    </row>
    <row r="384" spans="1:10" ht="15">
      <c r="A384" s="114" t="s">
        <v>594</v>
      </c>
      <c r="B384" s="132"/>
      <c r="C384" s="300" t="s">
        <v>117</v>
      </c>
      <c r="D384" s="300" t="s">
        <v>462</v>
      </c>
      <c r="E384" s="300" t="s">
        <v>129</v>
      </c>
      <c r="F384" s="324"/>
      <c r="G384" s="261">
        <f>G385+G388</f>
        <v>2387</v>
      </c>
      <c r="H384" s="12"/>
      <c r="I384" s="12"/>
      <c r="J384"/>
    </row>
    <row r="385" spans="1:10" ht="28.5">
      <c r="A385" s="114" t="s">
        <v>725</v>
      </c>
      <c r="B385" s="154"/>
      <c r="C385" s="300" t="s">
        <v>117</v>
      </c>
      <c r="D385" s="300" t="s">
        <v>462</v>
      </c>
      <c r="E385" s="300" t="s">
        <v>726</v>
      </c>
      <c r="F385" s="324"/>
      <c r="G385" s="261">
        <f>SUM(G386:G387)</f>
        <v>2286</v>
      </c>
      <c r="H385" s="12"/>
      <c r="I385" s="12"/>
      <c r="J385"/>
    </row>
    <row r="386" spans="1:10" ht="15">
      <c r="A386" s="114" t="s">
        <v>500</v>
      </c>
      <c r="B386" s="154"/>
      <c r="C386" s="300" t="s">
        <v>117</v>
      </c>
      <c r="D386" s="300" t="s">
        <v>462</v>
      </c>
      <c r="E386" s="300" t="s">
        <v>726</v>
      </c>
      <c r="F386" s="324" t="s">
        <v>120</v>
      </c>
      <c r="G386" s="261">
        <v>2086</v>
      </c>
      <c r="H386" s="12"/>
      <c r="I386" s="12"/>
      <c r="J386">
        <f>SUM('[3]ведомствен.2014'!G705)</f>
        <v>2086</v>
      </c>
    </row>
    <row r="387" spans="1:10" ht="28.5">
      <c r="A387" s="114" t="s">
        <v>524</v>
      </c>
      <c r="B387" s="328"/>
      <c r="C387" s="300" t="s">
        <v>117</v>
      </c>
      <c r="D387" s="300" t="s">
        <v>462</v>
      </c>
      <c r="E387" s="300" t="s">
        <v>726</v>
      </c>
      <c r="F387" s="324" t="s">
        <v>513</v>
      </c>
      <c r="G387" s="261">
        <v>200</v>
      </c>
      <c r="H387" s="12"/>
      <c r="I387" s="12"/>
      <c r="J387">
        <f>SUM('[3]ведомствен.2014'!G706)</f>
        <v>200</v>
      </c>
    </row>
    <row r="388" spans="1:10" ht="28.5">
      <c r="A388" s="114" t="s">
        <v>728</v>
      </c>
      <c r="B388" s="71"/>
      <c r="C388" s="300" t="s">
        <v>117</v>
      </c>
      <c r="D388" s="300" t="s">
        <v>462</v>
      </c>
      <c r="E388" s="300" t="s">
        <v>729</v>
      </c>
      <c r="F388" s="324"/>
      <c r="G388" s="261">
        <f>SUM(G389)</f>
        <v>101</v>
      </c>
      <c r="H388" s="12"/>
      <c r="I388" s="12"/>
      <c r="J388"/>
    </row>
    <row r="389" spans="1:10" ht="15">
      <c r="A389" s="114" t="s">
        <v>500</v>
      </c>
      <c r="B389" s="71"/>
      <c r="C389" s="300" t="s">
        <v>117</v>
      </c>
      <c r="D389" s="300" t="s">
        <v>462</v>
      </c>
      <c r="E389" s="300" t="s">
        <v>729</v>
      </c>
      <c r="F389" s="324" t="s">
        <v>120</v>
      </c>
      <c r="G389" s="261">
        <v>101</v>
      </c>
      <c r="H389" s="12"/>
      <c r="I389" s="12"/>
      <c r="J389">
        <f>SUM('[3]ведомствен.2014'!G708)</f>
        <v>101</v>
      </c>
    </row>
    <row r="390" spans="1:12" s="23" customFormat="1" ht="15">
      <c r="A390" s="231" t="s">
        <v>118</v>
      </c>
      <c r="B390" s="210"/>
      <c r="C390" s="323" t="s">
        <v>117</v>
      </c>
      <c r="D390" s="300" t="s">
        <v>117</v>
      </c>
      <c r="E390" s="300"/>
      <c r="F390" s="324"/>
      <c r="G390" s="140">
        <f>SUM(G395+G402+G391+G417)+G413</f>
        <v>47522.8</v>
      </c>
      <c r="H390" s="12"/>
      <c r="I390" s="12"/>
      <c r="K390" s="23">
        <f>SUM(J395:J420)</f>
        <v>47522.79999999999</v>
      </c>
      <c r="L390" s="23">
        <f>SUM('[3]ведомствен.2014'!G561+'[3]ведомствен.2014'!G709+'[3]ведомствен.2014'!G777+'[3]ведомствен.2014'!G866)</f>
        <v>47522.8</v>
      </c>
    </row>
    <row r="391" spans="1:9" s="23" customFormat="1" ht="15" hidden="1">
      <c r="A391" s="231" t="s">
        <v>407</v>
      </c>
      <c r="B391" s="210"/>
      <c r="C391" s="323" t="s">
        <v>117</v>
      </c>
      <c r="D391" s="300" t="s">
        <v>117</v>
      </c>
      <c r="E391" s="300" t="s">
        <v>409</v>
      </c>
      <c r="F391" s="324"/>
      <c r="G391" s="140">
        <f>SUM(G392)</f>
        <v>0</v>
      </c>
      <c r="H391" s="12"/>
      <c r="I391" s="12"/>
    </row>
    <row r="392" spans="1:9" s="23" customFormat="1" ht="15" hidden="1">
      <c r="A392" s="231" t="s">
        <v>387</v>
      </c>
      <c r="B392" s="210"/>
      <c r="C392" s="323" t="s">
        <v>117</v>
      </c>
      <c r="D392" s="300" t="s">
        <v>117</v>
      </c>
      <c r="E392" s="300" t="s">
        <v>388</v>
      </c>
      <c r="F392" s="324"/>
      <c r="G392" s="140">
        <f>SUM(G393+G394)</f>
        <v>0</v>
      </c>
      <c r="H392" s="12"/>
      <c r="I392" s="12"/>
    </row>
    <row r="393" spans="1:9" s="14" customFormat="1" ht="15" hidden="1">
      <c r="A393" s="231" t="s">
        <v>246</v>
      </c>
      <c r="B393" s="210"/>
      <c r="C393" s="323" t="s">
        <v>117</v>
      </c>
      <c r="D393" s="300" t="s">
        <v>117</v>
      </c>
      <c r="E393" s="300" t="s">
        <v>388</v>
      </c>
      <c r="F393" s="324" t="s">
        <v>247</v>
      </c>
      <c r="G393" s="140"/>
      <c r="H393" s="12"/>
      <c r="I393" s="12"/>
    </row>
    <row r="394" spans="1:9" s="14" customFormat="1" ht="15" hidden="1">
      <c r="A394" s="231" t="s">
        <v>223</v>
      </c>
      <c r="B394" s="210"/>
      <c r="C394" s="323" t="s">
        <v>117</v>
      </c>
      <c r="D394" s="300" t="s">
        <v>117</v>
      </c>
      <c r="E394" s="300" t="s">
        <v>388</v>
      </c>
      <c r="F394" s="324" t="s">
        <v>224</v>
      </c>
      <c r="G394" s="140"/>
      <c r="H394" s="12"/>
      <c r="I394" s="12"/>
    </row>
    <row r="395" spans="1:11" s="14" customFormat="1" ht="15">
      <c r="A395" s="231" t="s">
        <v>225</v>
      </c>
      <c r="B395" s="210"/>
      <c r="C395" s="323" t="s">
        <v>117</v>
      </c>
      <c r="D395" s="300" t="s">
        <v>117</v>
      </c>
      <c r="E395" s="300" t="s">
        <v>226</v>
      </c>
      <c r="F395" s="324"/>
      <c r="G395" s="140">
        <f>SUM(G398+G396)</f>
        <v>2270.2999999999997</v>
      </c>
      <c r="H395" s="12"/>
      <c r="I395" s="12"/>
      <c r="K395" s="168">
        <f>SUM(K390-G390)</f>
        <v>-1.4551915228366852E-11</v>
      </c>
    </row>
    <row r="396" spans="1:9" s="14" customFormat="1" ht="28.5">
      <c r="A396" s="231" t="s">
        <v>257</v>
      </c>
      <c r="B396" s="210"/>
      <c r="C396" s="323" t="s">
        <v>117</v>
      </c>
      <c r="D396" s="300" t="s">
        <v>117</v>
      </c>
      <c r="E396" s="300" t="s">
        <v>214</v>
      </c>
      <c r="F396" s="324"/>
      <c r="G396" s="140">
        <f>SUM(G397)</f>
        <v>396.4</v>
      </c>
      <c r="H396" s="12"/>
      <c r="I396" s="12"/>
    </row>
    <row r="397" spans="1:10" ht="15">
      <c r="A397" s="114" t="s">
        <v>500</v>
      </c>
      <c r="B397" s="210"/>
      <c r="C397" s="323" t="s">
        <v>117</v>
      </c>
      <c r="D397" s="300" t="s">
        <v>117</v>
      </c>
      <c r="E397" s="300" t="s">
        <v>214</v>
      </c>
      <c r="F397" s="324" t="s">
        <v>120</v>
      </c>
      <c r="G397" s="140">
        <v>396.4</v>
      </c>
      <c r="H397" s="12"/>
      <c r="I397" s="12"/>
      <c r="J397">
        <f>SUM('[3]ведомствен.2014'!G716)</f>
        <v>396.4</v>
      </c>
    </row>
    <row r="398" spans="1:10" ht="28.5">
      <c r="A398" s="231" t="s">
        <v>56</v>
      </c>
      <c r="B398" s="210"/>
      <c r="C398" s="323" t="s">
        <v>117</v>
      </c>
      <c r="D398" s="300" t="s">
        <v>117</v>
      </c>
      <c r="E398" s="300" t="s">
        <v>229</v>
      </c>
      <c r="F398" s="324"/>
      <c r="G398" s="140">
        <f>SUM(G399+G400+G401)</f>
        <v>1873.8999999999999</v>
      </c>
      <c r="H398" s="12"/>
      <c r="I398" s="12"/>
      <c r="J398"/>
    </row>
    <row r="399" spans="1:10" s="23" customFormat="1" ht="42.75">
      <c r="A399" s="231" t="s">
        <v>495</v>
      </c>
      <c r="B399" s="210"/>
      <c r="C399" s="323" t="s">
        <v>117</v>
      </c>
      <c r="D399" s="300" t="s">
        <v>117</v>
      </c>
      <c r="E399" s="300" t="s">
        <v>229</v>
      </c>
      <c r="F399" s="324" t="s">
        <v>496</v>
      </c>
      <c r="G399" s="140">
        <v>1714.3</v>
      </c>
      <c r="H399" s="12"/>
      <c r="I399" s="12"/>
      <c r="J399">
        <f>SUM('[3]ведомствен.2014'!G718)</f>
        <v>1714.3</v>
      </c>
    </row>
    <row r="400" spans="1:10" ht="15">
      <c r="A400" s="231" t="s">
        <v>500</v>
      </c>
      <c r="B400" s="210"/>
      <c r="C400" s="323" t="s">
        <v>117</v>
      </c>
      <c r="D400" s="300" t="s">
        <v>117</v>
      </c>
      <c r="E400" s="300" t="s">
        <v>229</v>
      </c>
      <c r="F400" s="324" t="s">
        <v>120</v>
      </c>
      <c r="G400" s="140">
        <v>147.8</v>
      </c>
      <c r="H400" s="12"/>
      <c r="I400" s="12"/>
      <c r="J400" s="72">
        <f>SUM('[3]ведомствен.2014'!G719)</f>
        <v>147.8</v>
      </c>
    </row>
    <row r="401" spans="1:10" s="23" customFormat="1" ht="15">
      <c r="A401" s="231" t="s">
        <v>501</v>
      </c>
      <c r="B401" s="210"/>
      <c r="C401" s="323" t="s">
        <v>117</v>
      </c>
      <c r="D401" s="300" t="s">
        <v>117</v>
      </c>
      <c r="E401" s="300" t="s">
        <v>229</v>
      </c>
      <c r="F401" s="324" t="s">
        <v>176</v>
      </c>
      <c r="G401" s="140">
        <v>11.8</v>
      </c>
      <c r="H401" s="12"/>
      <c r="I401" s="12"/>
      <c r="J401" s="72">
        <f>SUM('[3]ведомствен.2014'!G720)</f>
        <v>11.8</v>
      </c>
    </row>
    <row r="402" spans="1:9" s="23" customFormat="1" ht="15">
      <c r="A402" s="243" t="s">
        <v>230</v>
      </c>
      <c r="B402" s="210"/>
      <c r="C402" s="323" t="s">
        <v>117</v>
      </c>
      <c r="D402" s="300" t="s">
        <v>117</v>
      </c>
      <c r="E402" s="300" t="s">
        <v>119</v>
      </c>
      <c r="F402" s="324"/>
      <c r="G402" s="140">
        <f>SUM(G403)</f>
        <v>44238.3</v>
      </c>
      <c r="H402" s="12" t="e">
        <f>SUM(H403+H421+H423+H430+#REF!+H406+H418)+#REF!</f>
        <v>#REF!</v>
      </c>
      <c r="I402" s="12" t="e">
        <f>SUM(H402/G418*100)</f>
        <v>#REF!</v>
      </c>
    </row>
    <row r="403" spans="1:9" s="23" customFormat="1" ht="42.75">
      <c r="A403" s="243" t="s">
        <v>90</v>
      </c>
      <c r="B403" s="210"/>
      <c r="C403" s="323" t="s">
        <v>117</v>
      </c>
      <c r="D403" s="300" t="s">
        <v>117</v>
      </c>
      <c r="E403" s="300" t="s">
        <v>91</v>
      </c>
      <c r="F403" s="324"/>
      <c r="G403" s="140">
        <f>SUM(G404)+G409</f>
        <v>44238.3</v>
      </c>
      <c r="H403" s="12">
        <v>53118.9</v>
      </c>
      <c r="I403" s="12">
        <f>SUM(H403/G419*100)</f>
        <v>12793.569364161849</v>
      </c>
    </row>
    <row r="404" spans="1:9" s="23" customFormat="1" ht="42.75">
      <c r="A404" s="243" t="s">
        <v>92</v>
      </c>
      <c r="B404" s="210"/>
      <c r="C404" s="323" t="s">
        <v>117</v>
      </c>
      <c r="D404" s="300" t="s">
        <v>117</v>
      </c>
      <c r="E404" s="300" t="s">
        <v>93</v>
      </c>
      <c r="F404" s="324"/>
      <c r="G404" s="140">
        <f>SUM(G406:G408)</f>
        <v>24902.9</v>
      </c>
      <c r="H404" s="12"/>
      <c r="I404" s="12">
        <f>SUM(H404/G421*100)</f>
        <v>0</v>
      </c>
    </row>
    <row r="405" spans="1:9" s="23" customFormat="1" ht="15" hidden="1">
      <c r="A405" s="231" t="s">
        <v>57</v>
      </c>
      <c r="B405" s="210"/>
      <c r="C405" s="323" t="s">
        <v>117</v>
      </c>
      <c r="D405" s="300" t="s">
        <v>117</v>
      </c>
      <c r="E405" s="300" t="s">
        <v>93</v>
      </c>
      <c r="F405" s="324"/>
      <c r="G405" s="140"/>
      <c r="H405" s="12"/>
      <c r="I405" s="12">
        <f>SUM(H405/G422*100)</f>
        <v>0</v>
      </c>
    </row>
    <row r="406" spans="1:10" s="23" customFormat="1" ht="15">
      <c r="A406" s="231" t="s">
        <v>500</v>
      </c>
      <c r="B406" s="210"/>
      <c r="C406" s="323" t="s">
        <v>117</v>
      </c>
      <c r="D406" s="300" t="s">
        <v>117</v>
      </c>
      <c r="E406" s="300" t="s">
        <v>93</v>
      </c>
      <c r="F406" s="324" t="s">
        <v>120</v>
      </c>
      <c r="G406" s="140">
        <v>2552.4</v>
      </c>
      <c r="H406" s="12">
        <f>SUM(H417)</f>
        <v>392.5</v>
      </c>
      <c r="I406" s="12">
        <f>SUM(H406/G423*100)</f>
        <v>1.1252931496166834</v>
      </c>
      <c r="J406" s="72">
        <f>SUM('[3]ведомствен.2014'!G725)+'[3]ведомствен.2014'!G785</f>
        <v>2552.3999999999996</v>
      </c>
    </row>
    <row r="407" spans="1:10" s="23" customFormat="1" ht="28.5">
      <c r="A407" s="231" t="s">
        <v>524</v>
      </c>
      <c r="B407" s="217"/>
      <c r="C407" s="300" t="s">
        <v>117</v>
      </c>
      <c r="D407" s="300" t="s">
        <v>117</v>
      </c>
      <c r="E407" s="300" t="s">
        <v>93</v>
      </c>
      <c r="F407" s="324" t="s">
        <v>513</v>
      </c>
      <c r="G407" s="140">
        <v>2586.2</v>
      </c>
      <c r="H407" s="12"/>
      <c r="I407" s="12"/>
      <c r="J407" s="72">
        <f>SUM('[3]ведомствен.2014'!G726)+'[3]ведомствен.2014'!G565+'[3]ведомствен.2014'!G786</f>
        <v>2586.2000000000003</v>
      </c>
    </row>
    <row r="408" spans="1:10" s="23" customFormat="1" ht="15">
      <c r="A408" s="114" t="s">
        <v>501</v>
      </c>
      <c r="B408" s="71"/>
      <c r="C408" s="300" t="s">
        <v>117</v>
      </c>
      <c r="D408" s="300" t="s">
        <v>117</v>
      </c>
      <c r="E408" s="300" t="s">
        <v>93</v>
      </c>
      <c r="F408" s="324" t="s">
        <v>176</v>
      </c>
      <c r="G408" s="261">
        <v>19764.3</v>
      </c>
      <c r="H408" s="12"/>
      <c r="I408" s="12"/>
      <c r="J408" s="72">
        <f>SUM('[3]ведомствен.2014'!G727)</f>
        <v>19764.3</v>
      </c>
    </row>
    <row r="409" spans="1:10" s="23" customFormat="1" ht="57">
      <c r="A409" s="120" t="s">
        <v>730</v>
      </c>
      <c r="B409" s="71"/>
      <c r="C409" s="300" t="s">
        <v>117</v>
      </c>
      <c r="D409" s="300" t="s">
        <v>117</v>
      </c>
      <c r="E409" s="300" t="s">
        <v>731</v>
      </c>
      <c r="F409" s="324"/>
      <c r="G409" s="261">
        <f>SUM(G410:G412)</f>
        <v>19335.4</v>
      </c>
      <c r="H409" s="12"/>
      <c r="I409" s="12"/>
      <c r="J409" s="72"/>
    </row>
    <row r="410" spans="1:10" s="23" customFormat="1" ht="15">
      <c r="A410" s="114" t="s">
        <v>500</v>
      </c>
      <c r="B410" s="71"/>
      <c r="C410" s="300" t="s">
        <v>117</v>
      </c>
      <c r="D410" s="300" t="s">
        <v>117</v>
      </c>
      <c r="E410" s="300" t="s">
        <v>731</v>
      </c>
      <c r="F410" s="324" t="s">
        <v>120</v>
      </c>
      <c r="G410" s="261">
        <v>3816.5</v>
      </c>
      <c r="H410" s="12"/>
      <c r="I410" s="12"/>
      <c r="J410" s="72">
        <f>SUM('[3]ведомствен.2014'!G729)</f>
        <v>3816.5</v>
      </c>
    </row>
    <row r="411" spans="1:10" s="23" customFormat="1" ht="28.5">
      <c r="A411" s="114" t="s">
        <v>524</v>
      </c>
      <c r="B411" s="71"/>
      <c r="C411" s="300" t="s">
        <v>117</v>
      </c>
      <c r="D411" s="300" t="s">
        <v>117</v>
      </c>
      <c r="E411" s="300" t="s">
        <v>731</v>
      </c>
      <c r="F411" s="324" t="s">
        <v>513</v>
      </c>
      <c r="G411" s="261">
        <v>4413.2</v>
      </c>
      <c r="H411" s="12"/>
      <c r="I411" s="12"/>
      <c r="J411" s="72">
        <f>SUM('[3]ведомствен.2014'!G730)</f>
        <v>4413.2</v>
      </c>
    </row>
    <row r="412" spans="1:10" s="23" customFormat="1" ht="15">
      <c r="A412" s="114" t="s">
        <v>501</v>
      </c>
      <c r="B412" s="71"/>
      <c r="C412" s="300" t="s">
        <v>117</v>
      </c>
      <c r="D412" s="300" t="s">
        <v>117</v>
      </c>
      <c r="E412" s="300" t="s">
        <v>731</v>
      </c>
      <c r="F412" s="324" t="s">
        <v>176</v>
      </c>
      <c r="G412" s="261">
        <v>11105.7</v>
      </c>
      <c r="H412" s="12"/>
      <c r="I412" s="12"/>
      <c r="J412" s="72">
        <f>SUM('[3]ведомствен.2014'!G731)</f>
        <v>11105.7</v>
      </c>
    </row>
    <row r="413" spans="1:10" s="23" customFormat="1" ht="15">
      <c r="A413" s="114" t="s">
        <v>681</v>
      </c>
      <c r="B413" s="131"/>
      <c r="C413" s="300" t="s">
        <v>117</v>
      </c>
      <c r="D413" s="300" t="s">
        <v>117</v>
      </c>
      <c r="E413" s="300" t="s">
        <v>683</v>
      </c>
      <c r="F413" s="324"/>
      <c r="G413" s="261">
        <f>SUM(G414)</f>
        <v>220.1</v>
      </c>
      <c r="H413" s="12"/>
      <c r="I413" s="12"/>
      <c r="J413" s="72"/>
    </row>
    <row r="414" spans="1:10" s="23" customFormat="1" ht="42.75">
      <c r="A414" s="114" t="s">
        <v>732</v>
      </c>
      <c r="B414" s="71"/>
      <c r="C414" s="300" t="s">
        <v>117</v>
      </c>
      <c r="D414" s="300" t="s">
        <v>117</v>
      </c>
      <c r="E414" s="300" t="s">
        <v>733</v>
      </c>
      <c r="F414" s="324"/>
      <c r="G414" s="261">
        <f>SUM(G415)</f>
        <v>220.1</v>
      </c>
      <c r="H414" s="12"/>
      <c r="I414" s="12"/>
      <c r="J414" s="72"/>
    </row>
    <row r="415" spans="1:10" s="23" customFormat="1" ht="28.5">
      <c r="A415" s="114" t="s">
        <v>734</v>
      </c>
      <c r="B415" s="71"/>
      <c r="C415" s="300" t="s">
        <v>117</v>
      </c>
      <c r="D415" s="300" t="s">
        <v>117</v>
      </c>
      <c r="E415" s="300" t="s">
        <v>735</v>
      </c>
      <c r="F415" s="324"/>
      <c r="G415" s="261">
        <f>SUM(G416)</f>
        <v>220.1</v>
      </c>
      <c r="H415" s="12"/>
      <c r="I415" s="12"/>
      <c r="J415" s="72"/>
    </row>
    <row r="416" spans="1:10" s="23" customFormat="1" ht="15">
      <c r="A416" s="114" t="s">
        <v>500</v>
      </c>
      <c r="B416" s="71"/>
      <c r="C416" s="300" t="s">
        <v>117</v>
      </c>
      <c r="D416" s="300" t="s">
        <v>117</v>
      </c>
      <c r="E416" s="300" t="s">
        <v>735</v>
      </c>
      <c r="F416" s="324" t="s">
        <v>120</v>
      </c>
      <c r="G416" s="261">
        <v>220.1</v>
      </c>
      <c r="H416" s="12"/>
      <c r="I416" s="12"/>
      <c r="J416" s="72">
        <f>SUM('[3]ведомствен.2014'!G735)</f>
        <v>220.1</v>
      </c>
    </row>
    <row r="417" spans="1:9" s="23" customFormat="1" ht="15">
      <c r="A417" s="231" t="s">
        <v>594</v>
      </c>
      <c r="B417" s="212"/>
      <c r="C417" s="323" t="s">
        <v>117</v>
      </c>
      <c r="D417" s="300" t="s">
        <v>117</v>
      </c>
      <c r="E417" s="300" t="s">
        <v>129</v>
      </c>
      <c r="F417" s="324"/>
      <c r="G417" s="140">
        <f>SUM(G418)</f>
        <v>794.0999999999999</v>
      </c>
      <c r="H417" s="12">
        <v>392.5</v>
      </c>
      <c r="I417" s="12">
        <f>SUM(H417/G424*100)</f>
        <v>1.2505336672337877</v>
      </c>
    </row>
    <row r="418" spans="1:9" s="23" customFormat="1" ht="28.5">
      <c r="A418" s="244" t="s">
        <v>614</v>
      </c>
      <c r="B418" s="212"/>
      <c r="C418" s="323" t="s">
        <v>117</v>
      </c>
      <c r="D418" s="300" t="s">
        <v>117</v>
      </c>
      <c r="E418" s="300" t="s">
        <v>97</v>
      </c>
      <c r="F418" s="324"/>
      <c r="G418" s="141">
        <f>SUM(G419:G420)</f>
        <v>794.0999999999999</v>
      </c>
      <c r="H418" s="12">
        <f>SUM(H419)</f>
        <v>0</v>
      </c>
      <c r="I418" s="12">
        <f>SUM(H418/G425*100)</f>
        <v>0</v>
      </c>
    </row>
    <row r="419" spans="1:10" s="23" customFormat="1" ht="15">
      <c r="A419" s="231" t="s">
        <v>500</v>
      </c>
      <c r="B419" s="212"/>
      <c r="C419" s="323" t="s">
        <v>117</v>
      </c>
      <c r="D419" s="300" t="s">
        <v>117</v>
      </c>
      <c r="E419" s="300" t="s">
        <v>97</v>
      </c>
      <c r="F419" s="324" t="s">
        <v>120</v>
      </c>
      <c r="G419" s="141">
        <v>415.2</v>
      </c>
      <c r="H419" s="12"/>
      <c r="I419" s="12">
        <f>SUM(H419/G426*100)</f>
        <v>0</v>
      </c>
      <c r="J419" s="72">
        <f>SUM('[3]ведомствен.2014'!G738)</f>
        <v>415.2</v>
      </c>
    </row>
    <row r="420" spans="1:10" s="23" customFormat="1" ht="28.5">
      <c r="A420" s="231" t="s">
        <v>524</v>
      </c>
      <c r="B420" s="212"/>
      <c r="C420" s="323" t="s">
        <v>117</v>
      </c>
      <c r="D420" s="300" t="s">
        <v>117</v>
      </c>
      <c r="E420" s="300" t="s">
        <v>97</v>
      </c>
      <c r="F420" s="324" t="s">
        <v>513</v>
      </c>
      <c r="G420" s="141">
        <v>378.9</v>
      </c>
      <c r="H420" s="12"/>
      <c r="I420" s="12"/>
      <c r="J420" s="72">
        <f>SUM('[3]ведомствен.2014'!G869+'[3]ведомствен.2014'!G789+'[3]ведомствен.2014'!G739+'[3]ведомствен.2014'!G568)</f>
        <v>378.9</v>
      </c>
    </row>
    <row r="421" spans="1:12" s="23" customFormat="1" ht="15">
      <c r="A421" s="231" t="s">
        <v>231</v>
      </c>
      <c r="B421" s="210"/>
      <c r="C421" s="323" t="s">
        <v>117</v>
      </c>
      <c r="D421" s="300" t="s">
        <v>300</v>
      </c>
      <c r="E421" s="300"/>
      <c r="F421" s="324"/>
      <c r="G421" s="140">
        <f>G422+G430+G427</f>
        <v>66735.6</v>
      </c>
      <c r="H421" s="12">
        <f>SUM(H422)</f>
        <v>5014</v>
      </c>
      <c r="I421" s="12">
        <f>SUM(H421/G430*100)</f>
        <v>15.743136319107784</v>
      </c>
      <c r="K421" s="72">
        <f>SUM(J424:J437)</f>
        <v>66735.6</v>
      </c>
      <c r="L421" s="23">
        <f>SUM('[3]ведомствен.2014'!G297+'[3]ведомствен.2014'!G421+'[3]ведомствен.2014'!G740)</f>
        <v>66735.6</v>
      </c>
    </row>
    <row r="422" spans="1:9" s="23" customFormat="1" ht="57">
      <c r="A422" s="243" t="s">
        <v>291</v>
      </c>
      <c r="B422" s="210"/>
      <c r="C422" s="323" t="s">
        <v>117</v>
      </c>
      <c r="D422" s="300" t="s">
        <v>300</v>
      </c>
      <c r="E422" s="300" t="s">
        <v>292</v>
      </c>
      <c r="F422" s="324"/>
      <c r="G422" s="140">
        <f>SUM(G423)</f>
        <v>34879.8</v>
      </c>
      <c r="H422" s="12">
        <v>5014</v>
      </c>
      <c r="I422" s="12">
        <f>SUM(H422/G435*100)</f>
        <v>15.80765981058552</v>
      </c>
    </row>
    <row r="423" spans="1:10" ht="28.5">
      <c r="A423" s="231" t="s">
        <v>56</v>
      </c>
      <c r="B423" s="210"/>
      <c r="C423" s="323" t="s">
        <v>117</v>
      </c>
      <c r="D423" s="300" t="s">
        <v>300</v>
      </c>
      <c r="E423" s="300" t="s">
        <v>293</v>
      </c>
      <c r="F423" s="324"/>
      <c r="G423" s="140">
        <f>SUM(G424+G425+G426)</f>
        <v>34879.8</v>
      </c>
      <c r="H423" s="12">
        <f>SUM(H424)</f>
        <v>0</v>
      </c>
      <c r="I423" s="12">
        <f>SUM(H423/G436*100)</f>
        <v>0</v>
      </c>
      <c r="J423"/>
    </row>
    <row r="424" spans="1:10" s="23" customFormat="1" ht="42.75">
      <c r="A424" s="231" t="s">
        <v>495</v>
      </c>
      <c r="B424" s="210"/>
      <c r="C424" s="323" t="s">
        <v>117</v>
      </c>
      <c r="D424" s="300" t="s">
        <v>300</v>
      </c>
      <c r="E424" s="300" t="s">
        <v>293</v>
      </c>
      <c r="F424" s="324" t="s">
        <v>496</v>
      </c>
      <c r="G424" s="140">
        <v>31386.6</v>
      </c>
      <c r="H424" s="12"/>
      <c r="I424" s="12" t="e">
        <f>SUM(H424/#REF!*100)</f>
        <v>#REF!</v>
      </c>
      <c r="J424" s="72">
        <f>SUM('[3]ведомствен.2014'!G743)</f>
        <v>31386.6</v>
      </c>
    </row>
    <row r="425" spans="1:10" ht="15">
      <c r="A425" s="231" t="s">
        <v>500</v>
      </c>
      <c r="B425" s="212"/>
      <c r="C425" s="323" t="s">
        <v>117</v>
      </c>
      <c r="D425" s="300" t="s">
        <v>300</v>
      </c>
      <c r="E425" s="300" t="s">
        <v>293</v>
      </c>
      <c r="F425" s="324" t="s">
        <v>120</v>
      </c>
      <c r="G425" s="140">
        <v>3084.9</v>
      </c>
      <c r="H425" s="12">
        <f>SUM(H426)</f>
        <v>0</v>
      </c>
      <c r="I425" s="12" t="e">
        <f>SUM(H425/#REF!*100)</f>
        <v>#REF!</v>
      </c>
      <c r="J425" s="72">
        <f>SUM('[3]ведомствен.2014'!G744)</f>
        <v>3084.9</v>
      </c>
    </row>
    <row r="426" spans="1:10" ht="15">
      <c r="A426" s="231" t="s">
        <v>501</v>
      </c>
      <c r="B426" s="210"/>
      <c r="C426" s="323" t="s">
        <v>117</v>
      </c>
      <c r="D426" s="300" t="s">
        <v>300</v>
      </c>
      <c r="E426" s="300" t="s">
        <v>293</v>
      </c>
      <c r="F426" s="324" t="s">
        <v>176</v>
      </c>
      <c r="G426" s="140">
        <v>408.3</v>
      </c>
      <c r="H426" s="12"/>
      <c r="I426" s="12" t="e">
        <f>SUM(H426/#REF!*100)</f>
        <v>#REF!</v>
      </c>
      <c r="J426" s="72">
        <f>SUM('[3]ведомствен.2014'!G745)</f>
        <v>408.3</v>
      </c>
    </row>
    <row r="427" spans="1:10" ht="15">
      <c r="A427" s="231" t="s">
        <v>681</v>
      </c>
      <c r="B427" s="218"/>
      <c r="C427" s="280" t="s">
        <v>117</v>
      </c>
      <c r="D427" s="280" t="s">
        <v>300</v>
      </c>
      <c r="E427" s="280" t="s">
        <v>683</v>
      </c>
      <c r="F427" s="278"/>
      <c r="G427" s="137">
        <f>SUM(G428)</f>
        <v>7</v>
      </c>
      <c r="H427" s="12"/>
      <c r="I427" s="12"/>
      <c r="J427" s="72"/>
    </row>
    <row r="428" spans="1:10" ht="28.5">
      <c r="A428" s="231" t="s">
        <v>682</v>
      </c>
      <c r="B428" s="218"/>
      <c r="C428" s="280" t="s">
        <v>117</v>
      </c>
      <c r="D428" s="280" t="s">
        <v>300</v>
      </c>
      <c r="E428" s="280" t="s">
        <v>684</v>
      </c>
      <c r="F428" s="278"/>
      <c r="G428" s="137">
        <f>SUM(G429)</f>
        <v>7</v>
      </c>
      <c r="H428" s="12"/>
      <c r="I428" s="12"/>
      <c r="J428" s="72"/>
    </row>
    <row r="429" spans="1:10" ht="42.75">
      <c r="A429" s="225" t="s">
        <v>495</v>
      </c>
      <c r="B429" s="218"/>
      <c r="C429" s="280" t="s">
        <v>117</v>
      </c>
      <c r="D429" s="280" t="s">
        <v>300</v>
      </c>
      <c r="E429" s="280" t="s">
        <v>684</v>
      </c>
      <c r="F429" s="278" t="s">
        <v>496</v>
      </c>
      <c r="G429" s="137">
        <v>7</v>
      </c>
      <c r="H429" s="12"/>
      <c r="I429" s="12"/>
      <c r="J429" s="72">
        <f>SUM('[3]ведомствен.2014'!G424)</f>
        <v>7</v>
      </c>
    </row>
    <row r="430" spans="1:10" ht="15">
      <c r="A430" s="226" t="s">
        <v>551</v>
      </c>
      <c r="B430" s="193"/>
      <c r="C430" s="290" t="s">
        <v>117</v>
      </c>
      <c r="D430" s="291" t="s">
        <v>300</v>
      </c>
      <c r="E430" s="280" t="s">
        <v>129</v>
      </c>
      <c r="F430" s="292"/>
      <c r="G430" s="612">
        <f>SUM(G435)+G433+G431</f>
        <v>31848.8</v>
      </c>
      <c r="H430" s="12">
        <f>SUM(H435)</f>
        <v>454</v>
      </c>
      <c r="I430" s="12" t="e">
        <f>SUM(H430/#REF!*100)</f>
        <v>#REF!</v>
      </c>
      <c r="J430"/>
    </row>
    <row r="431" spans="1:9" s="86" customFormat="1" ht="28.5">
      <c r="A431" s="114" t="s">
        <v>725</v>
      </c>
      <c r="B431" s="328"/>
      <c r="C431" s="300" t="s">
        <v>117</v>
      </c>
      <c r="D431" s="300" t="s">
        <v>300</v>
      </c>
      <c r="E431" s="300" t="s">
        <v>726</v>
      </c>
      <c r="F431" s="324"/>
      <c r="G431" s="261">
        <f>SUM(G432)</f>
        <v>30</v>
      </c>
      <c r="H431" s="20"/>
      <c r="I431" s="20"/>
    </row>
    <row r="432" spans="1:10" s="86" customFormat="1" ht="15">
      <c r="A432" s="114" t="s">
        <v>500</v>
      </c>
      <c r="B432" s="328"/>
      <c r="C432" s="300" t="s">
        <v>117</v>
      </c>
      <c r="D432" s="300" t="s">
        <v>300</v>
      </c>
      <c r="E432" s="300" t="s">
        <v>726</v>
      </c>
      <c r="F432" s="324" t="s">
        <v>120</v>
      </c>
      <c r="G432" s="261">
        <v>30</v>
      </c>
      <c r="H432" s="20"/>
      <c r="I432" s="20"/>
      <c r="J432" s="86">
        <f>SUM('[3]ведомствен.2014'!G748)</f>
        <v>30</v>
      </c>
    </row>
    <row r="433" spans="1:10" ht="28.5">
      <c r="A433" s="114" t="s">
        <v>728</v>
      </c>
      <c r="B433" s="71"/>
      <c r="C433" s="300" t="s">
        <v>117</v>
      </c>
      <c r="D433" s="300" t="s">
        <v>300</v>
      </c>
      <c r="E433" s="300" t="s">
        <v>729</v>
      </c>
      <c r="F433" s="324"/>
      <c r="G433" s="261">
        <f>SUM(G434)</f>
        <v>100</v>
      </c>
      <c r="H433" s="12"/>
      <c r="I433" s="12"/>
      <c r="J433"/>
    </row>
    <row r="434" spans="1:10" ht="15">
      <c r="A434" s="114" t="s">
        <v>500</v>
      </c>
      <c r="B434" s="71"/>
      <c r="C434" s="300" t="s">
        <v>117</v>
      </c>
      <c r="D434" s="300" t="s">
        <v>300</v>
      </c>
      <c r="E434" s="300" t="s">
        <v>729</v>
      </c>
      <c r="F434" s="324" t="s">
        <v>120</v>
      </c>
      <c r="G434" s="261">
        <v>100</v>
      </c>
      <c r="H434" s="12"/>
      <c r="I434" s="12"/>
      <c r="J434">
        <f>SUM('[3]ведомствен.2014'!G750)</f>
        <v>100</v>
      </c>
    </row>
    <row r="435" spans="1:9" s="23" customFormat="1" ht="28.5">
      <c r="A435" s="232" t="s">
        <v>671</v>
      </c>
      <c r="B435" s="193"/>
      <c r="C435" s="290" t="s">
        <v>117</v>
      </c>
      <c r="D435" s="291" t="s">
        <v>300</v>
      </c>
      <c r="E435" s="291" t="s">
        <v>54</v>
      </c>
      <c r="F435" s="292"/>
      <c r="G435" s="612">
        <f>SUM(G436:G437)</f>
        <v>31718.8</v>
      </c>
      <c r="H435" s="12">
        <v>454</v>
      </c>
      <c r="I435" s="12" t="e">
        <f>SUM(H435/#REF!*100)</f>
        <v>#REF!</v>
      </c>
    </row>
    <row r="436" spans="1:10" ht="28.5">
      <c r="A436" s="226" t="s">
        <v>566</v>
      </c>
      <c r="B436" s="193"/>
      <c r="C436" s="290" t="s">
        <v>117</v>
      </c>
      <c r="D436" s="291" t="s">
        <v>300</v>
      </c>
      <c r="E436" s="291" t="s">
        <v>563</v>
      </c>
      <c r="F436" s="292" t="s">
        <v>560</v>
      </c>
      <c r="G436" s="612">
        <v>31696.3</v>
      </c>
      <c r="H436" s="12"/>
      <c r="I436" s="12" t="e">
        <f>SUM(H436/#REF!*100)</f>
        <v>#REF!</v>
      </c>
      <c r="J436">
        <f>SUM('[3]ведомствен.2014'!G300)</f>
        <v>31696.3</v>
      </c>
    </row>
    <row r="437" spans="1:10" ht="28.5">
      <c r="A437" s="113" t="s">
        <v>524</v>
      </c>
      <c r="B437" s="290"/>
      <c r="C437" s="291" t="s">
        <v>117</v>
      </c>
      <c r="D437" s="291" t="s">
        <v>300</v>
      </c>
      <c r="E437" s="291" t="s">
        <v>563</v>
      </c>
      <c r="F437" s="292" t="s">
        <v>513</v>
      </c>
      <c r="G437" s="615">
        <v>22.5</v>
      </c>
      <c r="H437" s="12"/>
      <c r="I437" s="12"/>
      <c r="J437">
        <f>SUM('[3]ведомствен.2014'!G301)</f>
        <v>22.5</v>
      </c>
    </row>
    <row r="438" spans="1:12" ht="15">
      <c r="A438" s="229" t="s">
        <v>328</v>
      </c>
      <c r="B438" s="194"/>
      <c r="C438" s="279" t="s">
        <v>124</v>
      </c>
      <c r="D438" s="325"/>
      <c r="E438" s="325"/>
      <c r="F438" s="326"/>
      <c r="G438" s="142">
        <f>SUM(G439+G492)</f>
        <v>117311.3</v>
      </c>
      <c r="H438" s="12">
        <f>SUM(H454:H455)</f>
        <v>14679.5</v>
      </c>
      <c r="I438" s="12" t="e">
        <f>SUM(H438/G452*100)</f>
        <v>#DIV/0!</v>
      </c>
      <c r="J438"/>
      <c r="K438">
        <f>SUM(J439:J513)</f>
        <v>117311.29999999999</v>
      </c>
      <c r="L438">
        <f>SUM('[3]ведомствен.2014'!G790)</f>
        <v>117311.3</v>
      </c>
    </row>
    <row r="439" spans="1:10" ht="15">
      <c r="A439" s="225" t="s">
        <v>367</v>
      </c>
      <c r="B439" s="190"/>
      <c r="C439" s="284" t="s">
        <v>124</v>
      </c>
      <c r="D439" s="280" t="s">
        <v>460</v>
      </c>
      <c r="E439" s="280"/>
      <c r="F439" s="277"/>
      <c r="G439" s="137">
        <f>SUM(G440+G466+G477)</f>
        <v>109166</v>
      </c>
      <c r="H439" s="12"/>
      <c r="I439" s="12"/>
      <c r="J439"/>
    </row>
    <row r="440" spans="1:10" ht="28.5">
      <c r="A440" s="226" t="s">
        <v>599</v>
      </c>
      <c r="B440" s="190"/>
      <c r="C440" s="284" t="s">
        <v>124</v>
      </c>
      <c r="D440" s="280" t="s">
        <v>460</v>
      </c>
      <c r="E440" s="280" t="s">
        <v>136</v>
      </c>
      <c r="F440" s="277"/>
      <c r="G440" s="137">
        <f>SUM(G441+G447)</f>
        <v>61634.9</v>
      </c>
      <c r="H440" s="12"/>
      <c r="I440" s="12"/>
      <c r="J440"/>
    </row>
    <row r="441" spans="1:10" ht="28.5">
      <c r="A441" s="225" t="s">
        <v>15</v>
      </c>
      <c r="B441" s="194"/>
      <c r="C441" s="284" t="s">
        <v>124</v>
      </c>
      <c r="D441" s="280" t="s">
        <v>460</v>
      </c>
      <c r="E441" s="280" t="s">
        <v>204</v>
      </c>
      <c r="F441" s="277"/>
      <c r="G441" s="137">
        <f>SUM(G442)+G444</f>
        <v>38342.5</v>
      </c>
      <c r="H441" s="12"/>
      <c r="I441" s="12"/>
      <c r="J441"/>
    </row>
    <row r="442" spans="1:10" ht="28.5">
      <c r="A442" s="225" t="s">
        <v>94</v>
      </c>
      <c r="B442" s="194"/>
      <c r="C442" s="284" t="s">
        <v>124</v>
      </c>
      <c r="D442" s="280" t="s">
        <v>460</v>
      </c>
      <c r="E442" s="280" t="s">
        <v>206</v>
      </c>
      <c r="F442" s="277"/>
      <c r="G442" s="137">
        <f>SUM(G443)</f>
        <v>38299.5</v>
      </c>
      <c r="H442" s="12"/>
      <c r="I442" s="12"/>
      <c r="J442"/>
    </row>
    <row r="443" spans="1:10" ht="28.5">
      <c r="A443" s="231" t="s">
        <v>517</v>
      </c>
      <c r="B443" s="209"/>
      <c r="C443" s="284" t="s">
        <v>124</v>
      </c>
      <c r="D443" s="280" t="s">
        <v>460</v>
      </c>
      <c r="E443" s="280" t="s">
        <v>206</v>
      </c>
      <c r="F443" s="278" t="s">
        <v>513</v>
      </c>
      <c r="G443" s="137">
        <v>38299.5</v>
      </c>
      <c r="H443" s="12"/>
      <c r="I443" s="12"/>
      <c r="J443">
        <f>SUM('[3]ведомствен.2014'!G795)</f>
        <v>38299.5</v>
      </c>
    </row>
    <row r="444" spans="1:10" ht="28.5">
      <c r="A444" s="225" t="s">
        <v>157</v>
      </c>
      <c r="B444" s="211"/>
      <c r="C444" s="280" t="s">
        <v>124</v>
      </c>
      <c r="D444" s="280" t="s">
        <v>460</v>
      </c>
      <c r="E444" s="280" t="s">
        <v>415</v>
      </c>
      <c r="F444" s="278"/>
      <c r="G444" s="137">
        <f>SUM(G445)</f>
        <v>43</v>
      </c>
      <c r="H444" s="12"/>
      <c r="I444" s="12"/>
      <c r="J444"/>
    </row>
    <row r="445" spans="1:10" ht="28.5">
      <c r="A445" s="231" t="s">
        <v>144</v>
      </c>
      <c r="B445" s="211"/>
      <c r="C445" s="280" t="s">
        <v>124</v>
      </c>
      <c r="D445" s="280" t="s">
        <v>460</v>
      </c>
      <c r="E445" s="280" t="s">
        <v>416</v>
      </c>
      <c r="F445" s="278"/>
      <c r="G445" s="137">
        <f>SUM(G446)</f>
        <v>43</v>
      </c>
      <c r="H445" s="12"/>
      <c r="I445" s="12"/>
      <c r="J445"/>
    </row>
    <row r="446" spans="1:10" ht="28.5">
      <c r="A446" s="231" t="s">
        <v>517</v>
      </c>
      <c r="B446" s="211"/>
      <c r="C446" s="280" t="s">
        <v>124</v>
      </c>
      <c r="D446" s="280" t="s">
        <v>460</v>
      </c>
      <c r="E446" s="280" t="s">
        <v>416</v>
      </c>
      <c r="F446" s="278" t="s">
        <v>513</v>
      </c>
      <c r="G446" s="137">
        <v>43</v>
      </c>
      <c r="H446" s="12"/>
      <c r="I446" s="12"/>
      <c r="J446">
        <f>SUM('[3]ведомствен.2014'!G798)</f>
        <v>43</v>
      </c>
    </row>
    <row r="447" spans="1:10" ht="28.5">
      <c r="A447" s="225" t="s">
        <v>56</v>
      </c>
      <c r="B447" s="209"/>
      <c r="C447" s="284" t="s">
        <v>124</v>
      </c>
      <c r="D447" s="280" t="s">
        <v>460</v>
      </c>
      <c r="E447" s="280" t="s">
        <v>137</v>
      </c>
      <c r="F447" s="278"/>
      <c r="G447" s="137">
        <f>SUM(G448:G450)</f>
        <v>23292.4</v>
      </c>
      <c r="H447" s="12"/>
      <c r="I447" s="12"/>
      <c r="J447"/>
    </row>
    <row r="448" spans="1:10" ht="42.75">
      <c r="A448" s="225" t="s">
        <v>495</v>
      </c>
      <c r="B448" s="190"/>
      <c r="C448" s="284" t="s">
        <v>124</v>
      </c>
      <c r="D448" s="280" t="s">
        <v>460</v>
      </c>
      <c r="E448" s="280" t="s">
        <v>137</v>
      </c>
      <c r="F448" s="276" t="s">
        <v>496</v>
      </c>
      <c r="G448" s="137">
        <v>17343.9</v>
      </c>
      <c r="H448" s="12"/>
      <c r="I448" s="12"/>
      <c r="J448">
        <f>SUM('[3]ведомствен.2014'!G800)</f>
        <v>17343.9</v>
      </c>
    </row>
    <row r="449" spans="1:10" ht="15">
      <c r="A449" s="225" t="s">
        <v>500</v>
      </c>
      <c r="B449" s="190"/>
      <c r="C449" s="284" t="s">
        <v>124</v>
      </c>
      <c r="D449" s="280" t="s">
        <v>460</v>
      </c>
      <c r="E449" s="280" t="s">
        <v>137</v>
      </c>
      <c r="F449" s="276" t="s">
        <v>120</v>
      </c>
      <c r="G449" s="138">
        <v>5564.4</v>
      </c>
      <c r="H449" s="12"/>
      <c r="I449" s="12"/>
      <c r="J449">
        <f>SUM('[3]ведомствен.2014'!G801)</f>
        <v>5564.4</v>
      </c>
    </row>
    <row r="450" spans="1:10" ht="15">
      <c r="A450" s="225" t="s">
        <v>501</v>
      </c>
      <c r="B450" s="190"/>
      <c r="C450" s="284" t="s">
        <v>124</v>
      </c>
      <c r="D450" s="280" t="s">
        <v>460</v>
      </c>
      <c r="E450" s="280" t="s">
        <v>137</v>
      </c>
      <c r="F450" s="277" t="s">
        <v>176</v>
      </c>
      <c r="G450" s="137">
        <v>384.1</v>
      </c>
      <c r="H450" s="12"/>
      <c r="I450" s="12"/>
      <c r="J450">
        <f>SUM('[3]ведомствен.2014'!G802)</f>
        <v>384.1</v>
      </c>
    </row>
    <row r="451" spans="1:9" ht="28.5" hidden="1">
      <c r="A451" s="225" t="s">
        <v>95</v>
      </c>
      <c r="B451" s="194"/>
      <c r="C451" s="284" t="s">
        <v>124</v>
      </c>
      <c r="D451" s="280" t="s">
        <v>460</v>
      </c>
      <c r="E451" s="280" t="s">
        <v>204</v>
      </c>
      <c r="F451" s="277"/>
      <c r="G451" s="137">
        <f>SUM(G452+G454)</f>
        <v>0</v>
      </c>
      <c r="H451" s="12"/>
      <c r="I451" s="12"/>
    </row>
    <row r="452" spans="1:10" ht="28.5" hidden="1">
      <c r="A452" s="225" t="s">
        <v>205</v>
      </c>
      <c r="B452" s="194"/>
      <c r="C452" s="284" t="s">
        <v>124</v>
      </c>
      <c r="D452" s="280" t="s">
        <v>460</v>
      </c>
      <c r="E452" s="280" t="s">
        <v>206</v>
      </c>
      <c r="F452" s="277"/>
      <c r="G452" s="137">
        <f>SUM(G453)</f>
        <v>0</v>
      </c>
      <c r="H452" s="12"/>
      <c r="I452" s="12"/>
      <c r="J452"/>
    </row>
    <row r="453" spans="1:10" ht="42.75" hidden="1">
      <c r="A453" s="231" t="s">
        <v>156</v>
      </c>
      <c r="B453" s="209"/>
      <c r="C453" s="284" t="s">
        <v>124</v>
      </c>
      <c r="D453" s="280" t="s">
        <v>460</v>
      </c>
      <c r="E453" s="280" t="s">
        <v>206</v>
      </c>
      <c r="F453" s="278" t="s">
        <v>58</v>
      </c>
      <c r="G453" s="137"/>
      <c r="H453" s="12"/>
      <c r="I453" s="12"/>
      <c r="J453"/>
    </row>
    <row r="454" spans="1:9" ht="28.5" hidden="1">
      <c r="A454" s="225" t="s">
        <v>157</v>
      </c>
      <c r="B454" s="190"/>
      <c r="C454" s="284" t="s">
        <v>124</v>
      </c>
      <c r="D454" s="280" t="s">
        <v>460</v>
      </c>
      <c r="E454" s="275" t="s">
        <v>415</v>
      </c>
      <c r="F454" s="278"/>
      <c r="G454" s="137">
        <f>SUM(G457+G459)+G455</f>
        <v>0</v>
      </c>
      <c r="H454" s="12">
        <v>14679.5</v>
      </c>
      <c r="I454" s="12" t="e">
        <f>SUM(H454/G460*100)</f>
        <v>#DIV/0!</v>
      </c>
    </row>
    <row r="455" spans="1:9" ht="28.5" hidden="1">
      <c r="A455" s="225" t="s">
        <v>463</v>
      </c>
      <c r="B455" s="190"/>
      <c r="C455" s="284" t="s">
        <v>124</v>
      </c>
      <c r="D455" s="280" t="s">
        <v>460</v>
      </c>
      <c r="E455" s="275" t="s">
        <v>416</v>
      </c>
      <c r="F455" s="278"/>
      <c r="G455" s="137">
        <f>SUM(G456)</f>
        <v>0</v>
      </c>
      <c r="H455" s="12"/>
      <c r="I455" s="12" t="e">
        <f>SUM(H455/G461*100)</f>
        <v>#DIV/0!</v>
      </c>
    </row>
    <row r="456" spans="1:10" ht="28.5" hidden="1">
      <c r="A456" s="225" t="s">
        <v>157</v>
      </c>
      <c r="B456" s="190"/>
      <c r="C456" s="284" t="s">
        <v>124</v>
      </c>
      <c r="D456" s="280" t="s">
        <v>460</v>
      </c>
      <c r="E456" s="275" t="s">
        <v>416</v>
      </c>
      <c r="F456" s="278" t="s">
        <v>83</v>
      </c>
      <c r="G456" s="137"/>
      <c r="H456" s="12">
        <f>SUM(H457)</f>
        <v>2102.5</v>
      </c>
      <c r="I456" s="12" t="e">
        <f>SUM(H456/G462*100)</f>
        <v>#DIV/0!</v>
      </c>
      <c r="J456"/>
    </row>
    <row r="457" spans="1:10" ht="28.5" hidden="1">
      <c r="A457" s="231" t="s">
        <v>414</v>
      </c>
      <c r="B457" s="209"/>
      <c r="C457" s="284" t="s">
        <v>124</v>
      </c>
      <c r="D457" s="280" t="s">
        <v>460</v>
      </c>
      <c r="E457" s="280" t="s">
        <v>413</v>
      </c>
      <c r="F457" s="278"/>
      <c r="G457" s="137">
        <f>SUM(G458)</f>
        <v>0</v>
      </c>
      <c r="H457" s="12">
        <f>SUM(H459)+H466</f>
        <v>2102.5</v>
      </c>
      <c r="I457" s="12" t="e">
        <f>SUM(H457/G463*100)</f>
        <v>#DIV/0!</v>
      </c>
      <c r="J457"/>
    </row>
    <row r="458" spans="1:10" ht="28.5" hidden="1">
      <c r="A458" s="231" t="s">
        <v>143</v>
      </c>
      <c r="B458" s="209"/>
      <c r="C458" s="284" t="s">
        <v>124</v>
      </c>
      <c r="D458" s="280" t="s">
        <v>460</v>
      </c>
      <c r="E458" s="280" t="s">
        <v>413</v>
      </c>
      <c r="F458" s="278" t="s">
        <v>83</v>
      </c>
      <c r="G458" s="137"/>
      <c r="H458" s="12"/>
      <c r="I458" s="12"/>
      <c r="J458"/>
    </row>
    <row r="459" spans="1:9" ht="28.5" hidden="1">
      <c r="A459" s="231" t="s">
        <v>154</v>
      </c>
      <c r="B459" s="209"/>
      <c r="C459" s="284" t="s">
        <v>124</v>
      </c>
      <c r="D459" s="280" t="s">
        <v>460</v>
      </c>
      <c r="E459" s="280" t="s">
        <v>216</v>
      </c>
      <c r="F459" s="278"/>
      <c r="G459" s="137">
        <f>SUM(G460)</f>
        <v>0</v>
      </c>
      <c r="H459" s="12">
        <v>2102.5</v>
      </c>
      <c r="I459" s="12" t="e">
        <f>SUM(H459/G465*100)</f>
        <v>#DIV/0!</v>
      </c>
    </row>
    <row r="460" spans="1:9" ht="28.5" hidden="1">
      <c r="A460" s="231" t="s">
        <v>143</v>
      </c>
      <c r="B460" s="209"/>
      <c r="C460" s="284" t="s">
        <v>124</v>
      </c>
      <c r="D460" s="280" t="s">
        <v>460</v>
      </c>
      <c r="E460" s="280" t="s">
        <v>216</v>
      </c>
      <c r="F460" s="278" t="s">
        <v>83</v>
      </c>
      <c r="G460" s="137"/>
      <c r="H460" s="12"/>
      <c r="I460" s="12"/>
    </row>
    <row r="461" spans="1:9" ht="28.5" hidden="1">
      <c r="A461" s="225" t="s">
        <v>56</v>
      </c>
      <c r="B461" s="191"/>
      <c r="C461" s="284" t="s">
        <v>124</v>
      </c>
      <c r="D461" s="280" t="s">
        <v>460</v>
      </c>
      <c r="E461" s="280" t="s">
        <v>137</v>
      </c>
      <c r="F461" s="277"/>
      <c r="G461" s="137">
        <f>SUM(G462:G464)</f>
        <v>0</v>
      </c>
      <c r="H461" s="12"/>
      <c r="I461" s="12"/>
    </row>
    <row r="462" spans="1:9" ht="15" hidden="1">
      <c r="A462" s="231" t="s">
        <v>57</v>
      </c>
      <c r="B462" s="191"/>
      <c r="C462" s="284" t="s">
        <v>124</v>
      </c>
      <c r="D462" s="280" t="s">
        <v>460</v>
      </c>
      <c r="E462" s="280" t="s">
        <v>137</v>
      </c>
      <c r="F462" s="277" t="s">
        <v>247</v>
      </c>
      <c r="G462" s="137"/>
      <c r="H462" s="12"/>
      <c r="I462" s="12"/>
    </row>
    <row r="463" spans="1:9" ht="42.75" hidden="1">
      <c r="A463" s="231" t="s">
        <v>370</v>
      </c>
      <c r="B463" s="209"/>
      <c r="C463" s="284" t="s">
        <v>124</v>
      </c>
      <c r="D463" s="280" t="s">
        <v>460</v>
      </c>
      <c r="E463" s="280" t="s">
        <v>137</v>
      </c>
      <c r="F463" s="278" t="s">
        <v>371</v>
      </c>
      <c r="G463" s="137"/>
      <c r="H463" s="12"/>
      <c r="I463" s="12"/>
    </row>
    <row r="464" spans="1:9" ht="57" hidden="1">
      <c r="A464" s="225" t="s">
        <v>258</v>
      </c>
      <c r="B464" s="190"/>
      <c r="C464" s="284" t="s">
        <v>124</v>
      </c>
      <c r="D464" s="280" t="s">
        <v>460</v>
      </c>
      <c r="E464" s="280" t="s">
        <v>372</v>
      </c>
      <c r="F464" s="278"/>
      <c r="G464" s="137">
        <f>SUM(G465)</f>
        <v>0</v>
      </c>
      <c r="H464" s="12"/>
      <c r="I464" s="12"/>
    </row>
    <row r="465" spans="1:9" ht="15" hidden="1">
      <c r="A465" s="231" t="s">
        <v>246</v>
      </c>
      <c r="B465" s="209"/>
      <c r="C465" s="284" t="s">
        <v>124</v>
      </c>
      <c r="D465" s="280" t="s">
        <v>460</v>
      </c>
      <c r="E465" s="280" t="s">
        <v>372</v>
      </c>
      <c r="F465" s="278" t="s">
        <v>247</v>
      </c>
      <c r="G465" s="137"/>
      <c r="H465" s="12">
        <v>14679.5</v>
      </c>
      <c r="I465" s="12" t="e">
        <f aca="true" t="shared" si="4" ref="I465:I483">SUM(H465/G471*100)</f>
        <v>#DIV/0!</v>
      </c>
    </row>
    <row r="466" spans="1:9" ht="15">
      <c r="A466" s="225" t="s">
        <v>373</v>
      </c>
      <c r="B466" s="190"/>
      <c r="C466" s="284" t="s">
        <v>124</v>
      </c>
      <c r="D466" s="280" t="s">
        <v>460</v>
      </c>
      <c r="E466" s="280" t="s">
        <v>374</v>
      </c>
      <c r="F466" s="277"/>
      <c r="G466" s="137">
        <f>SUM(G467)</f>
        <v>7709.9</v>
      </c>
      <c r="H466" s="12"/>
      <c r="I466" s="12" t="e">
        <f t="shared" si="4"/>
        <v>#DIV/0!</v>
      </c>
    </row>
    <row r="467" spans="1:10" ht="28.5">
      <c r="A467" s="225" t="s">
        <v>95</v>
      </c>
      <c r="B467" s="194"/>
      <c r="C467" s="284" t="s">
        <v>124</v>
      </c>
      <c r="D467" s="280" t="s">
        <v>460</v>
      </c>
      <c r="E467" s="280" t="s">
        <v>81</v>
      </c>
      <c r="F467" s="277"/>
      <c r="G467" s="137">
        <f>SUM(G468)+G470</f>
        <v>7709.9</v>
      </c>
      <c r="H467" s="12"/>
      <c r="I467" s="12" t="e">
        <f t="shared" si="4"/>
        <v>#DIV/0!</v>
      </c>
      <c r="J467"/>
    </row>
    <row r="468" spans="1:10" ht="28.5">
      <c r="A468" s="225" t="s">
        <v>205</v>
      </c>
      <c r="B468" s="194"/>
      <c r="C468" s="284" t="s">
        <v>124</v>
      </c>
      <c r="D468" s="280" t="s">
        <v>460</v>
      </c>
      <c r="E468" s="280" t="s">
        <v>82</v>
      </c>
      <c r="F468" s="277"/>
      <c r="G468" s="137">
        <f>SUM(G469)</f>
        <v>7629.9</v>
      </c>
      <c r="H468" s="12">
        <f>SUM(H469)</f>
        <v>10268.9</v>
      </c>
      <c r="I468" s="12" t="e">
        <f t="shared" si="4"/>
        <v>#DIV/0!</v>
      </c>
      <c r="J468"/>
    </row>
    <row r="469" spans="1:10" ht="28.5">
      <c r="A469" s="231" t="s">
        <v>517</v>
      </c>
      <c r="B469" s="209"/>
      <c r="C469" s="284" t="s">
        <v>124</v>
      </c>
      <c r="D469" s="280" t="s">
        <v>460</v>
      </c>
      <c r="E469" s="280" t="s">
        <v>82</v>
      </c>
      <c r="F469" s="278" t="s">
        <v>513</v>
      </c>
      <c r="G469" s="137">
        <v>7629.9</v>
      </c>
      <c r="H469" s="12">
        <f>SUM(H470+H472+H474)</f>
        <v>10268.9</v>
      </c>
      <c r="I469" s="12">
        <f aca="true" t="shared" si="5" ref="I469:I474">SUM(H469/G477*100)</f>
        <v>25.78752021536267</v>
      </c>
      <c r="J469">
        <f>SUM('[3]ведомствен.2014'!G821)</f>
        <v>7629.9</v>
      </c>
    </row>
    <row r="470" spans="1:9" ht="28.5">
      <c r="A470" s="225" t="s">
        <v>157</v>
      </c>
      <c r="B470" s="209"/>
      <c r="C470" s="284" t="s">
        <v>124</v>
      </c>
      <c r="D470" s="280" t="s">
        <v>460</v>
      </c>
      <c r="E470" s="280" t="s">
        <v>217</v>
      </c>
      <c r="F470" s="278"/>
      <c r="G470" s="137">
        <f>SUM(G475)+G471</f>
        <v>80</v>
      </c>
      <c r="H470" s="12">
        <v>8963.8</v>
      </c>
      <c r="I470" s="12">
        <f t="shared" si="5"/>
        <v>22.510120237461447</v>
      </c>
    </row>
    <row r="471" spans="1:10" ht="28.5" hidden="1">
      <c r="A471" s="231" t="s">
        <v>144</v>
      </c>
      <c r="B471" s="209"/>
      <c r="C471" s="284" t="s">
        <v>124</v>
      </c>
      <c r="D471" s="280" t="s">
        <v>460</v>
      </c>
      <c r="E471" s="280" t="s">
        <v>465</v>
      </c>
      <c r="F471" s="278"/>
      <c r="G471" s="137">
        <f>SUM(G472)</f>
        <v>0</v>
      </c>
      <c r="H471" s="12"/>
      <c r="I471" s="12">
        <f t="shared" si="5"/>
        <v>0</v>
      </c>
      <c r="J471"/>
    </row>
    <row r="472" spans="1:10" ht="28.5" hidden="1">
      <c r="A472" s="231" t="s">
        <v>517</v>
      </c>
      <c r="B472" s="209"/>
      <c r="C472" s="284" t="s">
        <v>124</v>
      </c>
      <c r="D472" s="280" t="s">
        <v>460</v>
      </c>
      <c r="E472" s="280" t="s">
        <v>465</v>
      </c>
      <c r="F472" s="278" t="s">
        <v>513</v>
      </c>
      <c r="G472" s="137"/>
      <c r="H472" s="12">
        <f>SUM(H473)</f>
        <v>0</v>
      </c>
      <c r="I472" s="12">
        <f t="shared" si="5"/>
        <v>0</v>
      </c>
      <c r="J472"/>
    </row>
    <row r="473" spans="1:10" ht="28.5" hidden="1">
      <c r="A473" s="231" t="s">
        <v>414</v>
      </c>
      <c r="B473" s="209"/>
      <c r="C473" s="284" t="s">
        <v>124</v>
      </c>
      <c r="D473" s="280" t="s">
        <v>460</v>
      </c>
      <c r="E473" s="280" t="s">
        <v>153</v>
      </c>
      <c r="F473" s="278"/>
      <c r="G473" s="137">
        <f>SUM(G474)</f>
        <v>0</v>
      </c>
      <c r="H473" s="12"/>
      <c r="I473" s="12">
        <f t="shared" si="5"/>
        <v>0</v>
      </c>
      <c r="J473"/>
    </row>
    <row r="474" spans="1:10" ht="28.5" hidden="1">
      <c r="A474" s="231" t="s">
        <v>143</v>
      </c>
      <c r="B474" s="209"/>
      <c r="C474" s="284" t="s">
        <v>124</v>
      </c>
      <c r="D474" s="280" t="s">
        <v>460</v>
      </c>
      <c r="E474" s="280" t="s">
        <v>153</v>
      </c>
      <c r="F474" s="278" t="s">
        <v>83</v>
      </c>
      <c r="G474" s="137"/>
      <c r="H474" s="12">
        <f>SUM(H477)</f>
        <v>1305.1</v>
      </c>
      <c r="I474" s="12" t="e">
        <f t="shared" si="5"/>
        <v>#DIV/0!</v>
      </c>
      <c r="J474"/>
    </row>
    <row r="475" spans="1:10" ht="28.5">
      <c r="A475" s="240" t="s">
        <v>154</v>
      </c>
      <c r="B475" s="215"/>
      <c r="C475" s="284" t="s">
        <v>124</v>
      </c>
      <c r="D475" s="280" t="s">
        <v>460</v>
      </c>
      <c r="E475" s="280" t="s">
        <v>640</v>
      </c>
      <c r="F475" s="278"/>
      <c r="G475" s="137">
        <f>SUM(G476)</f>
        <v>80</v>
      </c>
      <c r="H475" s="12"/>
      <c r="I475" s="12"/>
      <c r="J475"/>
    </row>
    <row r="476" spans="1:10" ht="28.5">
      <c r="A476" s="231" t="s">
        <v>517</v>
      </c>
      <c r="B476" s="215"/>
      <c r="C476" s="284" t="s">
        <v>124</v>
      </c>
      <c r="D476" s="280" t="s">
        <v>460</v>
      </c>
      <c r="E476" s="280" t="s">
        <v>640</v>
      </c>
      <c r="F476" s="278" t="s">
        <v>513</v>
      </c>
      <c r="G476" s="137">
        <v>80</v>
      </c>
      <c r="H476" s="12"/>
      <c r="I476" s="12"/>
      <c r="J476">
        <f>SUM('[3]ведомствен.2014'!G828)</f>
        <v>80</v>
      </c>
    </row>
    <row r="477" spans="1:10" ht="15">
      <c r="A477" s="225" t="s">
        <v>375</v>
      </c>
      <c r="B477" s="190"/>
      <c r="C477" s="284" t="s">
        <v>124</v>
      </c>
      <c r="D477" s="280" t="s">
        <v>460</v>
      </c>
      <c r="E477" s="280" t="s">
        <v>376</v>
      </c>
      <c r="F477" s="277"/>
      <c r="G477" s="137">
        <f>SUM(G478)</f>
        <v>39821.200000000004</v>
      </c>
      <c r="H477" s="12">
        <v>1305.1</v>
      </c>
      <c r="I477" s="12" t="e">
        <f t="shared" si="4"/>
        <v>#DIV/0!</v>
      </c>
      <c r="J477"/>
    </row>
    <row r="478" spans="1:10" ht="28.5">
      <c r="A478" s="225" t="s">
        <v>56</v>
      </c>
      <c r="B478" s="194"/>
      <c r="C478" s="284" t="s">
        <v>124</v>
      </c>
      <c r="D478" s="280" t="s">
        <v>460</v>
      </c>
      <c r="E478" s="280" t="s">
        <v>377</v>
      </c>
      <c r="F478" s="277"/>
      <c r="G478" s="137">
        <f>SUM(G479:G481)</f>
        <v>39821.200000000004</v>
      </c>
      <c r="H478" s="12">
        <f>SUM(H479+H480)</f>
        <v>0</v>
      </c>
      <c r="I478" s="12" t="e">
        <f t="shared" si="4"/>
        <v>#DIV/0!</v>
      </c>
      <c r="J478"/>
    </row>
    <row r="479" spans="1:10" ht="42.75">
      <c r="A479" s="225" t="s">
        <v>495</v>
      </c>
      <c r="B479" s="190"/>
      <c r="C479" s="284" t="s">
        <v>124</v>
      </c>
      <c r="D479" s="280" t="s">
        <v>460</v>
      </c>
      <c r="E479" s="280" t="s">
        <v>377</v>
      </c>
      <c r="F479" s="276" t="s">
        <v>496</v>
      </c>
      <c r="G479" s="137">
        <v>35195</v>
      </c>
      <c r="H479" s="12"/>
      <c r="I479" s="12" t="e">
        <f t="shared" si="4"/>
        <v>#DIV/0!</v>
      </c>
      <c r="J479">
        <f>SUM('[3]ведомствен.2014'!G831)</f>
        <v>35195</v>
      </c>
    </row>
    <row r="480" spans="1:10" ht="15">
      <c r="A480" s="225" t="s">
        <v>500</v>
      </c>
      <c r="B480" s="190"/>
      <c r="C480" s="284" t="s">
        <v>124</v>
      </c>
      <c r="D480" s="280" t="s">
        <v>460</v>
      </c>
      <c r="E480" s="280" t="s">
        <v>377</v>
      </c>
      <c r="F480" s="276" t="s">
        <v>120</v>
      </c>
      <c r="G480" s="138">
        <v>4062.8</v>
      </c>
      <c r="H480" s="12">
        <f>SUM(H481)</f>
        <v>0</v>
      </c>
      <c r="I480" s="12" t="e">
        <f t="shared" si="4"/>
        <v>#DIV/0!</v>
      </c>
      <c r="J480">
        <f>SUM('[3]ведомствен.2014'!G832)</f>
        <v>4062.8</v>
      </c>
    </row>
    <row r="481" spans="1:10" ht="15">
      <c r="A481" s="225" t="s">
        <v>501</v>
      </c>
      <c r="B481" s="190"/>
      <c r="C481" s="284" t="s">
        <v>124</v>
      </c>
      <c r="D481" s="280" t="s">
        <v>460</v>
      </c>
      <c r="E481" s="280" t="s">
        <v>377</v>
      </c>
      <c r="F481" s="277" t="s">
        <v>176</v>
      </c>
      <c r="G481" s="137">
        <v>563.4</v>
      </c>
      <c r="H481" s="12"/>
      <c r="I481" s="12" t="e">
        <f t="shared" si="4"/>
        <v>#DIV/0!</v>
      </c>
      <c r="J481">
        <f>SUM('[3]ведомствен.2014'!G833)</f>
        <v>563.4</v>
      </c>
    </row>
    <row r="482" spans="1:10" ht="42.75" hidden="1">
      <c r="A482" s="231" t="s">
        <v>62</v>
      </c>
      <c r="B482" s="209"/>
      <c r="C482" s="284" t="s">
        <v>124</v>
      </c>
      <c r="D482" s="280" t="s">
        <v>460</v>
      </c>
      <c r="E482" s="280" t="s">
        <v>378</v>
      </c>
      <c r="F482" s="278"/>
      <c r="G482" s="137">
        <f>SUM(G483)</f>
        <v>0</v>
      </c>
      <c r="H482" s="12">
        <f>SUM(H483)</f>
        <v>7333.8</v>
      </c>
      <c r="I482" s="12" t="e">
        <f t="shared" si="4"/>
        <v>#DIV/0!</v>
      </c>
      <c r="J482"/>
    </row>
    <row r="483" spans="1:10" ht="15" hidden="1">
      <c r="A483" s="231" t="s">
        <v>57</v>
      </c>
      <c r="B483" s="209"/>
      <c r="C483" s="284" t="s">
        <v>124</v>
      </c>
      <c r="D483" s="280" t="s">
        <v>460</v>
      </c>
      <c r="E483" s="280" t="s">
        <v>378</v>
      </c>
      <c r="F483" s="278" t="s">
        <v>247</v>
      </c>
      <c r="G483" s="137"/>
      <c r="H483" s="12">
        <f>SUM(H485:H489)</f>
        <v>7333.8</v>
      </c>
      <c r="I483" s="12" t="e">
        <f t="shared" si="4"/>
        <v>#DIV/0!</v>
      </c>
      <c r="J483"/>
    </row>
    <row r="484" spans="1:10" ht="28.5" hidden="1">
      <c r="A484" s="231" t="s">
        <v>379</v>
      </c>
      <c r="B484" s="209"/>
      <c r="C484" s="284" t="s">
        <v>124</v>
      </c>
      <c r="D484" s="280" t="s">
        <v>460</v>
      </c>
      <c r="E484" s="280" t="s">
        <v>380</v>
      </c>
      <c r="F484" s="278"/>
      <c r="G484" s="137">
        <f>SUM(G487+G485)</f>
        <v>0</v>
      </c>
      <c r="H484" s="12"/>
      <c r="I484" s="12"/>
      <c r="J484"/>
    </row>
    <row r="485" spans="1:10" ht="15" hidden="1">
      <c r="A485" s="231" t="s">
        <v>246</v>
      </c>
      <c r="B485" s="209"/>
      <c r="C485" s="284" t="s">
        <v>124</v>
      </c>
      <c r="D485" s="280" t="s">
        <v>460</v>
      </c>
      <c r="E485" s="280" t="s">
        <v>380</v>
      </c>
      <c r="F485" s="278" t="s">
        <v>247</v>
      </c>
      <c r="G485" s="137"/>
      <c r="H485" s="12"/>
      <c r="I485" s="12" t="e">
        <f aca="true" t="shared" si="6" ref="I485:I493">SUM(H485/G491*100)</f>
        <v>#DIV/0!</v>
      </c>
      <c r="J485"/>
    </row>
    <row r="486" spans="1:10" ht="42.75" hidden="1">
      <c r="A486" s="231" t="s">
        <v>381</v>
      </c>
      <c r="B486" s="209"/>
      <c r="C486" s="284" t="s">
        <v>124</v>
      </c>
      <c r="D486" s="280" t="s">
        <v>460</v>
      </c>
      <c r="E486" s="280" t="s">
        <v>382</v>
      </c>
      <c r="F486" s="278"/>
      <c r="G486" s="137">
        <f>SUM(G487)</f>
        <v>0</v>
      </c>
      <c r="H486" s="12">
        <f>SUM(H490+H495)+H487</f>
        <v>4633.8</v>
      </c>
      <c r="I486" s="12">
        <f t="shared" si="6"/>
        <v>56.88924901476926</v>
      </c>
      <c r="J486"/>
    </row>
    <row r="487" spans="1:10" ht="15" hidden="1">
      <c r="A487" s="231" t="s">
        <v>246</v>
      </c>
      <c r="B487" s="209"/>
      <c r="C487" s="284" t="s">
        <v>124</v>
      </c>
      <c r="D487" s="280" t="s">
        <v>460</v>
      </c>
      <c r="E487" s="280" t="s">
        <v>382</v>
      </c>
      <c r="F487" s="278" t="s">
        <v>247</v>
      </c>
      <c r="G487" s="137"/>
      <c r="H487" s="12">
        <f>SUM(H488)</f>
        <v>900</v>
      </c>
      <c r="I487" s="12" t="e">
        <f t="shared" si="6"/>
        <v>#DIV/0!</v>
      </c>
      <c r="J487"/>
    </row>
    <row r="488" spans="1:10" ht="15" hidden="1">
      <c r="A488" s="231" t="s">
        <v>128</v>
      </c>
      <c r="B488" s="194"/>
      <c r="C488" s="284" t="s">
        <v>124</v>
      </c>
      <c r="D488" s="280" t="s">
        <v>460</v>
      </c>
      <c r="E488" s="280" t="s">
        <v>129</v>
      </c>
      <c r="F488" s="277"/>
      <c r="G488" s="137">
        <f>SUM(G489)</f>
        <v>0</v>
      </c>
      <c r="H488" s="12">
        <f>SUM(H489)</f>
        <v>900</v>
      </c>
      <c r="I488" s="12" t="e">
        <f t="shared" si="6"/>
        <v>#DIV/0!</v>
      </c>
      <c r="J488"/>
    </row>
    <row r="489" spans="1:10" ht="42.75" hidden="1">
      <c r="A489" s="225" t="s">
        <v>208</v>
      </c>
      <c r="B489" s="194"/>
      <c r="C489" s="284" t="s">
        <v>124</v>
      </c>
      <c r="D489" s="280" t="s">
        <v>460</v>
      </c>
      <c r="E489" s="280" t="s">
        <v>298</v>
      </c>
      <c r="F489" s="277"/>
      <c r="G489" s="137">
        <f>SUM(G490:G491)</f>
        <v>0</v>
      </c>
      <c r="H489" s="12">
        <v>900</v>
      </c>
      <c r="I489" s="12" t="e">
        <f t="shared" si="6"/>
        <v>#DIV/0!</v>
      </c>
      <c r="J489"/>
    </row>
    <row r="490" spans="1:10" ht="15" hidden="1">
      <c r="A490" s="231" t="s">
        <v>57</v>
      </c>
      <c r="B490" s="194"/>
      <c r="C490" s="284" t="s">
        <v>124</v>
      </c>
      <c r="D490" s="280" t="s">
        <v>460</v>
      </c>
      <c r="E490" s="280" t="s">
        <v>298</v>
      </c>
      <c r="F490" s="277" t="s">
        <v>247</v>
      </c>
      <c r="G490" s="137"/>
      <c r="H490" s="12">
        <f>SUM(H491)</f>
        <v>3733.8</v>
      </c>
      <c r="I490" s="12">
        <f t="shared" si="6"/>
        <v>53.760096756079655</v>
      </c>
      <c r="J490"/>
    </row>
    <row r="491" spans="1:10" ht="28.5" hidden="1">
      <c r="A491" s="231" t="s">
        <v>143</v>
      </c>
      <c r="B491" s="194"/>
      <c r="C491" s="284" t="s">
        <v>124</v>
      </c>
      <c r="D491" s="280" t="s">
        <v>460</v>
      </c>
      <c r="E491" s="280" t="s">
        <v>298</v>
      </c>
      <c r="F491" s="277" t="s">
        <v>83</v>
      </c>
      <c r="G491" s="137"/>
      <c r="H491" s="12">
        <f>SUM(H492)</f>
        <v>3733.8</v>
      </c>
      <c r="I491" s="12">
        <f t="shared" si="6"/>
        <v>53.760096756079655</v>
      </c>
      <c r="J491"/>
    </row>
    <row r="492" spans="1:9" ht="15">
      <c r="A492" s="227" t="s">
        <v>235</v>
      </c>
      <c r="B492" s="194"/>
      <c r="C492" s="284" t="s">
        <v>124</v>
      </c>
      <c r="D492" s="280" t="s">
        <v>122</v>
      </c>
      <c r="E492" s="280"/>
      <c r="F492" s="277"/>
      <c r="G492" s="137">
        <f>SUM(G496+G501+G494)</f>
        <v>8145.299999999999</v>
      </c>
      <c r="H492" s="12">
        <v>3733.8</v>
      </c>
      <c r="I492" s="12">
        <f t="shared" si="6"/>
        <v>58.9141171087303</v>
      </c>
    </row>
    <row r="493" spans="1:10" ht="15" hidden="1">
      <c r="A493" s="225" t="s">
        <v>407</v>
      </c>
      <c r="B493" s="194"/>
      <c r="C493" s="284" t="s">
        <v>124</v>
      </c>
      <c r="D493" s="280" t="s">
        <v>122</v>
      </c>
      <c r="E493" s="280" t="s">
        <v>409</v>
      </c>
      <c r="F493" s="277"/>
      <c r="G493" s="137">
        <f>SUM(G494)</f>
        <v>0</v>
      </c>
      <c r="H493" s="12">
        <f>SUM(H494)</f>
        <v>0</v>
      </c>
      <c r="I493" s="12">
        <f t="shared" si="6"/>
        <v>0</v>
      </c>
      <c r="J493"/>
    </row>
    <row r="494" spans="1:10" ht="15" hidden="1">
      <c r="A494" s="225" t="s">
        <v>387</v>
      </c>
      <c r="B494" s="194"/>
      <c r="C494" s="284" t="s">
        <v>124</v>
      </c>
      <c r="D494" s="280" t="s">
        <v>122</v>
      </c>
      <c r="E494" s="280" t="s">
        <v>388</v>
      </c>
      <c r="F494" s="277"/>
      <c r="G494" s="137">
        <f>SUM(G495)</f>
        <v>0</v>
      </c>
      <c r="H494" s="12"/>
      <c r="I494" s="12"/>
      <c r="J494"/>
    </row>
    <row r="495" spans="1:10" ht="42.75" hidden="1">
      <c r="A495" s="225" t="s">
        <v>308</v>
      </c>
      <c r="B495" s="194"/>
      <c r="C495" s="284" t="s">
        <v>124</v>
      </c>
      <c r="D495" s="280" t="s">
        <v>122</v>
      </c>
      <c r="E495" s="280" t="s">
        <v>388</v>
      </c>
      <c r="F495" s="277" t="s">
        <v>309</v>
      </c>
      <c r="G495" s="137"/>
      <c r="H495" s="12">
        <f>SUM(H498)</f>
        <v>0</v>
      </c>
      <c r="I495" s="12">
        <f>SUM(H495/G501*100)</f>
        <v>0</v>
      </c>
      <c r="J495"/>
    </row>
    <row r="496" spans="1:10" ht="57">
      <c r="A496" s="227" t="s">
        <v>291</v>
      </c>
      <c r="B496" s="194"/>
      <c r="C496" s="284" t="s">
        <v>124</v>
      </c>
      <c r="D496" s="280" t="s">
        <v>122</v>
      </c>
      <c r="E496" s="280" t="s">
        <v>292</v>
      </c>
      <c r="F496" s="277"/>
      <c r="G496" s="137">
        <f>SUM(G497)</f>
        <v>6945.299999999999</v>
      </c>
      <c r="H496" s="12"/>
      <c r="I496" s="12"/>
      <c r="J496"/>
    </row>
    <row r="497" spans="1:10" ht="28.5">
      <c r="A497" s="225" t="s">
        <v>56</v>
      </c>
      <c r="B497" s="194"/>
      <c r="C497" s="284" t="s">
        <v>124</v>
      </c>
      <c r="D497" s="280" t="s">
        <v>122</v>
      </c>
      <c r="E497" s="280" t="s">
        <v>293</v>
      </c>
      <c r="F497" s="277"/>
      <c r="G497" s="137">
        <f>SUM(G498:G500)</f>
        <v>6945.299999999999</v>
      </c>
      <c r="H497" s="12"/>
      <c r="I497" s="12"/>
      <c r="J497"/>
    </row>
    <row r="498" spans="1:10" ht="42.75">
      <c r="A498" s="225" t="s">
        <v>495</v>
      </c>
      <c r="B498" s="209"/>
      <c r="C498" s="284" t="s">
        <v>124</v>
      </c>
      <c r="D498" s="280" t="s">
        <v>122</v>
      </c>
      <c r="E498" s="280" t="s">
        <v>293</v>
      </c>
      <c r="F498" s="278" t="s">
        <v>496</v>
      </c>
      <c r="G498" s="137">
        <v>6337.7</v>
      </c>
      <c r="H498" s="12">
        <f>SUM(H499:H503)</f>
        <v>0</v>
      </c>
      <c r="I498" s="12" t="e">
        <f>SUM(H498/G504*100)</f>
        <v>#DIV/0!</v>
      </c>
      <c r="J498">
        <f>SUM('[3]ведомствен.2014'!G850)</f>
        <v>6337.7</v>
      </c>
    </row>
    <row r="499" spans="1:10" ht="15">
      <c r="A499" s="225" t="s">
        <v>500</v>
      </c>
      <c r="B499" s="209"/>
      <c r="C499" s="284" t="s">
        <v>124</v>
      </c>
      <c r="D499" s="280" t="s">
        <v>122</v>
      </c>
      <c r="E499" s="280" t="s">
        <v>293</v>
      </c>
      <c r="F499" s="278" t="s">
        <v>120</v>
      </c>
      <c r="G499" s="137">
        <v>602.2</v>
      </c>
      <c r="H499" s="12"/>
      <c r="I499" s="12" t="e">
        <f>SUM(H499/G505*100)</f>
        <v>#DIV/0!</v>
      </c>
      <c r="J499">
        <f>SUM('[3]ведомствен.2014'!G851)</f>
        <v>602.2</v>
      </c>
    </row>
    <row r="500" spans="1:10" ht="15">
      <c r="A500" s="225" t="s">
        <v>501</v>
      </c>
      <c r="B500" s="209"/>
      <c r="C500" s="284" t="s">
        <v>124</v>
      </c>
      <c r="D500" s="280" t="s">
        <v>122</v>
      </c>
      <c r="E500" s="280" t="s">
        <v>293</v>
      </c>
      <c r="F500" s="278" t="s">
        <v>176</v>
      </c>
      <c r="G500" s="137">
        <v>5.4</v>
      </c>
      <c r="H500" s="16"/>
      <c r="I500" s="12" t="e">
        <f>SUM(H500/G506*100)</f>
        <v>#DIV/0!</v>
      </c>
      <c r="J500">
        <f>SUM('[3]ведомствен.2014'!G852)</f>
        <v>5.4</v>
      </c>
    </row>
    <row r="501" spans="1:10" ht="15">
      <c r="A501" s="114" t="s">
        <v>753</v>
      </c>
      <c r="B501" s="194"/>
      <c r="C501" s="284" t="s">
        <v>124</v>
      </c>
      <c r="D501" s="280" t="s">
        <v>122</v>
      </c>
      <c r="E501" s="280" t="s">
        <v>129</v>
      </c>
      <c r="F501" s="277"/>
      <c r="G501" s="137">
        <f>SUM(G504)+G507+G502</f>
        <v>1200</v>
      </c>
      <c r="H501" s="16"/>
      <c r="I501" s="12"/>
      <c r="J501"/>
    </row>
    <row r="502" spans="1:9" ht="42.75" hidden="1">
      <c r="A502" s="225" t="s">
        <v>208</v>
      </c>
      <c r="B502" s="194"/>
      <c r="C502" s="284" t="s">
        <v>124</v>
      </c>
      <c r="D502" s="280" t="s">
        <v>122</v>
      </c>
      <c r="E502" s="280" t="s">
        <v>298</v>
      </c>
      <c r="F502" s="277"/>
      <c r="G502" s="137">
        <f>SUM(G503)</f>
        <v>0</v>
      </c>
      <c r="H502" s="12"/>
      <c r="I502" s="12">
        <f aca="true" t="shared" si="7" ref="I502:I519">SUM(H502/G508*100)</f>
        <v>0</v>
      </c>
    </row>
    <row r="503" spans="1:9" ht="15" hidden="1">
      <c r="A503" s="231" t="s">
        <v>57</v>
      </c>
      <c r="B503" s="194"/>
      <c r="C503" s="284" t="s">
        <v>124</v>
      </c>
      <c r="D503" s="280" t="s">
        <v>122</v>
      </c>
      <c r="E503" s="280" t="s">
        <v>298</v>
      </c>
      <c r="F503" s="277" t="s">
        <v>247</v>
      </c>
      <c r="G503" s="137"/>
      <c r="H503" s="16"/>
      <c r="I503" s="12">
        <f t="shared" si="7"/>
        <v>0</v>
      </c>
    </row>
    <row r="504" spans="1:9" s="24" customFormat="1" ht="28.5" hidden="1">
      <c r="A504" s="225" t="s">
        <v>483</v>
      </c>
      <c r="B504" s="194"/>
      <c r="C504" s="284" t="s">
        <v>124</v>
      </c>
      <c r="D504" s="280" t="s">
        <v>122</v>
      </c>
      <c r="E504" s="280" t="s">
        <v>310</v>
      </c>
      <c r="F504" s="277"/>
      <c r="G504" s="137">
        <f>SUM(G505:G506)</f>
        <v>0</v>
      </c>
      <c r="H504" s="16">
        <v>2421.6</v>
      </c>
      <c r="I504" s="12" t="e">
        <f t="shared" si="7"/>
        <v>#DIV/0!</v>
      </c>
    </row>
    <row r="505" spans="1:10" ht="57" hidden="1">
      <c r="A505" s="231" t="s">
        <v>96</v>
      </c>
      <c r="B505" s="194"/>
      <c r="C505" s="284" t="s">
        <v>124</v>
      </c>
      <c r="D505" s="280" t="s">
        <v>122</v>
      </c>
      <c r="E505" s="280" t="s">
        <v>310</v>
      </c>
      <c r="F505" s="277" t="s">
        <v>309</v>
      </c>
      <c r="G505" s="137"/>
      <c r="H505" s="12" t="e">
        <f>SUM(H506)+#REF!</f>
        <v>#REF!</v>
      </c>
      <c r="I505" s="12" t="e">
        <f t="shared" si="7"/>
        <v>#REF!</v>
      </c>
      <c r="J505"/>
    </row>
    <row r="506" spans="1:10" ht="28.5" hidden="1">
      <c r="A506" s="225" t="s">
        <v>157</v>
      </c>
      <c r="B506" s="194"/>
      <c r="C506" s="284" t="s">
        <v>124</v>
      </c>
      <c r="D506" s="280" t="s">
        <v>122</v>
      </c>
      <c r="E506" s="280" t="s">
        <v>310</v>
      </c>
      <c r="F506" s="277" t="s">
        <v>83</v>
      </c>
      <c r="G506" s="137"/>
      <c r="H506" s="12" t="e">
        <f>SUM(H507)</f>
        <v>#REF!</v>
      </c>
      <c r="I506" s="12" t="e">
        <f t="shared" si="7"/>
        <v>#REF!</v>
      </c>
      <c r="J506"/>
    </row>
    <row r="507" spans="1:10" ht="15">
      <c r="A507" s="225" t="s">
        <v>516</v>
      </c>
      <c r="B507" s="194"/>
      <c r="C507" s="284" t="s">
        <v>124</v>
      </c>
      <c r="D507" s="280" t="s">
        <v>122</v>
      </c>
      <c r="E507" s="280" t="s">
        <v>311</v>
      </c>
      <c r="F507" s="277"/>
      <c r="G507" s="137">
        <f>SUM(G508:G510)</f>
        <v>1200</v>
      </c>
      <c r="H507" s="12" t="e">
        <f>SUM(#REF!)</f>
        <v>#REF!</v>
      </c>
      <c r="I507" s="12" t="e">
        <f t="shared" si="7"/>
        <v>#REF!</v>
      </c>
      <c r="J507"/>
    </row>
    <row r="508" spans="1:11" s="11" customFormat="1" ht="42.75">
      <c r="A508" s="225" t="s">
        <v>495</v>
      </c>
      <c r="B508" s="194"/>
      <c r="C508" s="284" t="s">
        <v>124</v>
      </c>
      <c r="D508" s="280" t="s">
        <v>122</v>
      </c>
      <c r="E508" s="280" t="s">
        <v>311</v>
      </c>
      <c r="F508" s="277" t="s">
        <v>496</v>
      </c>
      <c r="G508" s="137">
        <v>200</v>
      </c>
      <c r="H508" s="15" t="e">
        <f>SUM(H509+#REF!+H559+H564+#REF!+#REF!)</f>
        <v>#REF!</v>
      </c>
      <c r="I508" s="15" t="e">
        <f t="shared" si="7"/>
        <v>#REF!</v>
      </c>
      <c r="J508">
        <f>SUM('[3]ведомствен.2014'!G860)</f>
        <v>200</v>
      </c>
      <c r="K508" s="11">
        <f>SUM(J509:J564)</f>
        <v>45305.5</v>
      </c>
    </row>
    <row r="509" spans="1:10" ht="15">
      <c r="A509" s="225" t="s">
        <v>500</v>
      </c>
      <c r="B509" s="194"/>
      <c r="C509" s="284" t="s">
        <v>124</v>
      </c>
      <c r="D509" s="280" t="s">
        <v>122</v>
      </c>
      <c r="E509" s="280" t="s">
        <v>311</v>
      </c>
      <c r="F509" s="277" t="s">
        <v>120</v>
      </c>
      <c r="G509" s="137">
        <v>1000</v>
      </c>
      <c r="H509" s="12">
        <f>SUM(H514+H518)</f>
        <v>49456.8</v>
      </c>
      <c r="I509" s="12">
        <f t="shared" si="7"/>
        <v>606.9957534549203</v>
      </c>
      <c r="J509">
        <f>SUM('[3]ведомствен.2014'!G861)</f>
        <v>1000</v>
      </c>
    </row>
    <row r="510" spans="1:10" ht="15" hidden="1">
      <c r="A510" s="225" t="s">
        <v>501</v>
      </c>
      <c r="B510" s="194"/>
      <c r="C510" s="284" t="s">
        <v>124</v>
      </c>
      <c r="D510" s="280" t="s">
        <v>122</v>
      </c>
      <c r="E510" s="280" t="s">
        <v>311</v>
      </c>
      <c r="F510" s="277" t="s">
        <v>176</v>
      </c>
      <c r="G510" s="137"/>
      <c r="H510" s="12">
        <f>SUM(H511)</f>
        <v>0</v>
      </c>
      <c r="I510" s="12">
        <f aca="true" t="shared" si="8" ref="I510:I515">SUM(H510/G518*100)</f>
        <v>0</v>
      </c>
      <c r="J510"/>
    </row>
    <row r="511" spans="1:10" ht="28.5" hidden="1">
      <c r="A511" s="225" t="s">
        <v>157</v>
      </c>
      <c r="B511" s="194"/>
      <c r="C511" s="284" t="s">
        <v>124</v>
      </c>
      <c r="D511" s="280" t="s">
        <v>122</v>
      </c>
      <c r="E511" s="280" t="s">
        <v>311</v>
      </c>
      <c r="F511" s="277" t="s">
        <v>83</v>
      </c>
      <c r="G511" s="137"/>
      <c r="H511" s="12">
        <f>SUM(H512)</f>
        <v>0</v>
      </c>
      <c r="I511" s="12">
        <f t="shared" si="8"/>
        <v>0</v>
      </c>
      <c r="J511"/>
    </row>
    <row r="512" spans="1:10" ht="42.75" hidden="1">
      <c r="A512" s="225" t="s">
        <v>495</v>
      </c>
      <c r="B512" s="194"/>
      <c r="C512" s="284" t="s">
        <v>124</v>
      </c>
      <c r="D512" s="280" t="s">
        <v>122</v>
      </c>
      <c r="E512" s="280" t="s">
        <v>311</v>
      </c>
      <c r="F512" s="277" t="s">
        <v>496</v>
      </c>
      <c r="G512" s="137"/>
      <c r="H512" s="12"/>
      <c r="I512" s="12" t="e">
        <f t="shared" si="8"/>
        <v>#DIV/0!</v>
      </c>
      <c r="J512"/>
    </row>
    <row r="513" spans="1:10" ht="15" hidden="1">
      <c r="A513" s="225" t="s">
        <v>500</v>
      </c>
      <c r="B513" s="194"/>
      <c r="C513" s="284" t="s">
        <v>124</v>
      </c>
      <c r="D513" s="280" t="s">
        <v>122</v>
      </c>
      <c r="E513" s="280" t="s">
        <v>311</v>
      </c>
      <c r="F513" s="277" t="s">
        <v>120</v>
      </c>
      <c r="G513" s="137"/>
      <c r="H513" s="12">
        <f>SUM(H514)</f>
        <v>146.8</v>
      </c>
      <c r="I513" s="12" t="e">
        <f t="shared" si="8"/>
        <v>#DIV/0!</v>
      </c>
      <c r="J513"/>
    </row>
    <row r="514" spans="1:12" ht="15">
      <c r="A514" s="229" t="s">
        <v>327</v>
      </c>
      <c r="B514" s="194"/>
      <c r="C514" s="279" t="s">
        <v>300</v>
      </c>
      <c r="D514" s="325"/>
      <c r="E514" s="325"/>
      <c r="F514" s="326"/>
      <c r="G514" s="139">
        <f>SUM(G515+G528+G549+G557)</f>
        <v>52111.7</v>
      </c>
      <c r="H514" s="12">
        <f>SUM(H515)</f>
        <v>146.8</v>
      </c>
      <c r="I514" s="12" t="e">
        <f t="shared" si="8"/>
        <v>#DIV/0!</v>
      </c>
      <c r="J514"/>
      <c r="K514" s="33">
        <f>SUM(J515:J567)</f>
        <v>52111.7</v>
      </c>
      <c r="L514">
        <f>SUM('[3]ведомствен.2014'!G870)</f>
        <v>52111.7</v>
      </c>
    </row>
    <row r="515" spans="1:12" ht="15">
      <c r="A515" s="225" t="s">
        <v>178</v>
      </c>
      <c r="B515" s="190"/>
      <c r="C515" s="284" t="s">
        <v>300</v>
      </c>
      <c r="D515" s="280" t="s">
        <v>460</v>
      </c>
      <c r="E515" s="280"/>
      <c r="F515" s="277"/>
      <c r="G515" s="137">
        <f>SUM(G518)+G516</f>
        <v>8147.8</v>
      </c>
      <c r="H515" s="12">
        <v>146.8</v>
      </c>
      <c r="I515" s="12" t="e">
        <f t="shared" si="8"/>
        <v>#DIV/0!</v>
      </c>
      <c r="J515"/>
      <c r="L515" s="33">
        <f>SUM(L514-K514)</f>
        <v>0</v>
      </c>
    </row>
    <row r="516" spans="1:12" ht="15">
      <c r="A516" s="109" t="s">
        <v>387</v>
      </c>
      <c r="B516" s="62"/>
      <c r="C516" s="280" t="s">
        <v>300</v>
      </c>
      <c r="D516" s="280" t="s">
        <v>460</v>
      </c>
      <c r="E516" s="275" t="s">
        <v>507</v>
      </c>
      <c r="F516" s="277"/>
      <c r="G516" s="258">
        <f>SUM(G517)</f>
        <v>930.2</v>
      </c>
      <c r="H516" s="12"/>
      <c r="I516" s="12"/>
      <c r="J516"/>
      <c r="L516" s="33"/>
    </row>
    <row r="517" spans="1:12" ht="28.5">
      <c r="A517" s="114" t="s">
        <v>517</v>
      </c>
      <c r="B517" s="62"/>
      <c r="C517" s="280" t="s">
        <v>300</v>
      </c>
      <c r="D517" s="280" t="s">
        <v>460</v>
      </c>
      <c r="E517" s="275" t="s">
        <v>507</v>
      </c>
      <c r="F517" s="277" t="s">
        <v>513</v>
      </c>
      <c r="G517" s="258">
        <v>930.2</v>
      </c>
      <c r="H517" s="12"/>
      <c r="I517" s="12"/>
      <c r="J517">
        <f>SUM('[3]ведомствен.2014'!G873)</f>
        <v>930.2</v>
      </c>
      <c r="L517" s="33"/>
    </row>
    <row r="518" spans="1:10" ht="15">
      <c r="A518" s="225" t="s">
        <v>202</v>
      </c>
      <c r="B518" s="190"/>
      <c r="C518" s="284" t="s">
        <v>300</v>
      </c>
      <c r="D518" s="280" t="s">
        <v>460</v>
      </c>
      <c r="E518" s="280" t="s">
        <v>182</v>
      </c>
      <c r="F518" s="277"/>
      <c r="G518" s="138">
        <f>SUM(G519)</f>
        <v>7217.6</v>
      </c>
      <c r="H518" s="12">
        <f>SUM(H519)</f>
        <v>49310</v>
      </c>
      <c r="I518" s="12" t="e">
        <f t="shared" si="7"/>
        <v>#DIV/0!</v>
      </c>
      <c r="J518"/>
    </row>
    <row r="519" spans="1:10" ht="28.5">
      <c r="A519" s="225" t="s">
        <v>95</v>
      </c>
      <c r="B519" s="194"/>
      <c r="C519" s="284" t="s">
        <v>300</v>
      </c>
      <c r="D519" s="280" t="s">
        <v>460</v>
      </c>
      <c r="E519" s="280" t="s">
        <v>84</v>
      </c>
      <c r="F519" s="277"/>
      <c r="G519" s="137">
        <f>SUM(G527)+G520</f>
        <v>7217.6</v>
      </c>
      <c r="H519" s="12">
        <f>SUM(H526:H528)</f>
        <v>49310</v>
      </c>
      <c r="I519" s="12" t="e">
        <f t="shared" si="7"/>
        <v>#DIV/0!</v>
      </c>
      <c r="J519"/>
    </row>
    <row r="520" spans="1:9" ht="28.5" hidden="1">
      <c r="A520" s="231" t="s">
        <v>157</v>
      </c>
      <c r="B520" s="194"/>
      <c r="C520" s="284" t="s">
        <v>300</v>
      </c>
      <c r="D520" s="280" t="s">
        <v>460</v>
      </c>
      <c r="E520" s="280" t="s">
        <v>141</v>
      </c>
      <c r="F520" s="277"/>
      <c r="G520" s="137">
        <f>SUM(G522+G524)</f>
        <v>0</v>
      </c>
      <c r="H520" s="12"/>
      <c r="I520" s="12"/>
    </row>
    <row r="521" spans="1:9" ht="28.5" hidden="1">
      <c r="A521" s="231" t="s">
        <v>143</v>
      </c>
      <c r="B521" s="194"/>
      <c r="C521" s="284" t="s">
        <v>300</v>
      </c>
      <c r="D521" s="280" t="s">
        <v>460</v>
      </c>
      <c r="E521" s="280" t="s">
        <v>141</v>
      </c>
      <c r="F521" s="277" t="s">
        <v>83</v>
      </c>
      <c r="G521" s="137"/>
      <c r="H521" s="12"/>
      <c r="I521" s="12"/>
    </row>
    <row r="522" spans="1:9" ht="28.5" hidden="1">
      <c r="A522" s="231" t="s">
        <v>414</v>
      </c>
      <c r="B522" s="194"/>
      <c r="C522" s="284" t="s">
        <v>300</v>
      </c>
      <c r="D522" s="280" t="s">
        <v>460</v>
      </c>
      <c r="E522" s="280" t="s">
        <v>142</v>
      </c>
      <c r="F522" s="277"/>
      <c r="G522" s="137">
        <f>SUM(G523)</f>
        <v>0</v>
      </c>
      <c r="H522" s="12"/>
      <c r="I522" s="12"/>
    </row>
    <row r="523" spans="1:9" ht="28.5" hidden="1">
      <c r="A523" s="231" t="s">
        <v>143</v>
      </c>
      <c r="B523" s="194"/>
      <c r="C523" s="284" t="s">
        <v>300</v>
      </c>
      <c r="D523" s="280" t="s">
        <v>460</v>
      </c>
      <c r="E523" s="280" t="s">
        <v>142</v>
      </c>
      <c r="F523" s="277" t="s">
        <v>83</v>
      </c>
      <c r="G523" s="137"/>
      <c r="H523" s="12"/>
      <c r="I523" s="12"/>
    </row>
    <row r="524" spans="1:10" ht="28.5" hidden="1">
      <c r="A524" s="225" t="s">
        <v>215</v>
      </c>
      <c r="B524" s="194"/>
      <c r="C524" s="284" t="s">
        <v>300</v>
      </c>
      <c r="D524" s="280" t="s">
        <v>460</v>
      </c>
      <c r="E524" s="280" t="s">
        <v>218</v>
      </c>
      <c r="F524" s="277"/>
      <c r="G524" s="137">
        <f>SUM(G525)</f>
        <v>0</v>
      </c>
      <c r="H524" s="12"/>
      <c r="I524" s="12"/>
      <c r="J524"/>
    </row>
    <row r="525" spans="1:10" ht="28.5" hidden="1">
      <c r="A525" s="225" t="s">
        <v>157</v>
      </c>
      <c r="B525" s="194"/>
      <c r="C525" s="284" t="s">
        <v>300</v>
      </c>
      <c r="D525" s="280" t="s">
        <v>460</v>
      </c>
      <c r="E525" s="280" t="s">
        <v>218</v>
      </c>
      <c r="F525" s="277" t="s">
        <v>83</v>
      </c>
      <c r="G525" s="137"/>
      <c r="H525" s="12"/>
      <c r="I525" s="12"/>
      <c r="J525"/>
    </row>
    <row r="526" spans="1:9" ht="28.5">
      <c r="A526" s="225" t="s">
        <v>302</v>
      </c>
      <c r="B526" s="194"/>
      <c r="C526" s="284" t="s">
        <v>300</v>
      </c>
      <c r="D526" s="280" t="s">
        <v>460</v>
      </c>
      <c r="E526" s="280" t="s">
        <v>301</v>
      </c>
      <c r="F526" s="277"/>
      <c r="G526" s="137">
        <f>SUM(G527)</f>
        <v>7217.6</v>
      </c>
      <c r="H526" s="12">
        <v>49310</v>
      </c>
      <c r="I526" s="12" t="e">
        <f>SUM(H526/G532*100)</f>
        <v>#DIV/0!</v>
      </c>
    </row>
    <row r="527" spans="1:10" ht="28.5">
      <c r="A527" s="231" t="s">
        <v>517</v>
      </c>
      <c r="B527" s="209"/>
      <c r="C527" s="284" t="s">
        <v>300</v>
      </c>
      <c r="D527" s="280" t="s">
        <v>460</v>
      </c>
      <c r="E527" s="280" t="s">
        <v>301</v>
      </c>
      <c r="F527" s="278" t="s">
        <v>513</v>
      </c>
      <c r="G527" s="137">
        <v>7217.6</v>
      </c>
      <c r="H527" s="12"/>
      <c r="I527" s="12" t="e">
        <f>SUM(H527/G533*100)</f>
        <v>#DIV/0!</v>
      </c>
      <c r="J527" s="33">
        <f>SUM('[3]ведомствен.2014'!G883)</f>
        <v>7217.6</v>
      </c>
    </row>
    <row r="528" spans="1:10" ht="15">
      <c r="A528" s="225" t="s">
        <v>241</v>
      </c>
      <c r="B528" s="190"/>
      <c r="C528" s="284" t="s">
        <v>300</v>
      </c>
      <c r="D528" s="280" t="s">
        <v>462</v>
      </c>
      <c r="E528" s="280"/>
      <c r="F528" s="277"/>
      <c r="G528" s="137">
        <f>SUM(G529+G538)</f>
        <v>22404.699999999997</v>
      </c>
      <c r="H528" s="12"/>
      <c r="I528" s="12" t="e">
        <f>SUM(H528/G534*100)</f>
        <v>#DIV/0!</v>
      </c>
      <c r="J528"/>
    </row>
    <row r="529" spans="1:10" ht="15">
      <c r="A529" s="225" t="s">
        <v>202</v>
      </c>
      <c r="B529" s="190"/>
      <c r="C529" s="284" t="s">
        <v>300</v>
      </c>
      <c r="D529" s="280" t="s">
        <v>462</v>
      </c>
      <c r="E529" s="280" t="s">
        <v>182</v>
      </c>
      <c r="F529" s="277"/>
      <c r="G529" s="137">
        <f>SUM(G530)</f>
        <v>10009.3</v>
      </c>
      <c r="H529" s="12">
        <f>SUM(H530)</f>
        <v>21823.6</v>
      </c>
      <c r="I529" s="12" t="e">
        <f>SUM(H529/G535*100)</f>
        <v>#DIV/0!</v>
      </c>
      <c r="J529"/>
    </row>
    <row r="530" spans="1:10" ht="28.5">
      <c r="A530" s="225" t="s">
        <v>95</v>
      </c>
      <c r="B530" s="194"/>
      <c r="C530" s="284" t="s">
        <v>300</v>
      </c>
      <c r="D530" s="280" t="s">
        <v>462</v>
      </c>
      <c r="E530" s="280" t="s">
        <v>84</v>
      </c>
      <c r="F530" s="277"/>
      <c r="G530" s="137">
        <f>SUM(G531+G536)</f>
        <v>10009.3</v>
      </c>
      <c r="H530" s="12">
        <f>SUM(H536:H538)</f>
        <v>21823.6</v>
      </c>
      <c r="I530" s="12">
        <f>SUM(H530/G536*100)</f>
        <v>218.03322909693983</v>
      </c>
      <c r="J530"/>
    </row>
    <row r="531" spans="1:10" ht="28.5" hidden="1">
      <c r="A531" s="231" t="s">
        <v>157</v>
      </c>
      <c r="B531" s="194"/>
      <c r="C531" s="284" t="s">
        <v>300</v>
      </c>
      <c r="D531" s="280" t="s">
        <v>462</v>
      </c>
      <c r="E531" s="280" t="s">
        <v>141</v>
      </c>
      <c r="F531" s="277"/>
      <c r="G531" s="137">
        <f>SUM(G534)+G532</f>
        <v>0</v>
      </c>
      <c r="H531" s="12"/>
      <c r="I531" s="12"/>
      <c r="J531"/>
    </row>
    <row r="532" spans="1:9" ht="28.5" hidden="1">
      <c r="A532" s="231" t="s">
        <v>414</v>
      </c>
      <c r="B532" s="194"/>
      <c r="C532" s="284" t="s">
        <v>300</v>
      </c>
      <c r="D532" s="280" t="s">
        <v>462</v>
      </c>
      <c r="E532" s="280" t="s">
        <v>142</v>
      </c>
      <c r="F532" s="277"/>
      <c r="G532" s="137">
        <f>SUM(G533)</f>
        <v>0</v>
      </c>
      <c r="H532" s="12"/>
      <c r="I532" s="12"/>
    </row>
    <row r="533" spans="1:9" ht="28.5" hidden="1">
      <c r="A533" s="231" t="s">
        <v>143</v>
      </c>
      <c r="B533" s="194"/>
      <c r="C533" s="284" t="s">
        <v>300</v>
      </c>
      <c r="D533" s="280" t="s">
        <v>462</v>
      </c>
      <c r="E533" s="280" t="s">
        <v>142</v>
      </c>
      <c r="F533" s="277" t="s">
        <v>83</v>
      </c>
      <c r="G533" s="137"/>
      <c r="H533" s="12"/>
      <c r="I533" s="12"/>
    </row>
    <row r="534" spans="1:9" ht="28.5" hidden="1">
      <c r="A534" s="225" t="s">
        <v>215</v>
      </c>
      <c r="B534" s="194"/>
      <c r="C534" s="284" t="s">
        <v>300</v>
      </c>
      <c r="D534" s="280" t="s">
        <v>462</v>
      </c>
      <c r="E534" s="280" t="s">
        <v>218</v>
      </c>
      <c r="F534" s="277"/>
      <c r="G534" s="137">
        <f>SUM(G535)</f>
        <v>0</v>
      </c>
      <c r="H534" s="12"/>
      <c r="I534" s="12"/>
    </row>
    <row r="535" spans="1:9" ht="28.5" hidden="1">
      <c r="A535" s="231" t="s">
        <v>143</v>
      </c>
      <c r="B535" s="194"/>
      <c r="C535" s="284" t="s">
        <v>300</v>
      </c>
      <c r="D535" s="280" t="s">
        <v>462</v>
      </c>
      <c r="E535" s="280" t="s">
        <v>218</v>
      </c>
      <c r="F535" s="277" t="s">
        <v>83</v>
      </c>
      <c r="G535" s="137"/>
      <c r="H535" s="12"/>
      <c r="I535" s="12"/>
    </row>
    <row r="536" spans="1:9" ht="28.5">
      <c r="A536" s="225" t="s">
        <v>302</v>
      </c>
      <c r="B536" s="194"/>
      <c r="C536" s="284" t="s">
        <v>300</v>
      </c>
      <c r="D536" s="280" t="s">
        <v>462</v>
      </c>
      <c r="E536" s="280" t="s">
        <v>301</v>
      </c>
      <c r="F536" s="277"/>
      <c r="G536" s="137">
        <f>SUM(G537)</f>
        <v>10009.3</v>
      </c>
      <c r="H536" s="12">
        <v>21823.6</v>
      </c>
      <c r="I536" s="12">
        <f>SUM(H536/G542*100)</f>
        <v>57129.842931937164</v>
      </c>
    </row>
    <row r="537" spans="1:10" ht="28.5">
      <c r="A537" s="231" t="s">
        <v>517</v>
      </c>
      <c r="B537" s="209"/>
      <c r="C537" s="284" t="s">
        <v>300</v>
      </c>
      <c r="D537" s="280" t="s">
        <v>462</v>
      </c>
      <c r="E537" s="280" t="s">
        <v>301</v>
      </c>
      <c r="F537" s="278" t="s">
        <v>513</v>
      </c>
      <c r="G537" s="137">
        <v>10009.3</v>
      </c>
      <c r="H537" s="12"/>
      <c r="I537" s="12" t="e">
        <f>SUM(H537/G543*100)</f>
        <v>#DIV/0!</v>
      </c>
      <c r="J537" s="33">
        <f>SUM('[3]ведомствен.2014'!G893)</f>
        <v>10009.3</v>
      </c>
    </row>
    <row r="538" spans="1:10" ht="15">
      <c r="A538" s="225" t="s">
        <v>242</v>
      </c>
      <c r="B538" s="190"/>
      <c r="C538" s="284" t="s">
        <v>300</v>
      </c>
      <c r="D538" s="280" t="s">
        <v>462</v>
      </c>
      <c r="E538" s="280" t="s">
        <v>243</v>
      </c>
      <c r="F538" s="277"/>
      <c r="G538" s="137">
        <f>SUM(G539)</f>
        <v>12395.4</v>
      </c>
      <c r="H538" s="12"/>
      <c r="I538" s="12" t="e">
        <f>SUM(H538/G544*100)</f>
        <v>#DIV/0!</v>
      </c>
      <c r="J538"/>
    </row>
    <row r="539" spans="1:10" ht="28.5">
      <c r="A539" s="225" t="s">
        <v>95</v>
      </c>
      <c r="B539" s="190"/>
      <c r="C539" s="284" t="s">
        <v>300</v>
      </c>
      <c r="D539" s="280" t="s">
        <v>462</v>
      </c>
      <c r="E539" s="280" t="s">
        <v>303</v>
      </c>
      <c r="F539" s="277"/>
      <c r="G539" s="137">
        <f>SUM(G547:G547)+G540</f>
        <v>12395.4</v>
      </c>
      <c r="H539" s="12"/>
      <c r="I539" s="12"/>
      <c r="J539"/>
    </row>
    <row r="540" spans="1:10" ht="28.5">
      <c r="A540" s="231" t="s">
        <v>157</v>
      </c>
      <c r="B540" s="190"/>
      <c r="C540" s="284" t="s">
        <v>300</v>
      </c>
      <c r="D540" s="280" t="s">
        <v>462</v>
      </c>
      <c r="E540" s="280" t="s">
        <v>219</v>
      </c>
      <c r="F540" s="277"/>
      <c r="G540" s="137">
        <f>SUM(G541)+G543+G545</f>
        <v>100</v>
      </c>
      <c r="H540" s="12"/>
      <c r="I540" s="12"/>
      <c r="J540"/>
    </row>
    <row r="541" spans="1:10" ht="28.5">
      <c r="A541" s="231" t="s">
        <v>144</v>
      </c>
      <c r="B541" s="194"/>
      <c r="C541" s="284" t="s">
        <v>300</v>
      </c>
      <c r="D541" s="280" t="s">
        <v>462</v>
      </c>
      <c r="E541" s="280" t="s">
        <v>145</v>
      </c>
      <c r="F541" s="277"/>
      <c r="G541" s="137">
        <f>SUM(G542)</f>
        <v>38.2</v>
      </c>
      <c r="H541" s="12"/>
      <c r="I541" s="12"/>
      <c r="J541"/>
    </row>
    <row r="542" spans="1:10" ht="27.75" customHeight="1">
      <c r="A542" s="231" t="s">
        <v>517</v>
      </c>
      <c r="B542" s="209"/>
      <c r="C542" s="284" t="s">
        <v>300</v>
      </c>
      <c r="D542" s="280" t="s">
        <v>462</v>
      </c>
      <c r="E542" s="280" t="s">
        <v>145</v>
      </c>
      <c r="F542" s="278" t="s">
        <v>513</v>
      </c>
      <c r="G542" s="137">
        <v>38.2</v>
      </c>
      <c r="H542" s="12"/>
      <c r="I542" s="12"/>
      <c r="J542" s="33">
        <f>SUM('[3]ведомствен.2014'!G898)</f>
        <v>38.2</v>
      </c>
    </row>
    <row r="543" spans="1:10" ht="28.5" hidden="1">
      <c r="A543" s="231" t="s">
        <v>414</v>
      </c>
      <c r="B543" s="194"/>
      <c r="C543" s="284" t="s">
        <v>300</v>
      </c>
      <c r="D543" s="280" t="s">
        <v>462</v>
      </c>
      <c r="E543" s="280" t="s">
        <v>485</v>
      </c>
      <c r="F543" s="277"/>
      <c r="G543" s="137">
        <f>SUM(G544)</f>
        <v>0</v>
      </c>
      <c r="H543" s="12"/>
      <c r="I543" s="12"/>
      <c r="J543"/>
    </row>
    <row r="544" spans="1:10" ht="28.5" hidden="1">
      <c r="A544" s="231" t="s">
        <v>143</v>
      </c>
      <c r="B544" s="194"/>
      <c r="C544" s="284" t="s">
        <v>300</v>
      </c>
      <c r="D544" s="280" t="s">
        <v>462</v>
      </c>
      <c r="E544" s="280" t="s">
        <v>485</v>
      </c>
      <c r="F544" s="277" t="s">
        <v>83</v>
      </c>
      <c r="G544" s="137"/>
      <c r="H544" s="12"/>
      <c r="I544" s="12"/>
      <c r="J544"/>
    </row>
    <row r="545" spans="1:10" ht="28.5">
      <c r="A545" s="240" t="s">
        <v>154</v>
      </c>
      <c r="B545" s="215"/>
      <c r="C545" s="284" t="s">
        <v>300</v>
      </c>
      <c r="D545" s="280" t="s">
        <v>462</v>
      </c>
      <c r="E545" s="280" t="s">
        <v>643</v>
      </c>
      <c r="F545" s="278"/>
      <c r="G545" s="137">
        <f>SUM(G546)</f>
        <v>61.8</v>
      </c>
      <c r="H545" s="12"/>
      <c r="I545" s="12"/>
      <c r="J545"/>
    </row>
    <row r="546" spans="1:10" ht="28.5">
      <c r="A546" s="231" t="s">
        <v>517</v>
      </c>
      <c r="B546" s="215"/>
      <c r="C546" s="284" t="s">
        <v>300</v>
      </c>
      <c r="D546" s="280" t="s">
        <v>462</v>
      </c>
      <c r="E546" s="280" t="s">
        <v>643</v>
      </c>
      <c r="F546" s="278" t="s">
        <v>513</v>
      </c>
      <c r="G546" s="137">
        <v>61.8</v>
      </c>
      <c r="H546" s="12"/>
      <c r="I546" s="12"/>
      <c r="J546">
        <f>SUM('[3]ведомствен.2014'!G902)</f>
        <v>61.8</v>
      </c>
    </row>
    <row r="547" spans="1:9" ht="28.5">
      <c r="A547" s="231" t="s">
        <v>302</v>
      </c>
      <c r="B547" s="190"/>
      <c r="C547" s="284" t="s">
        <v>300</v>
      </c>
      <c r="D547" s="280" t="s">
        <v>462</v>
      </c>
      <c r="E547" s="280" t="s">
        <v>304</v>
      </c>
      <c r="F547" s="277"/>
      <c r="G547" s="137">
        <f>SUM(G548)</f>
        <v>12295.4</v>
      </c>
      <c r="H547" s="12">
        <v>7467.6</v>
      </c>
      <c r="I547" s="12">
        <f aca="true" t="shared" si="9" ref="I547:I558">SUM(H547/G553*100)</f>
        <v>958.3675564681724</v>
      </c>
    </row>
    <row r="548" spans="1:10" ht="28.5">
      <c r="A548" s="231" t="s">
        <v>517</v>
      </c>
      <c r="B548" s="209"/>
      <c r="C548" s="284" t="s">
        <v>300</v>
      </c>
      <c r="D548" s="280" t="s">
        <v>462</v>
      </c>
      <c r="E548" s="280" t="s">
        <v>304</v>
      </c>
      <c r="F548" s="278" t="s">
        <v>513</v>
      </c>
      <c r="G548" s="137">
        <v>12295.4</v>
      </c>
      <c r="H548" s="12"/>
      <c r="I548" s="12">
        <f t="shared" si="9"/>
        <v>0</v>
      </c>
      <c r="J548" s="33">
        <f>SUM('[3]ведомствен.2014'!G904)</f>
        <v>12295.4</v>
      </c>
    </row>
    <row r="549" spans="1:9" ht="15">
      <c r="A549" s="231" t="s">
        <v>244</v>
      </c>
      <c r="B549" s="190"/>
      <c r="C549" s="284" t="s">
        <v>300</v>
      </c>
      <c r="D549" s="280" t="s">
        <v>122</v>
      </c>
      <c r="E549" s="280"/>
      <c r="F549" s="277"/>
      <c r="G549" s="137">
        <f>SUM(G552+G555)</f>
        <v>779.2</v>
      </c>
      <c r="H549" s="12" t="e">
        <f>SUM(#REF!)</f>
        <v>#REF!</v>
      </c>
      <c r="I549" s="12" t="e">
        <f t="shared" si="9"/>
        <v>#REF!</v>
      </c>
    </row>
    <row r="550" spans="1:10" ht="15" hidden="1">
      <c r="A550" s="231" t="s">
        <v>387</v>
      </c>
      <c r="B550" s="190"/>
      <c r="C550" s="284" t="s">
        <v>300</v>
      </c>
      <c r="D550" s="280" t="s">
        <v>122</v>
      </c>
      <c r="E550" s="280" t="s">
        <v>388</v>
      </c>
      <c r="F550" s="277"/>
      <c r="G550" s="137">
        <f>SUM(G551)</f>
        <v>0</v>
      </c>
      <c r="H550" s="12">
        <f>SUM(H551)</f>
        <v>1817.2</v>
      </c>
      <c r="I550" s="12" t="e">
        <f t="shared" si="9"/>
        <v>#DIV/0!</v>
      </c>
      <c r="J550"/>
    </row>
    <row r="551" spans="1:10" ht="15" hidden="1">
      <c r="A551" s="231" t="s">
        <v>246</v>
      </c>
      <c r="B551" s="190"/>
      <c r="C551" s="284" t="s">
        <v>300</v>
      </c>
      <c r="D551" s="280" t="s">
        <v>122</v>
      </c>
      <c r="E551" s="280" t="s">
        <v>388</v>
      </c>
      <c r="F551" s="277" t="s">
        <v>247</v>
      </c>
      <c r="G551" s="137"/>
      <c r="H551" s="12">
        <f>SUM(H552:H553)</f>
        <v>1817.2</v>
      </c>
      <c r="I551" s="12">
        <f t="shared" si="9"/>
        <v>8.744947064485082</v>
      </c>
      <c r="J551"/>
    </row>
    <row r="552" spans="1:9" ht="28.5">
      <c r="A552" s="225" t="s">
        <v>95</v>
      </c>
      <c r="B552" s="190"/>
      <c r="C552" s="284" t="s">
        <v>300</v>
      </c>
      <c r="D552" s="280" t="s">
        <v>122</v>
      </c>
      <c r="E552" s="280" t="s">
        <v>514</v>
      </c>
      <c r="F552" s="277"/>
      <c r="G552" s="137">
        <f>SUM(G553)</f>
        <v>779.2</v>
      </c>
      <c r="H552" s="12">
        <v>1817.2</v>
      </c>
      <c r="I552" s="12">
        <f t="shared" si="9"/>
        <v>1817.2</v>
      </c>
    </row>
    <row r="553" spans="1:9" ht="28.5">
      <c r="A553" s="231" t="s">
        <v>302</v>
      </c>
      <c r="B553" s="190"/>
      <c r="C553" s="284" t="s">
        <v>300</v>
      </c>
      <c r="D553" s="280" t="s">
        <v>122</v>
      </c>
      <c r="E553" s="280" t="s">
        <v>515</v>
      </c>
      <c r="F553" s="277"/>
      <c r="G553" s="137">
        <f>SUM(G554)</f>
        <v>779.2</v>
      </c>
      <c r="H553" s="12"/>
      <c r="I553" s="12">
        <f t="shared" si="9"/>
        <v>0</v>
      </c>
    </row>
    <row r="554" spans="1:10" ht="28.5">
      <c r="A554" s="231" t="s">
        <v>517</v>
      </c>
      <c r="B554" s="209"/>
      <c r="C554" s="284" t="s">
        <v>300</v>
      </c>
      <c r="D554" s="280" t="s">
        <v>122</v>
      </c>
      <c r="E554" s="280" t="s">
        <v>515</v>
      </c>
      <c r="F554" s="278" t="s">
        <v>513</v>
      </c>
      <c r="G554" s="137">
        <v>779.2</v>
      </c>
      <c r="H554" s="12"/>
      <c r="I554" s="12">
        <f t="shared" si="9"/>
        <v>0</v>
      </c>
      <c r="J554" s="33">
        <f>SUM('[3]ведомствен.2014'!G910)</f>
        <v>779.2</v>
      </c>
    </row>
    <row r="555" spans="1:10" ht="15" hidden="1">
      <c r="A555" s="227" t="s">
        <v>3</v>
      </c>
      <c r="B555" s="190"/>
      <c r="C555" s="284" t="s">
        <v>300</v>
      </c>
      <c r="D555" s="280" t="s">
        <v>460</v>
      </c>
      <c r="E555" s="280" t="s">
        <v>267</v>
      </c>
      <c r="F555" s="276"/>
      <c r="G555" s="137">
        <f>SUM(G556)</f>
        <v>0</v>
      </c>
      <c r="H555" s="12" t="e">
        <f>SUM(#REF!)</f>
        <v>#REF!</v>
      </c>
      <c r="I555" s="12" t="e">
        <f t="shared" si="9"/>
        <v>#REF!</v>
      </c>
      <c r="J555"/>
    </row>
    <row r="556" spans="1:10" ht="28.5" hidden="1">
      <c r="A556" s="225" t="s">
        <v>347</v>
      </c>
      <c r="B556" s="190"/>
      <c r="C556" s="284" t="s">
        <v>300</v>
      </c>
      <c r="D556" s="280" t="s">
        <v>460</v>
      </c>
      <c r="E556" s="280" t="s">
        <v>267</v>
      </c>
      <c r="F556" s="276" t="s">
        <v>268</v>
      </c>
      <c r="G556" s="137"/>
      <c r="H556" s="12">
        <f>SUM(H557)</f>
        <v>340</v>
      </c>
      <c r="I556" s="12">
        <f t="shared" si="9"/>
        <v>2.9945657439293987</v>
      </c>
      <c r="J556"/>
    </row>
    <row r="557" spans="1:10" ht="15">
      <c r="A557" s="227" t="s">
        <v>240</v>
      </c>
      <c r="B557" s="191"/>
      <c r="C557" s="284" t="s">
        <v>300</v>
      </c>
      <c r="D557" s="280" t="s">
        <v>300</v>
      </c>
      <c r="E557" s="280"/>
      <c r="F557" s="277"/>
      <c r="G557" s="137">
        <f>SUM(G560)+G565+G558</f>
        <v>20780</v>
      </c>
      <c r="H557" s="12">
        <f>SUM(H558)</f>
        <v>340</v>
      </c>
      <c r="I557" s="12">
        <f t="shared" si="9"/>
        <v>23.085279739272135</v>
      </c>
      <c r="J557"/>
    </row>
    <row r="558" spans="1:9" ht="15">
      <c r="A558" s="109" t="s">
        <v>387</v>
      </c>
      <c r="B558" s="62"/>
      <c r="C558" s="280" t="s">
        <v>300</v>
      </c>
      <c r="D558" s="280" t="s">
        <v>300</v>
      </c>
      <c r="E558" s="275" t="s">
        <v>507</v>
      </c>
      <c r="F558" s="277"/>
      <c r="G558" s="258">
        <f>SUM(G559)</f>
        <v>100</v>
      </c>
      <c r="H558" s="12">
        <v>340</v>
      </c>
      <c r="I558" s="12">
        <f t="shared" si="9"/>
        <v>721.8683651804671</v>
      </c>
    </row>
    <row r="559" spans="1:10" ht="28.5">
      <c r="A559" s="114" t="s">
        <v>517</v>
      </c>
      <c r="B559" s="62"/>
      <c r="C559" s="280" t="s">
        <v>300</v>
      </c>
      <c r="D559" s="280" t="s">
        <v>300</v>
      </c>
      <c r="E559" s="275" t="s">
        <v>507</v>
      </c>
      <c r="F559" s="277" t="s">
        <v>513</v>
      </c>
      <c r="G559" s="258">
        <v>100</v>
      </c>
      <c r="H559" s="12">
        <f>SUM(H560)</f>
        <v>9494.7</v>
      </c>
      <c r="I559" s="12" t="e">
        <f>SUM(H559/#REF!*100)</f>
        <v>#REF!</v>
      </c>
      <c r="J559">
        <f>SUM('[3]ведомствен.2014'!G915)</f>
        <v>100</v>
      </c>
    </row>
    <row r="560" spans="1:10" ht="28.5">
      <c r="A560" s="227" t="s">
        <v>179</v>
      </c>
      <c r="B560" s="190"/>
      <c r="C560" s="284" t="s">
        <v>300</v>
      </c>
      <c r="D560" s="280" t="s">
        <v>300</v>
      </c>
      <c r="E560" s="280" t="s">
        <v>180</v>
      </c>
      <c r="F560" s="277"/>
      <c r="G560" s="137">
        <f>SUM(G561)</f>
        <v>12873.8</v>
      </c>
      <c r="H560" s="12">
        <f>SUM(H561)</f>
        <v>9494.7</v>
      </c>
      <c r="I560" s="12" t="e">
        <f>SUM(H560/#REF!*100)</f>
        <v>#REF!</v>
      </c>
      <c r="J560"/>
    </row>
    <row r="561" spans="1:10" ht="28.5">
      <c r="A561" s="225" t="s">
        <v>56</v>
      </c>
      <c r="B561" s="190"/>
      <c r="C561" s="284" t="s">
        <v>300</v>
      </c>
      <c r="D561" s="280" t="s">
        <v>300</v>
      </c>
      <c r="E561" s="280" t="s">
        <v>181</v>
      </c>
      <c r="F561" s="277"/>
      <c r="G561" s="137">
        <f>SUM(G562:G564)</f>
        <v>12873.8</v>
      </c>
      <c r="H561" s="12">
        <f>SUM(H562:H563)</f>
        <v>9494.7</v>
      </c>
      <c r="I561" s="12" t="e">
        <f>SUM(H561/#REF!*100)</f>
        <v>#REF!</v>
      </c>
      <c r="J561"/>
    </row>
    <row r="562" spans="1:10" ht="42.75">
      <c r="A562" s="225" t="s">
        <v>495</v>
      </c>
      <c r="B562" s="190"/>
      <c r="C562" s="284" t="s">
        <v>300</v>
      </c>
      <c r="D562" s="280" t="s">
        <v>300</v>
      </c>
      <c r="E562" s="280" t="s">
        <v>181</v>
      </c>
      <c r="F562" s="276" t="s">
        <v>496</v>
      </c>
      <c r="G562" s="137">
        <v>11353.9</v>
      </c>
      <c r="H562" s="12">
        <v>9494.7</v>
      </c>
      <c r="I562" s="12" t="e">
        <f>SUM(H562/#REF!*100)</f>
        <v>#REF!</v>
      </c>
      <c r="J562" s="33">
        <f>SUM('[3]ведомствен.2014'!G918)</f>
        <v>11353.9</v>
      </c>
    </row>
    <row r="563" spans="1:10" ht="15">
      <c r="A563" s="225" t="s">
        <v>500</v>
      </c>
      <c r="B563" s="190"/>
      <c r="C563" s="284" t="s">
        <v>300</v>
      </c>
      <c r="D563" s="280" t="s">
        <v>300</v>
      </c>
      <c r="E563" s="280" t="s">
        <v>181</v>
      </c>
      <c r="F563" s="276" t="s">
        <v>120</v>
      </c>
      <c r="G563" s="138">
        <v>1472.8</v>
      </c>
      <c r="H563" s="12"/>
      <c r="I563" s="12" t="e">
        <f>SUM(H563/#REF!*100)</f>
        <v>#REF!</v>
      </c>
      <c r="J563" s="33">
        <f>SUM('[3]ведомствен.2014'!G919)</f>
        <v>1472.8</v>
      </c>
    </row>
    <row r="564" spans="1:10" ht="15">
      <c r="A564" s="225" t="s">
        <v>501</v>
      </c>
      <c r="B564" s="190"/>
      <c r="C564" s="284" t="s">
        <v>300</v>
      </c>
      <c r="D564" s="280" t="s">
        <v>300</v>
      </c>
      <c r="E564" s="280" t="s">
        <v>181</v>
      </c>
      <c r="F564" s="277" t="s">
        <v>176</v>
      </c>
      <c r="G564" s="137">
        <v>47.1</v>
      </c>
      <c r="H564" s="12" t="e">
        <f>SUM(#REF!+#REF!+#REF!)</f>
        <v>#REF!</v>
      </c>
      <c r="I564" s="12" t="e">
        <f>SUM(H564/#REF!*100)</f>
        <v>#REF!</v>
      </c>
      <c r="J564" s="33">
        <f>SUM('[3]ведомствен.2014'!G920)</f>
        <v>47.1</v>
      </c>
    </row>
    <row r="565" spans="1:9" ht="15">
      <c r="A565" s="114" t="s">
        <v>753</v>
      </c>
      <c r="B565" s="206"/>
      <c r="C565" s="284" t="s">
        <v>300</v>
      </c>
      <c r="D565" s="280" t="s">
        <v>300</v>
      </c>
      <c r="E565" s="280" t="s">
        <v>129</v>
      </c>
      <c r="F565" s="277"/>
      <c r="G565" s="137">
        <f>SUM(G566)</f>
        <v>7806.2</v>
      </c>
      <c r="H565" s="12"/>
      <c r="I565" s="12"/>
    </row>
    <row r="566" spans="1:9" ht="42.75">
      <c r="A566" s="225" t="s">
        <v>644</v>
      </c>
      <c r="B566" s="206"/>
      <c r="C566" s="284" t="s">
        <v>300</v>
      </c>
      <c r="D566" s="280" t="s">
        <v>300</v>
      </c>
      <c r="E566" s="280" t="s">
        <v>645</v>
      </c>
      <c r="F566" s="277"/>
      <c r="G566" s="137">
        <f>SUM(G567)</f>
        <v>7806.2</v>
      </c>
      <c r="H566" s="12"/>
      <c r="I566" s="12"/>
    </row>
    <row r="567" spans="1:10" ht="28.5">
      <c r="A567" s="245" t="s">
        <v>517</v>
      </c>
      <c r="B567" s="219"/>
      <c r="C567" s="341" t="s">
        <v>300</v>
      </c>
      <c r="D567" s="331" t="s">
        <v>300</v>
      </c>
      <c r="E567" s="332" t="s">
        <v>645</v>
      </c>
      <c r="F567" s="333" t="s">
        <v>513</v>
      </c>
      <c r="G567" s="164">
        <v>7806.2</v>
      </c>
      <c r="H567" s="12"/>
      <c r="I567" s="12"/>
      <c r="J567" s="33">
        <f>SUM('[3]ведомствен.2014'!G923)</f>
        <v>7806.2</v>
      </c>
    </row>
    <row r="568" spans="1:12" s="14" customFormat="1" ht="15">
      <c r="A568" s="229" t="s">
        <v>188</v>
      </c>
      <c r="B568" s="194"/>
      <c r="C568" s="281" t="s">
        <v>5</v>
      </c>
      <c r="D568" s="337"/>
      <c r="E568" s="337"/>
      <c r="F568" s="338"/>
      <c r="G568" s="139">
        <f>SUM(G569+G573+G587+G668+G692)</f>
        <v>915477.1</v>
      </c>
      <c r="H568" s="16">
        <f>SUM(H569)+H571</f>
        <v>0</v>
      </c>
      <c r="I568" s="12" t="e">
        <f aca="true" t="shared" si="10" ref="I568:I581">SUM(H568/G574*100)</f>
        <v>#DIV/0!</v>
      </c>
      <c r="K568" s="14">
        <f>SUM(J570:J720)</f>
        <v>915477.0999999997</v>
      </c>
      <c r="L568" s="14">
        <f>SUM('[3]ведомствен.2014'!G302+'[3]ведомствен.2014'!G425+'[3]ведомствен.2014'!G751)+'[3]ведомствен.2014'!G367</f>
        <v>915477.1</v>
      </c>
    </row>
    <row r="569" spans="1:11" s="14" customFormat="1" ht="15">
      <c r="A569" s="225" t="s">
        <v>190</v>
      </c>
      <c r="B569" s="190"/>
      <c r="C569" s="274" t="s">
        <v>5</v>
      </c>
      <c r="D569" s="275" t="s">
        <v>460</v>
      </c>
      <c r="E569" s="275"/>
      <c r="F569" s="276"/>
      <c r="G569" s="137">
        <f>SUM(G570)</f>
        <v>4242.6</v>
      </c>
      <c r="H569" s="12">
        <f>SUM(H570)</f>
        <v>0</v>
      </c>
      <c r="I569" s="12" t="e">
        <f t="shared" si="10"/>
        <v>#DIV/0!</v>
      </c>
      <c r="K569" s="168">
        <f>SUM(K568-G568)</f>
        <v>-2.3283064365386963E-10</v>
      </c>
    </row>
    <row r="570" spans="1:9" s="14" customFormat="1" ht="15">
      <c r="A570" s="225" t="s">
        <v>191</v>
      </c>
      <c r="B570" s="190"/>
      <c r="C570" s="274" t="s">
        <v>5</v>
      </c>
      <c r="D570" s="275" t="s">
        <v>460</v>
      </c>
      <c r="E570" s="275" t="s">
        <v>192</v>
      </c>
      <c r="F570" s="276"/>
      <c r="G570" s="137">
        <f>SUM(G571)</f>
        <v>4242.6</v>
      </c>
      <c r="H570" s="12"/>
      <c r="I570" s="12" t="e">
        <f t="shared" si="10"/>
        <v>#DIV/0!</v>
      </c>
    </row>
    <row r="571" spans="1:9" s="14" customFormat="1" ht="28.5">
      <c r="A571" s="225" t="s">
        <v>193</v>
      </c>
      <c r="B571" s="190"/>
      <c r="C571" s="274" t="s">
        <v>5</v>
      </c>
      <c r="D571" s="275" t="s">
        <v>460</v>
      </c>
      <c r="E571" s="275" t="s">
        <v>194</v>
      </c>
      <c r="F571" s="276"/>
      <c r="G571" s="137">
        <f>SUM(G572)</f>
        <v>4242.6</v>
      </c>
      <c r="H571" s="12">
        <f>SUM(H572)</f>
        <v>0</v>
      </c>
      <c r="I571" s="12" t="e">
        <f t="shared" si="10"/>
        <v>#DIV/0!</v>
      </c>
    </row>
    <row r="572" spans="1:11" s="14" customFormat="1" ht="15">
      <c r="A572" s="225" t="s">
        <v>505</v>
      </c>
      <c r="B572" s="190"/>
      <c r="C572" s="274" t="s">
        <v>5</v>
      </c>
      <c r="D572" s="275" t="s">
        <v>460</v>
      </c>
      <c r="E572" s="275" t="s">
        <v>194</v>
      </c>
      <c r="F572" s="276" t="s">
        <v>506</v>
      </c>
      <c r="G572" s="137">
        <v>4242.6</v>
      </c>
      <c r="H572" s="12"/>
      <c r="I572" s="12" t="e">
        <f t="shared" si="10"/>
        <v>#DIV/0!</v>
      </c>
      <c r="J572" s="14">
        <f>SUM('[3]ведомствен.2014'!G429)</f>
        <v>4242.6</v>
      </c>
      <c r="K572" s="168"/>
    </row>
    <row r="573" spans="1:11" s="14" customFormat="1" ht="15">
      <c r="A573" s="225" t="s">
        <v>195</v>
      </c>
      <c r="B573" s="190"/>
      <c r="C573" s="284" t="s">
        <v>5</v>
      </c>
      <c r="D573" s="280" t="s">
        <v>462</v>
      </c>
      <c r="E573" s="275"/>
      <c r="F573" s="276"/>
      <c r="G573" s="137">
        <f>SUM(G574+G579)</f>
        <v>52273.1</v>
      </c>
      <c r="H573" s="12">
        <f>SUM(H574+H576)</f>
        <v>16618.3</v>
      </c>
      <c r="I573" s="12">
        <f t="shared" si="10"/>
        <v>31.791303748964573</v>
      </c>
      <c r="K573" s="168"/>
    </row>
    <row r="574" spans="1:11" s="14" customFormat="1" ht="15" hidden="1">
      <c r="A574" s="246" t="s">
        <v>74</v>
      </c>
      <c r="B574" s="190"/>
      <c r="C574" s="284" t="s">
        <v>5</v>
      </c>
      <c r="D574" s="280" t="s">
        <v>462</v>
      </c>
      <c r="E574" s="280" t="s">
        <v>75</v>
      </c>
      <c r="F574" s="277"/>
      <c r="G574" s="137"/>
      <c r="H574" s="12">
        <f>SUM(H575)</f>
        <v>0</v>
      </c>
      <c r="I574" s="12">
        <f t="shared" si="10"/>
        <v>0</v>
      </c>
      <c r="K574" s="168"/>
    </row>
    <row r="575" spans="1:11" s="14" customFormat="1" ht="28.5" hidden="1">
      <c r="A575" s="246" t="s">
        <v>17</v>
      </c>
      <c r="B575" s="190"/>
      <c r="C575" s="284" t="s">
        <v>5</v>
      </c>
      <c r="D575" s="280" t="s">
        <v>462</v>
      </c>
      <c r="E575" s="280" t="s">
        <v>18</v>
      </c>
      <c r="F575" s="277"/>
      <c r="G575" s="137">
        <f>SUM(G576+G577)</f>
        <v>0</v>
      </c>
      <c r="H575" s="12"/>
      <c r="I575" s="12">
        <f t="shared" si="10"/>
        <v>0</v>
      </c>
      <c r="K575" s="168"/>
    </row>
    <row r="576" spans="1:11" s="14" customFormat="1" ht="15" hidden="1">
      <c r="A576" s="226" t="s">
        <v>246</v>
      </c>
      <c r="B576" s="190"/>
      <c r="C576" s="284" t="s">
        <v>5</v>
      </c>
      <c r="D576" s="280" t="s">
        <v>462</v>
      </c>
      <c r="E576" s="280" t="s">
        <v>18</v>
      </c>
      <c r="F576" s="277" t="s">
        <v>247</v>
      </c>
      <c r="G576" s="137"/>
      <c r="H576" s="12">
        <f>SUM(H577)</f>
        <v>16618.3</v>
      </c>
      <c r="I576" s="12">
        <f t="shared" si="10"/>
        <v>1212.306682229355</v>
      </c>
      <c r="K576" s="168"/>
    </row>
    <row r="577" spans="1:11" s="14" customFormat="1" ht="28.5" hidden="1">
      <c r="A577" s="246" t="s">
        <v>19</v>
      </c>
      <c r="B577" s="190"/>
      <c r="C577" s="284" t="s">
        <v>5</v>
      </c>
      <c r="D577" s="280" t="s">
        <v>462</v>
      </c>
      <c r="E577" s="280" t="s">
        <v>20</v>
      </c>
      <c r="F577" s="277"/>
      <c r="G577" s="137">
        <f>SUM(G578)</f>
        <v>0</v>
      </c>
      <c r="H577" s="12">
        <v>16618.3</v>
      </c>
      <c r="I577" s="12">
        <f t="shared" si="10"/>
        <v>33.1021391109314</v>
      </c>
      <c r="J577" s="35"/>
      <c r="K577" s="168"/>
    </row>
    <row r="578" spans="1:11" s="14" customFormat="1" ht="15" hidden="1">
      <c r="A578" s="226" t="s">
        <v>246</v>
      </c>
      <c r="B578" s="190"/>
      <c r="C578" s="284" t="s">
        <v>5</v>
      </c>
      <c r="D578" s="280" t="s">
        <v>462</v>
      </c>
      <c r="E578" s="280" t="s">
        <v>20</v>
      </c>
      <c r="F578" s="277" t="s">
        <v>247</v>
      </c>
      <c r="G578" s="137"/>
      <c r="H578" s="16" t="e">
        <f>SUM(H588+#REF!+#REF!+#REF!+H579)</f>
        <v>#REF!</v>
      </c>
      <c r="I578" s="12" t="e">
        <f t="shared" si="10"/>
        <v>#REF!</v>
      </c>
      <c r="K578" s="168"/>
    </row>
    <row r="579" spans="1:11" s="14" customFormat="1" ht="15">
      <c r="A579" s="246" t="s">
        <v>74</v>
      </c>
      <c r="B579" s="190"/>
      <c r="C579" s="284" t="s">
        <v>5</v>
      </c>
      <c r="D579" s="280" t="s">
        <v>462</v>
      </c>
      <c r="E579" s="280" t="s">
        <v>21</v>
      </c>
      <c r="F579" s="277"/>
      <c r="G579" s="137">
        <f>SUM(G580+G583)</f>
        <v>52273.1</v>
      </c>
      <c r="H579" s="12">
        <f>SUM(H581)</f>
        <v>200</v>
      </c>
      <c r="I579" s="12">
        <f t="shared" si="10"/>
        <v>2.234786689610477</v>
      </c>
      <c r="K579" s="168">
        <f>SUM(J579:J586)</f>
        <v>52273.1</v>
      </c>
    </row>
    <row r="580" spans="1:11" s="14" customFormat="1" ht="28.5">
      <c r="A580" s="226" t="s">
        <v>56</v>
      </c>
      <c r="B580" s="190"/>
      <c r="C580" s="284" t="s">
        <v>5</v>
      </c>
      <c r="D580" s="280" t="s">
        <v>462</v>
      </c>
      <c r="E580" s="280" t="s">
        <v>22</v>
      </c>
      <c r="F580" s="277"/>
      <c r="G580" s="137">
        <f>SUM(G581:G582)</f>
        <v>2070</v>
      </c>
      <c r="H580" s="12">
        <f>SUM(H581)</f>
        <v>200</v>
      </c>
      <c r="I580" s="12">
        <f t="shared" si="10"/>
        <v>51.813471502590666</v>
      </c>
      <c r="K580" s="168"/>
    </row>
    <row r="581" spans="1:11" s="14" customFormat="1" ht="42.75">
      <c r="A581" s="225" t="s">
        <v>495</v>
      </c>
      <c r="B581" s="190"/>
      <c r="C581" s="284" t="s">
        <v>5</v>
      </c>
      <c r="D581" s="280" t="s">
        <v>462</v>
      </c>
      <c r="E581" s="280" t="s">
        <v>22</v>
      </c>
      <c r="F581" s="276" t="s">
        <v>496</v>
      </c>
      <c r="G581" s="137">
        <v>699.2</v>
      </c>
      <c r="H581" s="12">
        <v>200</v>
      </c>
      <c r="I581" s="12">
        <f t="shared" si="10"/>
        <v>0.027803237047479726</v>
      </c>
      <c r="J581" s="14">
        <f>SUM('[3]ведомствен.2014'!G438)</f>
        <v>699.2</v>
      </c>
      <c r="K581" s="168"/>
    </row>
    <row r="582" spans="1:11" s="14" customFormat="1" ht="15">
      <c r="A582" s="225" t="s">
        <v>500</v>
      </c>
      <c r="B582" s="190"/>
      <c r="C582" s="284" t="s">
        <v>5</v>
      </c>
      <c r="D582" s="280" t="s">
        <v>462</v>
      </c>
      <c r="E582" s="280" t="s">
        <v>22</v>
      </c>
      <c r="F582" s="276" t="s">
        <v>120</v>
      </c>
      <c r="G582" s="137">
        <v>1370.8</v>
      </c>
      <c r="H582" s="12"/>
      <c r="I582" s="12"/>
      <c r="J582" s="14">
        <f>SUM('[3]ведомствен.2014'!G439)</f>
        <v>1370.8</v>
      </c>
      <c r="K582" s="168"/>
    </row>
    <row r="583" spans="1:11" ht="28.5">
      <c r="A583" s="226" t="s">
        <v>23</v>
      </c>
      <c r="B583" s="190"/>
      <c r="C583" s="284" t="s">
        <v>5</v>
      </c>
      <c r="D583" s="280" t="s">
        <v>462</v>
      </c>
      <c r="E583" s="280" t="s">
        <v>24</v>
      </c>
      <c r="F583" s="277"/>
      <c r="G583" s="137">
        <f>SUM(G584:G586)</f>
        <v>50203.1</v>
      </c>
      <c r="H583" s="12">
        <f>SUM(H586)</f>
        <v>0</v>
      </c>
      <c r="I583" s="12">
        <f>SUM(H583/G589*100)</f>
        <v>0</v>
      </c>
      <c r="J583"/>
      <c r="K583" s="168"/>
    </row>
    <row r="584" spans="1:11" ht="42.75">
      <c r="A584" s="225" t="s">
        <v>495</v>
      </c>
      <c r="B584" s="190"/>
      <c r="C584" s="284" t="s">
        <v>5</v>
      </c>
      <c r="D584" s="280" t="s">
        <v>462</v>
      </c>
      <c r="E584" s="280" t="s">
        <v>24</v>
      </c>
      <c r="F584" s="276" t="s">
        <v>496</v>
      </c>
      <c r="G584" s="137">
        <v>40867.7</v>
      </c>
      <c r="H584" s="12"/>
      <c r="I584" s="12"/>
      <c r="J584" s="14">
        <f>SUM('[3]ведомствен.2014'!G441)</f>
        <v>40867.7</v>
      </c>
      <c r="K584" s="168"/>
    </row>
    <row r="585" spans="1:11" ht="15">
      <c r="A585" s="225" t="s">
        <v>500</v>
      </c>
      <c r="B585" s="190"/>
      <c r="C585" s="284" t="s">
        <v>5</v>
      </c>
      <c r="D585" s="280" t="s">
        <v>462</v>
      </c>
      <c r="E585" s="280" t="s">
        <v>24</v>
      </c>
      <c r="F585" s="276" t="s">
        <v>120</v>
      </c>
      <c r="G585" s="137">
        <v>8949.4</v>
      </c>
      <c r="H585" s="12"/>
      <c r="I585" s="12"/>
      <c r="J585" s="14">
        <f>SUM('[3]ведомствен.2014'!G442)</f>
        <v>8949.4</v>
      </c>
      <c r="K585" s="168"/>
    </row>
    <row r="586" spans="1:11" ht="15">
      <c r="A586" s="225" t="s">
        <v>501</v>
      </c>
      <c r="B586" s="190"/>
      <c r="C586" s="284" t="s">
        <v>5</v>
      </c>
      <c r="D586" s="280" t="s">
        <v>462</v>
      </c>
      <c r="E586" s="280" t="s">
        <v>24</v>
      </c>
      <c r="F586" s="276" t="s">
        <v>176</v>
      </c>
      <c r="G586" s="137">
        <v>386</v>
      </c>
      <c r="H586" s="12">
        <f>SUM(H587)</f>
        <v>0</v>
      </c>
      <c r="I586" s="12">
        <f>SUM(H586/G593*100)</f>
        <v>0</v>
      </c>
      <c r="J586" s="14">
        <f>SUM('[3]ведомствен.2014'!G443)</f>
        <v>386</v>
      </c>
      <c r="K586" s="168"/>
    </row>
    <row r="587" spans="1:11" ht="15">
      <c r="A587" s="225" t="s">
        <v>25</v>
      </c>
      <c r="B587" s="190"/>
      <c r="C587" s="274" t="s">
        <v>5</v>
      </c>
      <c r="D587" s="275" t="s">
        <v>106</v>
      </c>
      <c r="E587" s="275"/>
      <c r="F587" s="276"/>
      <c r="G587" s="137">
        <f>SUM(G592+G654+G662+G658+G588)</f>
        <v>719340.7000000001</v>
      </c>
      <c r="H587" s="12"/>
      <c r="I587" s="12">
        <f>SUM(H587/G595*100)</f>
        <v>0</v>
      </c>
      <c r="J587"/>
      <c r="K587" s="168">
        <f>SUM(J590:J667)</f>
        <v>719340.7</v>
      </c>
    </row>
    <row r="588" spans="1:11" ht="15">
      <c r="A588" s="267" t="s">
        <v>705</v>
      </c>
      <c r="B588" s="62"/>
      <c r="C588" s="275" t="s">
        <v>5</v>
      </c>
      <c r="D588" s="275" t="s">
        <v>106</v>
      </c>
      <c r="E588" s="275" t="s">
        <v>706</v>
      </c>
      <c r="F588" s="276"/>
      <c r="G588" s="258">
        <f>SUM(G589)</f>
        <v>1733.4</v>
      </c>
      <c r="H588" s="12" t="e">
        <f>SUM(H589+H592+H595+H612+H615+H645+H655+H668+H683+H686+H715)+#REF!+H621+H624+H635+H639+H648+H663+H611+H632+H627+H642+H602+H606+H598</f>
        <v>#REF!</v>
      </c>
      <c r="I588" s="12" t="e">
        <f>SUM(H588/G596*100)</f>
        <v>#REF!</v>
      </c>
      <c r="J588"/>
      <c r="K588" s="168"/>
    </row>
    <row r="589" spans="1:11" ht="15">
      <c r="A589" s="109" t="s">
        <v>707</v>
      </c>
      <c r="B589" s="62"/>
      <c r="C589" s="275" t="s">
        <v>5</v>
      </c>
      <c r="D589" s="275" t="s">
        <v>106</v>
      </c>
      <c r="E589" s="275" t="s">
        <v>708</v>
      </c>
      <c r="F589" s="276"/>
      <c r="G589" s="258">
        <f>SUM(G590)</f>
        <v>1733.4</v>
      </c>
      <c r="H589" s="12">
        <f>SUM(H590:H590)</f>
        <v>0</v>
      </c>
      <c r="I589" s="12">
        <f>SUM(H589/G598*100)</f>
        <v>0</v>
      </c>
      <c r="J589"/>
      <c r="K589" s="168"/>
    </row>
    <row r="590" spans="1:11" ht="42.75">
      <c r="A590" s="109" t="s">
        <v>709</v>
      </c>
      <c r="B590" s="62"/>
      <c r="C590" s="275" t="s">
        <v>5</v>
      </c>
      <c r="D590" s="275" t="s">
        <v>106</v>
      </c>
      <c r="E590" s="275" t="s">
        <v>710</v>
      </c>
      <c r="F590" s="276"/>
      <c r="G590" s="258">
        <f>SUM(G591)</f>
        <v>1733.4</v>
      </c>
      <c r="H590" s="12"/>
      <c r="I590" s="12">
        <f>SUM(H590/G599*100)</f>
        <v>0</v>
      </c>
      <c r="J590"/>
      <c r="K590" s="168"/>
    </row>
    <row r="591" spans="1:11" ht="15">
      <c r="A591" s="175" t="s">
        <v>505</v>
      </c>
      <c r="B591" s="62"/>
      <c r="C591" s="275" t="s">
        <v>5</v>
      </c>
      <c r="D591" s="275" t="s">
        <v>106</v>
      </c>
      <c r="E591" s="275" t="s">
        <v>710</v>
      </c>
      <c r="F591" s="276" t="s">
        <v>506</v>
      </c>
      <c r="G591" s="258">
        <v>1733.4</v>
      </c>
      <c r="H591" s="12"/>
      <c r="I591" s="12"/>
      <c r="J591">
        <f>SUM('[3]ведомствен.2014'!G307)</f>
        <v>1733.4</v>
      </c>
      <c r="K591" s="168"/>
    </row>
    <row r="592" spans="1:11" s="14" customFormat="1" ht="15">
      <c r="A592" s="225" t="s">
        <v>26</v>
      </c>
      <c r="B592" s="190"/>
      <c r="C592" s="274" t="s">
        <v>5</v>
      </c>
      <c r="D592" s="275" t="s">
        <v>106</v>
      </c>
      <c r="E592" s="275" t="s">
        <v>27</v>
      </c>
      <c r="F592" s="276"/>
      <c r="G592" s="137">
        <f>SUM(G593+G596+G599+G602+G605+G608+G652)+G649</f>
        <v>711386.3</v>
      </c>
      <c r="H592" s="12">
        <f>SUM(H593:H593)</f>
        <v>0</v>
      </c>
      <c r="I592" s="12">
        <f>SUM(H592/G601*100)</f>
        <v>0</v>
      </c>
      <c r="K592" s="168"/>
    </row>
    <row r="593" spans="1:11" s="14" customFormat="1" ht="42.75">
      <c r="A593" s="225" t="s">
        <v>286</v>
      </c>
      <c r="B593" s="206"/>
      <c r="C593" s="284" t="s">
        <v>5</v>
      </c>
      <c r="D593" s="280" t="s">
        <v>106</v>
      </c>
      <c r="E593" s="280" t="s">
        <v>287</v>
      </c>
      <c r="F593" s="277"/>
      <c r="G593" s="137">
        <f>SUM(G594:G595)</f>
        <v>113612</v>
      </c>
      <c r="H593" s="12"/>
      <c r="I593" s="12">
        <f>SUM(H593/G602*100)</f>
        <v>0</v>
      </c>
      <c r="K593" s="168"/>
    </row>
    <row r="594" spans="1:11" s="14" customFormat="1" ht="15">
      <c r="A594" s="225" t="s">
        <v>500</v>
      </c>
      <c r="B594" s="206"/>
      <c r="C594" s="284" t="s">
        <v>5</v>
      </c>
      <c r="D594" s="280" t="s">
        <v>106</v>
      </c>
      <c r="E594" s="280" t="s">
        <v>287</v>
      </c>
      <c r="F594" s="277" t="s">
        <v>120</v>
      </c>
      <c r="G594" s="137">
        <v>2250</v>
      </c>
      <c r="H594" s="12"/>
      <c r="I594" s="12"/>
      <c r="J594" s="14">
        <f>SUM('[3]ведомствен.2014'!G450)</f>
        <v>2250</v>
      </c>
      <c r="K594" s="168"/>
    </row>
    <row r="595" spans="1:11" s="14" customFormat="1" ht="15">
      <c r="A595" s="225" t="s">
        <v>505</v>
      </c>
      <c r="B595" s="206"/>
      <c r="C595" s="284" t="s">
        <v>5</v>
      </c>
      <c r="D595" s="280" t="s">
        <v>106</v>
      </c>
      <c r="E595" s="280" t="s">
        <v>287</v>
      </c>
      <c r="F595" s="277" t="s">
        <v>506</v>
      </c>
      <c r="G595" s="137">
        <v>111362</v>
      </c>
      <c r="H595" s="12">
        <f>SUM(H596)</f>
        <v>0</v>
      </c>
      <c r="I595" s="12">
        <f>SUM(H595/G604*100)</f>
        <v>0</v>
      </c>
      <c r="J595" s="14">
        <f>SUM('[3]ведомствен.2014'!G451)</f>
        <v>111362</v>
      </c>
      <c r="K595" s="168"/>
    </row>
    <row r="596" spans="1:11" s="14" customFormat="1" ht="28.5">
      <c r="A596" s="225" t="s">
        <v>285</v>
      </c>
      <c r="B596" s="206"/>
      <c r="C596" s="284" t="s">
        <v>5</v>
      </c>
      <c r="D596" s="280" t="s">
        <v>106</v>
      </c>
      <c r="E596" s="280" t="s">
        <v>571</v>
      </c>
      <c r="F596" s="277"/>
      <c r="G596" s="137">
        <f>SUM(G597:G598)</f>
        <v>95024.6</v>
      </c>
      <c r="H596" s="12"/>
      <c r="I596" s="12">
        <f>SUM(H596/G605*100)</f>
        <v>0</v>
      </c>
      <c r="K596" s="168"/>
    </row>
    <row r="597" spans="1:11" s="14" customFormat="1" ht="15">
      <c r="A597" s="225" t="s">
        <v>500</v>
      </c>
      <c r="B597" s="206"/>
      <c r="C597" s="284" t="s">
        <v>5</v>
      </c>
      <c r="D597" s="280" t="s">
        <v>106</v>
      </c>
      <c r="E597" s="280" t="s">
        <v>571</v>
      </c>
      <c r="F597" s="277" t="s">
        <v>120</v>
      </c>
      <c r="G597" s="137">
        <v>1443.5</v>
      </c>
      <c r="H597" s="12"/>
      <c r="I597" s="12"/>
      <c r="J597" s="14">
        <f>SUM('[3]ведомствен.2014'!G453)</f>
        <v>1443.5</v>
      </c>
      <c r="K597" s="168"/>
    </row>
    <row r="598" spans="1:11" s="14" customFormat="1" ht="15">
      <c r="A598" s="225" t="s">
        <v>505</v>
      </c>
      <c r="B598" s="220"/>
      <c r="C598" s="284" t="s">
        <v>5</v>
      </c>
      <c r="D598" s="280" t="s">
        <v>106</v>
      </c>
      <c r="E598" s="280" t="s">
        <v>571</v>
      </c>
      <c r="F598" s="277" t="s">
        <v>506</v>
      </c>
      <c r="G598" s="137">
        <v>93581.1</v>
      </c>
      <c r="H598" s="12">
        <f>SUM(H599)</f>
        <v>361.8</v>
      </c>
      <c r="I598" s="12">
        <f>SUM(H598/G606*100)</f>
        <v>11.837843143670451</v>
      </c>
      <c r="J598" s="14">
        <f>SUM('[3]ведомствен.2014'!G454)</f>
        <v>93581.1</v>
      </c>
      <c r="K598" s="168"/>
    </row>
    <row r="599" spans="1:11" s="14" customFormat="1" ht="42.75">
      <c r="A599" s="227" t="s">
        <v>284</v>
      </c>
      <c r="B599" s="206"/>
      <c r="C599" s="284" t="s">
        <v>5</v>
      </c>
      <c r="D599" s="280" t="s">
        <v>106</v>
      </c>
      <c r="E599" s="280" t="s">
        <v>572</v>
      </c>
      <c r="F599" s="277"/>
      <c r="G599" s="137">
        <f>SUM(G600:G601)</f>
        <v>77.10000000000001</v>
      </c>
      <c r="H599" s="12">
        <v>361.8</v>
      </c>
      <c r="I599" s="12">
        <f>SUM(H599/G607*100)</f>
        <v>13.4</v>
      </c>
      <c r="K599" s="168"/>
    </row>
    <row r="600" spans="1:11" s="14" customFormat="1" ht="15">
      <c r="A600" s="225" t="s">
        <v>500</v>
      </c>
      <c r="B600" s="206"/>
      <c r="C600" s="284" t="s">
        <v>5</v>
      </c>
      <c r="D600" s="280" t="s">
        <v>106</v>
      </c>
      <c r="E600" s="280" t="s">
        <v>572</v>
      </c>
      <c r="F600" s="277" t="s">
        <v>120</v>
      </c>
      <c r="G600" s="137">
        <v>1.2</v>
      </c>
      <c r="H600" s="12"/>
      <c r="I600" s="12"/>
      <c r="J600" s="14">
        <f>SUM('[3]ведомствен.2014'!G456)</f>
        <v>1.2</v>
      </c>
      <c r="K600" s="168"/>
    </row>
    <row r="601" spans="1:11" s="14" customFormat="1" ht="15">
      <c r="A601" s="225" t="s">
        <v>505</v>
      </c>
      <c r="B601" s="206"/>
      <c r="C601" s="284" t="s">
        <v>5</v>
      </c>
      <c r="D601" s="280" t="s">
        <v>106</v>
      </c>
      <c r="E601" s="280" t="s">
        <v>572</v>
      </c>
      <c r="F601" s="277" t="s">
        <v>506</v>
      </c>
      <c r="G601" s="137">
        <v>75.9</v>
      </c>
      <c r="H601" s="12"/>
      <c r="I601" s="12">
        <f>SUM(H601/G608*100)</f>
        <v>0</v>
      </c>
      <c r="J601" s="14">
        <f>SUM('[3]ведомствен.2014'!G457)</f>
        <v>75.9</v>
      </c>
      <c r="K601" s="168"/>
    </row>
    <row r="602" spans="1:11" s="14" customFormat="1" ht="84.75" customHeight="1">
      <c r="A602" s="247" t="s">
        <v>574</v>
      </c>
      <c r="B602" s="221"/>
      <c r="C602" s="293" t="s">
        <v>5</v>
      </c>
      <c r="D602" s="294" t="s">
        <v>106</v>
      </c>
      <c r="E602" s="294" t="s">
        <v>573</v>
      </c>
      <c r="F602" s="295"/>
      <c r="G602" s="141">
        <f>SUM(G603:G604)</f>
        <v>78774.5</v>
      </c>
      <c r="H602" s="12">
        <f>SUM(H604)</f>
        <v>634.3</v>
      </c>
      <c r="I602" s="12">
        <f>SUM(H602/G609*100)</f>
        <v>116.21473067057528</v>
      </c>
      <c r="K602" s="168"/>
    </row>
    <row r="603" spans="1:11" s="14" customFormat="1" ht="15" hidden="1">
      <c r="A603" s="225" t="s">
        <v>500</v>
      </c>
      <c r="B603" s="206"/>
      <c r="C603" s="284" t="s">
        <v>5</v>
      </c>
      <c r="D603" s="280" t="s">
        <v>106</v>
      </c>
      <c r="E603" s="294" t="s">
        <v>573</v>
      </c>
      <c r="F603" s="277" t="s">
        <v>120</v>
      </c>
      <c r="G603" s="141"/>
      <c r="H603" s="12"/>
      <c r="I603" s="12"/>
      <c r="J603" s="14">
        <f>SUM('[3]ведомствен.2014'!G459)</f>
        <v>0</v>
      </c>
      <c r="K603" s="168"/>
    </row>
    <row r="604" spans="1:11" s="14" customFormat="1" ht="15">
      <c r="A604" s="231" t="s">
        <v>505</v>
      </c>
      <c r="B604" s="221"/>
      <c r="C604" s="293" t="s">
        <v>5</v>
      </c>
      <c r="D604" s="294" t="s">
        <v>106</v>
      </c>
      <c r="E604" s="294" t="s">
        <v>573</v>
      </c>
      <c r="F604" s="295" t="s">
        <v>506</v>
      </c>
      <c r="G604" s="141">
        <v>78774.5</v>
      </c>
      <c r="H604" s="12">
        <v>634.3</v>
      </c>
      <c r="I604" s="12">
        <f>SUM(H604/G611*100)</f>
        <v>117.98735119047619</v>
      </c>
      <c r="J604" s="14">
        <f>SUM('[3]ведомствен.2014'!G460)</f>
        <v>78774.5</v>
      </c>
      <c r="K604" s="168"/>
    </row>
    <row r="605" spans="1:11" s="14" customFormat="1" ht="15">
      <c r="A605" s="248" t="s">
        <v>221</v>
      </c>
      <c r="B605" s="195"/>
      <c r="C605" s="293" t="s">
        <v>5</v>
      </c>
      <c r="D605" s="294" t="s">
        <v>106</v>
      </c>
      <c r="E605" s="294" t="s">
        <v>575</v>
      </c>
      <c r="F605" s="295"/>
      <c r="G605" s="141">
        <f>G606+G607</f>
        <v>5756.3</v>
      </c>
      <c r="H605" s="12"/>
      <c r="I605" s="12"/>
      <c r="J605" s="35"/>
      <c r="K605" s="168"/>
    </row>
    <row r="606" spans="1:11" s="14" customFormat="1" ht="15">
      <c r="A606" s="248" t="s">
        <v>505</v>
      </c>
      <c r="B606" s="195"/>
      <c r="C606" s="293" t="s">
        <v>5</v>
      </c>
      <c r="D606" s="294" t="s">
        <v>106</v>
      </c>
      <c r="E606" s="294" t="s">
        <v>575</v>
      </c>
      <c r="F606" s="295" t="s">
        <v>506</v>
      </c>
      <c r="G606" s="141">
        <v>3056.3</v>
      </c>
      <c r="H606" s="12">
        <f>SUM(H607)</f>
        <v>542.8</v>
      </c>
      <c r="I606" s="12">
        <f>SUM(H606/G614*100)</f>
        <v>1.3727523330214206</v>
      </c>
      <c r="J606" s="14">
        <f>SUM('[3]ведомствен.2014'!G462)</f>
        <v>3056.3</v>
      </c>
      <c r="K606" s="168"/>
    </row>
    <row r="607" spans="1:11" s="14" customFormat="1" ht="57">
      <c r="A607" s="248" t="s">
        <v>576</v>
      </c>
      <c r="B607" s="195"/>
      <c r="C607" s="293" t="s">
        <v>5</v>
      </c>
      <c r="D607" s="294" t="s">
        <v>106</v>
      </c>
      <c r="E607" s="294" t="s">
        <v>575</v>
      </c>
      <c r="F607" s="295" t="s">
        <v>513</v>
      </c>
      <c r="G607" s="141">
        <v>2700</v>
      </c>
      <c r="H607" s="12">
        <v>542.8</v>
      </c>
      <c r="I607" s="12">
        <f>SUM(H607/G615*100)</f>
        <v>1.0509033741974954</v>
      </c>
      <c r="J607" s="14">
        <f>SUM('[3]ведомствен.2014'!G463)</f>
        <v>2700</v>
      </c>
      <c r="K607" s="168"/>
    </row>
    <row r="608" spans="1:11" s="14" customFormat="1" ht="28.5">
      <c r="A608" s="231" t="s">
        <v>289</v>
      </c>
      <c r="B608" s="221"/>
      <c r="C608" s="293" t="s">
        <v>5</v>
      </c>
      <c r="D608" s="294" t="s">
        <v>106</v>
      </c>
      <c r="E608" s="294" t="s">
        <v>577</v>
      </c>
      <c r="F608" s="295"/>
      <c r="G608" s="141">
        <f>G609+G612+G615+G618+G621+G624+G627+G630+G633+G636+G639+G642+G646</f>
        <v>408458.69999999995</v>
      </c>
      <c r="H608" s="16"/>
      <c r="I608" s="12"/>
      <c r="K608" s="168"/>
    </row>
    <row r="609" spans="1:11" s="14" customFormat="1" ht="57">
      <c r="A609" s="231" t="s">
        <v>468</v>
      </c>
      <c r="B609" s="221"/>
      <c r="C609" s="293" t="s">
        <v>5</v>
      </c>
      <c r="D609" s="294" t="s">
        <v>106</v>
      </c>
      <c r="E609" s="294" t="s">
        <v>578</v>
      </c>
      <c r="F609" s="295"/>
      <c r="G609" s="141">
        <f>SUM(G610:G611)</f>
        <v>545.8000000000001</v>
      </c>
      <c r="H609" s="16"/>
      <c r="I609" s="12"/>
      <c r="K609" s="168"/>
    </row>
    <row r="610" spans="1:11" s="14" customFormat="1" ht="15">
      <c r="A610" s="225" t="s">
        <v>500</v>
      </c>
      <c r="B610" s="206"/>
      <c r="C610" s="284" t="s">
        <v>5</v>
      </c>
      <c r="D610" s="280" t="s">
        <v>106</v>
      </c>
      <c r="E610" s="294" t="s">
        <v>578</v>
      </c>
      <c r="F610" s="277" t="s">
        <v>120</v>
      </c>
      <c r="G610" s="141">
        <v>8.2</v>
      </c>
      <c r="H610" s="16"/>
      <c r="I610" s="12"/>
      <c r="J610" s="14">
        <f>SUM('[3]ведомствен.2014'!G466)</f>
        <v>8.2</v>
      </c>
      <c r="K610" s="168"/>
    </row>
    <row r="611" spans="1:11" s="14" customFormat="1" ht="15">
      <c r="A611" s="231" t="s">
        <v>505</v>
      </c>
      <c r="B611" s="221"/>
      <c r="C611" s="293" t="s">
        <v>5</v>
      </c>
      <c r="D611" s="294" t="s">
        <v>106</v>
      </c>
      <c r="E611" s="294" t="s">
        <v>578</v>
      </c>
      <c r="F611" s="295" t="s">
        <v>506</v>
      </c>
      <c r="G611" s="141">
        <v>537.6</v>
      </c>
      <c r="H611" s="16"/>
      <c r="I611" s="12"/>
      <c r="J611" s="14">
        <f>SUM('[3]ведомствен.2014'!G467)</f>
        <v>537.6</v>
      </c>
      <c r="K611" s="168"/>
    </row>
    <row r="612" spans="1:11" s="14" customFormat="1" ht="28.5">
      <c r="A612" s="243" t="s">
        <v>469</v>
      </c>
      <c r="B612" s="221"/>
      <c r="C612" s="293" t="s">
        <v>5</v>
      </c>
      <c r="D612" s="294" t="s">
        <v>106</v>
      </c>
      <c r="E612" s="294" t="s">
        <v>579</v>
      </c>
      <c r="F612" s="295"/>
      <c r="G612" s="141">
        <f>SUM(G613:G614)</f>
        <v>40134.2</v>
      </c>
      <c r="H612" s="12">
        <f>SUM(H614)</f>
        <v>1313.1</v>
      </c>
      <c r="I612" s="12">
        <f>SUM(H612/G621*100)</f>
        <v>84.15689290521053</v>
      </c>
      <c r="K612" s="168"/>
    </row>
    <row r="613" spans="1:11" s="14" customFormat="1" ht="15">
      <c r="A613" s="225" t="s">
        <v>500</v>
      </c>
      <c r="B613" s="206"/>
      <c r="C613" s="284" t="s">
        <v>5</v>
      </c>
      <c r="D613" s="280" t="s">
        <v>106</v>
      </c>
      <c r="E613" s="294" t="s">
        <v>579</v>
      </c>
      <c r="F613" s="277" t="s">
        <v>120</v>
      </c>
      <c r="G613" s="141">
        <v>593.2</v>
      </c>
      <c r="H613" s="12"/>
      <c r="I613" s="12"/>
      <c r="J613" s="14">
        <f>SUM('[3]ведомствен.2014'!G469)</f>
        <v>593.2</v>
      </c>
      <c r="K613" s="168"/>
    </row>
    <row r="614" spans="1:11" s="14" customFormat="1" ht="15">
      <c r="A614" s="231" t="s">
        <v>505</v>
      </c>
      <c r="B614" s="221"/>
      <c r="C614" s="293" t="s">
        <v>5</v>
      </c>
      <c r="D614" s="294" t="s">
        <v>106</v>
      </c>
      <c r="E614" s="294" t="s">
        <v>579</v>
      </c>
      <c r="F614" s="295" t="s">
        <v>506</v>
      </c>
      <c r="G614" s="141">
        <v>39541</v>
      </c>
      <c r="H614" s="12">
        <v>1313.1</v>
      </c>
      <c r="I614" s="12">
        <f>SUM(H614/G623*100)</f>
        <v>85.43821979308997</v>
      </c>
      <c r="J614" s="14">
        <f>SUM('[3]ведомствен.2014'!G470)</f>
        <v>39541</v>
      </c>
      <c r="K614" s="168"/>
    </row>
    <row r="615" spans="1:11" s="14" customFormat="1" ht="71.25">
      <c r="A615" s="249" t="s">
        <v>470</v>
      </c>
      <c r="B615" s="221"/>
      <c r="C615" s="293" t="s">
        <v>5</v>
      </c>
      <c r="D615" s="294" t="s">
        <v>106</v>
      </c>
      <c r="E615" s="294" t="s">
        <v>580</v>
      </c>
      <c r="F615" s="295"/>
      <c r="G615" s="141">
        <f>SUM(G616:G617)</f>
        <v>51650.8</v>
      </c>
      <c r="H615" s="12">
        <f>SUM(H617)</f>
        <v>6301</v>
      </c>
      <c r="I615" s="12">
        <f>SUM(H615/G624*100)</f>
        <v>75.7122430097449</v>
      </c>
      <c r="K615" s="168"/>
    </row>
    <row r="616" spans="1:11" s="14" customFormat="1" ht="15">
      <c r="A616" s="225" t="s">
        <v>500</v>
      </c>
      <c r="B616" s="206"/>
      <c r="C616" s="284" t="s">
        <v>5</v>
      </c>
      <c r="D616" s="280" t="s">
        <v>106</v>
      </c>
      <c r="E616" s="294" t="s">
        <v>580</v>
      </c>
      <c r="F616" s="277" t="s">
        <v>120</v>
      </c>
      <c r="G616" s="141">
        <v>775.9</v>
      </c>
      <c r="H616" s="12"/>
      <c r="I616" s="12"/>
      <c r="J616" s="14">
        <f>SUM('[3]ведомствен.2014'!G472)</f>
        <v>775.9</v>
      </c>
      <c r="K616" s="168"/>
    </row>
    <row r="617" spans="1:11" s="14" customFormat="1" ht="15">
      <c r="A617" s="231" t="s">
        <v>505</v>
      </c>
      <c r="B617" s="221"/>
      <c r="C617" s="293" t="s">
        <v>5</v>
      </c>
      <c r="D617" s="294" t="s">
        <v>106</v>
      </c>
      <c r="E617" s="294" t="s">
        <v>580</v>
      </c>
      <c r="F617" s="295" t="s">
        <v>506</v>
      </c>
      <c r="G617" s="141">
        <v>50874.9</v>
      </c>
      <c r="H617" s="12">
        <v>6301</v>
      </c>
      <c r="I617" s="12">
        <f>SUM(H617/G626*100)</f>
        <v>79.02823243155109</v>
      </c>
      <c r="J617" s="14">
        <f>SUM('[3]ведомствен.2014'!G473)</f>
        <v>50874.9</v>
      </c>
      <c r="K617" s="168"/>
    </row>
    <row r="618" spans="1:11" s="14" customFormat="1" ht="85.5">
      <c r="A618" s="249" t="s">
        <v>581</v>
      </c>
      <c r="B618" s="221"/>
      <c r="C618" s="293" t="s">
        <v>5</v>
      </c>
      <c r="D618" s="294" t="s">
        <v>106</v>
      </c>
      <c r="E618" s="294" t="s">
        <v>582</v>
      </c>
      <c r="F618" s="295"/>
      <c r="G618" s="141">
        <f>SUM(G619:G620)</f>
        <v>163670.4</v>
      </c>
      <c r="H618" s="12"/>
      <c r="I618" s="12"/>
      <c r="J618" s="35"/>
      <c r="K618" s="168"/>
    </row>
    <row r="619" spans="1:11" s="14" customFormat="1" ht="15">
      <c r="A619" s="225" t="s">
        <v>500</v>
      </c>
      <c r="B619" s="221"/>
      <c r="C619" s="293" t="s">
        <v>5</v>
      </c>
      <c r="D619" s="294" t="s">
        <v>106</v>
      </c>
      <c r="E619" s="294" t="s">
        <v>582</v>
      </c>
      <c r="F619" s="295" t="s">
        <v>120</v>
      </c>
      <c r="G619" s="141">
        <v>6073.5</v>
      </c>
      <c r="H619" s="12"/>
      <c r="I619" s="12"/>
      <c r="J619" s="35">
        <f>SUM('[3]ведомствен.2014'!G475)</f>
        <v>6073.5</v>
      </c>
      <c r="K619" s="168"/>
    </row>
    <row r="620" spans="1:11" s="14" customFormat="1" ht="15">
      <c r="A620" s="231" t="s">
        <v>505</v>
      </c>
      <c r="B620" s="221"/>
      <c r="C620" s="293" t="s">
        <v>5</v>
      </c>
      <c r="D620" s="294" t="s">
        <v>106</v>
      </c>
      <c r="E620" s="294" t="s">
        <v>582</v>
      </c>
      <c r="F620" s="295" t="s">
        <v>506</v>
      </c>
      <c r="G620" s="141">
        <v>157596.9</v>
      </c>
      <c r="H620" s="12"/>
      <c r="I620" s="12"/>
      <c r="J620" s="14">
        <f>SUM('[3]ведомствен.2014'!G476)</f>
        <v>157596.9</v>
      </c>
      <c r="K620" s="168"/>
    </row>
    <row r="621" spans="1:11" s="14" customFormat="1" ht="85.5">
      <c r="A621" s="243" t="s">
        <v>471</v>
      </c>
      <c r="B621" s="221"/>
      <c r="C621" s="293" t="s">
        <v>5</v>
      </c>
      <c r="D621" s="294" t="s">
        <v>106</v>
      </c>
      <c r="E621" s="294" t="s">
        <v>583</v>
      </c>
      <c r="F621" s="295"/>
      <c r="G621" s="141">
        <f>SUM(G622:G623)</f>
        <v>1560.3000000000002</v>
      </c>
      <c r="H621" s="12">
        <f>SUM(H623)</f>
        <v>18786.9</v>
      </c>
      <c r="I621" s="12">
        <f>SUM(H621/G630*100)</f>
        <v>2010.7995290591887</v>
      </c>
      <c r="K621" s="168"/>
    </row>
    <row r="622" spans="1:11" s="14" customFormat="1" ht="15">
      <c r="A622" s="225" t="s">
        <v>500</v>
      </c>
      <c r="B622" s="221"/>
      <c r="C622" s="293" t="s">
        <v>5</v>
      </c>
      <c r="D622" s="294" t="s">
        <v>106</v>
      </c>
      <c r="E622" s="294" t="s">
        <v>583</v>
      </c>
      <c r="F622" s="295" t="s">
        <v>120</v>
      </c>
      <c r="G622" s="141">
        <v>23.4</v>
      </c>
      <c r="H622" s="12"/>
      <c r="I622" s="12"/>
      <c r="J622" s="14">
        <f>SUM('[3]ведомствен.2014'!G478)</f>
        <v>23.4</v>
      </c>
      <c r="K622" s="168"/>
    </row>
    <row r="623" spans="1:11" s="14" customFormat="1" ht="15">
      <c r="A623" s="231" t="s">
        <v>505</v>
      </c>
      <c r="B623" s="221"/>
      <c r="C623" s="293" t="s">
        <v>5</v>
      </c>
      <c r="D623" s="294" t="s">
        <v>106</v>
      </c>
      <c r="E623" s="294" t="s">
        <v>583</v>
      </c>
      <c r="F623" s="295" t="s">
        <v>506</v>
      </c>
      <c r="G623" s="141">
        <v>1536.9</v>
      </c>
      <c r="H623" s="12">
        <v>18786.9</v>
      </c>
      <c r="I623" s="12">
        <f>SUM(H623/G632*100)</f>
        <v>2122.5737204835614</v>
      </c>
      <c r="J623" s="14">
        <f>SUM('[3]ведомствен.2014'!G479)</f>
        <v>1536.9</v>
      </c>
      <c r="K623" s="168"/>
    </row>
    <row r="624" spans="1:11" s="14" customFormat="1" ht="99.75">
      <c r="A624" s="243" t="s">
        <v>472</v>
      </c>
      <c r="B624" s="221"/>
      <c r="C624" s="293" t="s">
        <v>5</v>
      </c>
      <c r="D624" s="294" t="s">
        <v>106</v>
      </c>
      <c r="E624" s="294" t="s">
        <v>584</v>
      </c>
      <c r="F624" s="295"/>
      <c r="G624" s="141">
        <f>SUM(G625:G626)</f>
        <v>8322.300000000001</v>
      </c>
      <c r="H624" s="12">
        <f>SUM(H626)</f>
        <v>15760.4</v>
      </c>
      <c r="I624" s="12">
        <f>SUM(H624/G633*100)</f>
        <v>8149.120992761116</v>
      </c>
      <c r="K624" s="168"/>
    </row>
    <row r="625" spans="1:11" s="14" customFormat="1" ht="15">
      <c r="A625" s="225" t="s">
        <v>500</v>
      </c>
      <c r="B625" s="221"/>
      <c r="C625" s="293" t="s">
        <v>5</v>
      </c>
      <c r="D625" s="294" t="s">
        <v>106</v>
      </c>
      <c r="E625" s="294" t="s">
        <v>584</v>
      </c>
      <c r="F625" s="295" t="s">
        <v>120</v>
      </c>
      <c r="G625" s="141">
        <v>349.2</v>
      </c>
      <c r="H625" s="12"/>
      <c r="I625" s="12"/>
      <c r="J625" s="14">
        <f>SUM('[3]ведомствен.2014'!G481)</f>
        <v>349.2</v>
      </c>
      <c r="K625" s="168"/>
    </row>
    <row r="626" spans="1:11" s="14" customFormat="1" ht="15">
      <c r="A626" s="231" t="s">
        <v>505</v>
      </c>
      <c r="B626" s="221"/>
      <c r="C626" s="293" t="s">
        <v>5</v>
      </c>
      <c r="D626" s="294" t="s">
        <v>106</v>
      </c>
      <c r="E626" s="294" t="s">
        <v>584</v>
      </c>
      <c r="F626" s="295" t="s">
        <v>506</v>
      </c>
      <c r="G626" s="141">
        <v>7973.1</v>
      </c>
      <c r="H626" s="12">
        <v>15760.4</v>
      </c>
      <c r="I626" s="12">
        <f>SUM(H626/G635*100)</f>
        <v>8277.52100840336</v>
      </c>
      <c r="J626" s="14">
        <f>SUM('[3]ведомствен.2014'!G482)</f>
        <v>7973.1</v>
      </c>
      <c r="K626" s="168"/>
    </row>
    <row r="627" spans="1:11" s="23" customFormat="1" ht="57">
      <c r="A627" s="231" t="s">
        <v>473</v>
      </c>
      <c r="B627" s="221"/>
      <c r="C627" s="293" t="s">
        <v>5</v>
      </c>
      <c r="D627" s="294" t="s">
        <v>106</v>
      </c>
      <c r="E627" s="294" t="s">
        <v>585</v>
      </c>
      <c r="F627" s="295"/>
      <c r="G627" s="141">
        <f>SUM(G628:G629)</f>
        <v>118441.59999999999</v>
      </c>
      <c r="H627" s="12">
        <f>SUM(H629)</f>
        <v>40636.1</v>
      </c>
      <c r="I627" s="12">
        <f>SUM(H627/G636*100)</f>
        <v>565.9151045873604</v>
      </c>
      <c r="K627" s="168"/>
    </row>
    <row r="628" spans="1:11" s="23" customFormat="1" ht="15">
      <c r="A628" s="225" t="s">
        <v>500</v>
      </c>
      <c r="B628" s="221"/>
      <c r="C628" s="293" t="s">
        <v>5</v>
      </c>
      <c r="D628" s="294" t="s">
        <v>106</v>
      </c>
      <c r="E628" s="294" t="s">
        <v>585</v>
      </c>
      <c r="F628" s="295" t="s">
        <v>120</v>
      </c>
      <c r="G628" s="141">
        <v>1766.2</v>
      </c>
      <c r="H628" s="12"/>
      <c r="I628" s="12"/>
      <c r="J628" s="23">
        <f>SUM('[3]ведомствен.2014'!G484)</f>
        <v>1766.2</v>
      </c>
      <c r="K628" s="168"/>
    </row>
    <row r="629" spans="1:11" s="23" customFormat="1" ht="15">
      <c r="A629" s="231" t="s">
        <v>505</v>
      </c>
      <c r="B629" s="221"/>
      <c r="C629" s="293" t="s">
        <v>5</v>
      </c>
      <c r="D629" s="294" t="s">
        <v>106</v>
      </c>
      <c r="E629" s="294" t="s">
        <v>585</v>
      </c>
      <c r="F629" s="295" t="s">
        <v>506</v>
      </c>
      <c r="G629" s="141">
        <v>116675.4</v>
      </c>
      <c r="H629" s="12">
        <v>40636.1</v>
      </c>
      <c r="I629" s="12">
        <f>SUM(H629/G638*100)</f>
        <v>585.1467327131871</v>
      </c>
      <c r="J629" s="14">
        <f>SUM('[3]ведомствен.2014'!G485)</f>
        <v>116675.4</v>
      </c>
      <c r="K629" s="168"/>
    </row>
    <row r="630" spans="1:11" s="23" customFormat="1" ht="85.5">
      <c r="A630" s="231" t="s">
        <v>474</v>
      </c>
      <c r="B630" s="221"/>
      <c r="C630" s="293" t="s">
        <v>5</v>
      </c>
      <c r="D630" s="294" t="s">
        <v>106</v>
      </c>
      <c r="E630" s="294" t="s">
        <v>586</v>
      </c>
      <c r="F630" s="295"/>
      <c r="G630" s="141">
        <f>SUM(G631:G632)</f>
        <v>934.3000000000001</v>
      </c>
      <c r="H630" s="12"/>
      <c r="I630" s="12"/>
      <c r="J630" s="35"/>
      <c r="K630" s="168"/>
    </row>
    <row r="631" spans="1:11" s="23" customFormat="1" ht="15">
      <c r="A631" s="225" t="s">
        <v>500</v>
      </c>
      <c r="B631" s="221"/>
      <c r="C631" s="293" t="s">
        <v>5</v>
      </c>
      <c r="D631" s="294" t="s">
        <v>106</v>
      </c>
      <c r="E631" s="294" t="s">
        <v>586</v>
      </c>
      <c r="F631" s="295" t="s">
        <v>120</v>
      </c>
      <c r="G631" s="141">
        <v>49.2</v>
      </c>
      <c r="H631" s="12"/>
      <c r="I631" s="12"/>
      <c r="J631" s="35">
        <f>SUM('[3]ведомствен.2014'!G487)</f>
        <v>49.2</v>
      </c>
      <c r="K631" s="168"/>
    </row>
    <row r="632" spans="1:11" s="14" customFormat="1" ht="15">
      <c r="A632" s="231" t="s">
        <v>505</v>
      </c>
      <c r="B632" s="221"/>
      <c r="C632" s="293" t="s">
        <v>5</v>
      </c>
      <c r="D632" s="294" t="s">
        <v>106</v>
      </c>
      <c r="E632" s="294" t="s">
        <v>586</v>
      </c>
      <c r="F632" s="295" t="s">
        <v>506</v>
      </c>
      <c r="G632" s="141">
        <v>885.1</v>
      </c>
      <c r="H632" s="12">
        <f>SUM(H633)</f>
        <v>191.3</v>
      </c>
      <c r="I632" s="12">
        <f>SUM(H632/G641*100)</f>
        <v>3.1031518159845577</v>
      </c>
      <c r="J632" s="14">
        <f>SUM('[3]ведомствен.2014'!G488)</f>
        <v>885.1</v>
      </c>
      <c r="K632" s="168"/>
    </row>
    <row r="633" spans="1:11" s="14" customFormat="1" ht="71.25">
      <c r="A633" s="231" t="s">
        <v>587</v>
      </c>
      <c r="B633" s="221"/>
      <c r="C633" s="293" t="s">
        <v>5</v>
      </c>
      <c r="D633" s="294" t="s">
        <v>106</v>
      </c>
      <c r="E633" s="294" t="s">
        <v>588</v>
      </c>
      <c r="F633" s="295"/>
      <c r="G633" s="141">
        <f>SUM(G634:G635)</f>
        <v>193.4</v>
      </c>
      <c r="H633" s="12">
        <v>191.3</v>
      </c>
      <c r="I633" s="12">
        <f>SUM(H633/G642*100)</f>
        <v>10.840369467898228</v>
      </c>
      <c r="J633" s="35"/>
      <c r="K633" s="168"/>
    </row>
    <row r="634" spans="1:11" s="14" customFormat="1" ht="15">
      <c r="A634" s="225" t="s">
        <v>500</v>
      </c>
      <c r="B634" s="221"/>
      <c r="C634" s="293" t="s">
        <v>5</v>
      </c>
      <c r="D634" s="294" t="s">
        <v>106</v>
      </c>
      <c r="E634" s="294" t="s">
        <v>588</v>
      </c>
      <c r="F634" s="295" t="s">
        <v>120</v>
      </c>
      <c r="G634" s="141">
        <v>3</v>
      </c>
      <c r="H634" s="12"/>
      <c r="I634" s="12"/>
      <c r="J634" s="35">
        <f>SUM('[3]ведомствен.2014'!G490)</f>
        <v>3</v>
      </c>
      <c r="K634" s="168"/>
    </row>
    <row r="635" spans="1:11" s="14" customFormat="1" ht="15">
      <c r="A635" s="231" t="s">
        <v>505</v>
      </c>
      <c r="B635" s="221"/>
      <c r="C635" s="293" t="s">
        <v>5</v>
      </c>
      <c r="D635" s="294" t="s">
        <v>106</v>
      </c>
      <c r="E635" s="294" t="s">
        <v>588</v>
      </c>
      <c r="F635" s="295" t="s">
        <v>506</v>
      </c>
      <c r="G635" s="141">
        <v>190.4</v>
      </c>
      <c r="H635" s="12">
        <f>SUM(H638)</f>
        <v>4180.7</v>
      </c>
      <c r="I635" s="12">
        <f>SUM(H635/G644*100)</f>
        <v>288.0261798139855</v>
      </c>
      <c r="J635" s="14">
        <f>SUM('[3]ведомствен.2014'!G491)</f>
        <v>190.4</v>
      </c>
      <c r="K635" s="168"/>
    </row>
    <row r="636" spans="1:11" s="14" customFormat="1" ht="57">
      <c r="A636" s="231" t="s">
        <v>475</v>
      </c>
      <c r="B636" s="221"/>
      <c r="C636" s="293" t="s">
        <v>5</v>
      </c>
      <c r="D636" s="294" t="s">
        <v>106</v>
      </c>
      <c r="E636" s="294" t="s">
        <v>589</v>
      </c>
      <c r="F636" s="295"/>
      <c r="G636" s="141">
        <f>SUM(G637:G638)</f>
        <v>7180.6</v>
      </c>
      <c r="H636" s="12"/>
      <c r="I636" s="12"/>
      <c r="J636" s="35"/>
      <c r="K636" s="168"/>
    </row>
    <row r="637" spans="1:11" s="14" customFormat="1" ht="15">
      <c r="A637" s="225" t="s">
        <v>500</v>
      </c>
      <c r="B637" s="221"/>
      <c r="C637" s="293" t="s">
        <v>5</v>
      </c>
      <c r="D637" s="294" t="s">
        <v>106</v>
      </c>
      <c r="E637" s="294" t="s">
        <v>589</v>
      </c>
      <c r="F637" s="295" t="s">
        <v>120</v>
      </c>
      <c r="G637" s="141">
        <v>236</v>
      </c>
      <c r="H637" s="12"/>
      <c r="I637" s="12"/>
      <c r="J637" s="35">
        <f>SUM('[3]ведомствен.2014'!G493)</f>
        <v>236</v>
      </c>
      <c r="K637" s="168"/>
    </row>
    <row r="638" spans="1:11" s="14" customFormat="1" ht="15">
      <c r="A638" s="231" t="s">
        <v>505</v>
      </c>
      <c r="B638" s="221"/>
      <c r="C638" s="293" t="s">
        <v>5</v>
      </c>
      <c r="D638" s="294" t="s">
        <v>106</v>
      </c>
      <c r="E638" s="294" t="s">
        <v>589</v>
      </c>
      <c r="F638" s="295" t="s">
        <v>506</v>
      </c>
      <c r="G638" s="141">
        <v>6944.6</v>
      </c>
      <c r="H638" s="12">
        <v>4180.7</v>
      </c>
      <c r="I638" s="12">
        <f>SUM(H638/G646*100)</f>
        <v>53.57742435698633</v>
      </c>
      <c r="J638" s="14">
        <f>SUM('[3]ведомствен.2014'!G494)</f>
        <v>6944.6</v>
      </c>
      <c r="K638" s="168"/>
    </row>
    <row r="639" spans="1:11" s="14" customFormat="1" ht="42.75">
      <c r="A639" s="231" t="s">
        <v>476</v>
      </c>
      <c r="B639" s="221"/>
      <c r="C639" s="293" t="s">
        <v>5</v>
      </c>
      <c r="D639" s="294" t="s">
        <v>106</v>
      </c>
      <c r="E639" s="294" t="s">
        <v>590</v>
      </c>
      <c r="F639" s="295"/>
      <c r="G639" s="141">
        <f>SUM(G640:G641)</f>
        <v>6257.2</v>
      </c>
      <c r="H639" s="12">
        <f>SUM(H641)</f>
        <v>0</v>
      </c>
      <c r="I639" s="12">
        <f>SUM(H639/G648*100)</f>
        <v>0</v>
      </c>
      <c r="K639" s="168"/>
    </row>
    <row r="640" spans="1:11" s="14" customFormat="1" ht="15">
      <c r="A640" s="225" t="s">
        <v>500</v>
      </c>
      <c r="B640" s="221"/>
      <c r="C640" s="293" t="s">
        <v>5</v>
      </c>
      <c r="D640" s="294" t="s">
        <v>106</v>
      </c>
      <c r="E640" s="294" t="s">
        <v>590</v>
      </c>
      <c r="F640" s="295" t="s">
        <v>120</v>
      </c>
      <c r="G640" s="141">
        <v>92.5</v>
      </c>
      <c r="H640" s="12"/>
      <c r="I640" s="12"/>
      <c r="J640" s="14">
        <f>SUM('[3]ведомствен.2014'!G496)</f>
        <v>92.5</v>
      </c>
      <c r="K640" s="168"/>
    </row>
    <row r="641" spans="1:11" s="14" customFormat="1" ht="15">
      <c r="A641" s="231" t="s">
        <v>505</v>
      </c>
      <c r="B641" s="221"/>
      <c r="C641" s="293" t="s">
        <v>5</v>
      </c>
      <c r="D641" s="294" t="s">
        <v>106</v>
      </c>
      <c r="E641" s="294" t="s">
        <v>590</v>
      </c>
      <c r="F641" s="295" t="s">
        <v>506</v>
      </c>
      <c r="G641" s="141">
        <v>6164.7</v>
      </c>
      <c r="H641" s="12"/>
      <c r="I641" s="12">
        <f>SUM(H641/G654*100)</f>
        <v>0</v>
      </c>
      <c r="J641" s="14">
        <f>SUM('[3]ведомствен.2014'!G497)</f>
        <v>6164.7</v>
      </c>
      <c r="K641" s="168"/>
    </row>
    <row r="642" spans="1:11" s="23" customFormat="1" ht="42.75">
      <c r="A642" s="243" t="s">
        <v>477</v>
      </c>
      <c r="B642" s="221"/>
      <c r="C642" s="293" t="s">
        <v>5</v>
      </c>
      <c r="D642" s="294" t="s">
        <v>106</v>
      </c>
      <c r="E642" s="294" t="s">
        <v>591</v>
      </c>
      <c r="F642" s="295"/>
      <c r="G642" s="141">
        <f>SUM(G643:G645)</f>
        <v>1764.6999999999998</v>
      </c>
      <c r="H642" s="12">
        <f>SUM(H644)</f>
        <v>0</v>
      </c>
      <c r="I642" s="12">
        <f>SUM(H642/G655*100)</f>
        <v>0</v>
      </c>
      <c r="K642" s="168"/>
    </row>
    <row r="643" spans="1:11" s="23" customFormat="1" ht="15">
      <c r="A643" s="225" t="s">
        <v>500</v>
      </c>
      <c r="B643" s="221"/>
      <c r="C643" s="293" t="s">
        <v>5</v>
      </c>
      <c r="D643" s="294" t="s">
        <v>106</v>
      </c>
      <c r="E643" s="294" t="s">
        <v>591</v>
      </c>
      <c r="F643" s="295" t="s">
        <v>120</v>
      </c>
      <c r="G643" s="141">
        <v>25.6</v>
      </c>
      <c r="H643" s="12"/>
      <c r="I643" s="12"/>
      <c r="J643" s="23">
        <f>SUM('[3]ведомствен.2014'!G499)</f>
        <v>25.6</v>
      </c>
      <c r="K643" s="168"/>
    </row>
    <row r="644" spans="1:11" s="23" customFormat="1" ht="15">
      <c r="A644" s="231" t="s">
        <v>505</v>
      </c>
      <c r="B644" s="221"/>
      <c r="C644" s="293" t="s">
        <v>5</v>
      </c>
      <c r="D644" s="294" t="s">
        <v>106</v>
      </c>
      <c r="E644" s="294" t="s">
        <v>591</v>
      </c>
      <c r="F644" s="295" t="s">
        <v>506</v>
      </c>
      <c r="G644" s="141">
        <v>1451.5</v>
      </c>
      <c r="H644" s="12"/>
      <c r="I644" s="12">
        <f>SUM(H644/G657*100)</f>
        <v>0</v>
      </c>
      <c r="J644" s="14">
        <f>SUM('[3]ведомствен.2014'!G500)</f>
        <v>1451.5</v>
      </c>
      <c r="K644" s="168"/>
    </row>
    <row r="645" spans="1:11" s="14" customFormat="1" ht="42.75">
      <c r="A645" s="231" t="s">
        <v>592</v>
      </c>
      <c r="B645" s="221"/>
      <c r="C645" s="293" t="s">
        <v>5</v>
      </c>
      <c r="D645" s="294" t="s">
        <v>106</v>
      </c>
      <c r="E645" s="294" t="s">
        <v>591</v>
      </c>
      <c r="F645" s="295" t="s">
        <v>513</v>
      </c>
      <c r="G645" s="141">
        <v>287.6</v>
      </c>
      <c r="H645" s="12">
        <f>SUM(H646)</f>
        <v>16724.6</v>
      </c>
      <c r="I645" s="12">
        <f>SUM(H645/G662*100)</f>
        <v>728.6137492376056</v>
      </c>
      <c r="J645" s="14">
        <f>SUM('[3]ведомствен.2014'!G501)</f>
        <v>287.6</v>
      </c>
      <c r="K645" s="168"/>
    </row>
    <row r="646" spans="1:11" s="14" customFormat="1" ht="42.75">
      <c r="A646" s="231" t="s">
        <v>478</v>
      </c>
      <c r="B646" s="221"/>
      <c r="C646" s="293" t="s">
        <v>5</v>
      </c>
      <c r="D646" s="294" t="s">
        <v>106</v>
      </c>
      <c r="E646" s="294" t="s">
        <v>593</v>
      </c>
      <c r="F646" s="295"/>
      <c r="G646" s="141">
        <f>SUM(G647:G648)</f>
        <v>7803.1</v>
      </c>
      <c r="H646" s="12">
        <v>16724.6</v>
      </c>
      <c r="I646" s="12">
        <f>SUM(H646/G663*100)</f>
        <v>5661.679079214624</v>
      </c>
      <c r="J646" s="35"/>
      <c r="K646" s="168"/>
    </row>
    <row r="647" spans="1:11" s="14" customFormat="1" ht="15">
      <c r="A647" s="225" t="s">
        <v>500</v>
      </c>
      <c r="B647" s="221"/>
      <c r="C647" s="293" t="s">
        <v>5</v>
      </c>
      <c r="D647" s="294" t="s">
        <v>106</v>
      </c>
      <c r="E647" s="294" t="s">
        <v>593</v>
      </c>
      <c r="F647" s="295" t="s">
        <v>120</v>
      </c>
      <c r="G647" s="141">
        <v>115.3</v>
      </c>
      <c r="H647" s="12"/>
      <c r="I647" s="12"/>
      <c r="J647" s="35">
        <f>SUM('[3]ведомствен.2014'!G503)</f>
        <v>115.3</v>
      </c>
      <c r="K647" s="168"/>
    </row>
    <row r="648" spans="1:11" s="14" customFormat="1" ht="15">
      <c r="A648" s="231" t="s">
        <v>505</v>
      </c>
      <c r="B648" s="221"/>
      <c r="C648" s="293" t="s">
        <v>5</v>
      </c>
      <c r="D648" s="294" t="s">
        <v>106</v>
      </c>
      <c r="E648" s="294" t="s">
        <v>593</v>
      </c>
      <c r="F648" s="295" t="s">
        <v>506</v>
      </c>
      <c r="G648" s="141">
        <v>7687.8</v>
      </c>
      <c r="H648" s="12">
        <f>SUM(H654)</f>
        <v>4118.3</v>
      </c>
      <c r="I648" s="12">
        <f>SUM(H648/G664*100)</f>
        <v>1394.1435341909278</v>
      </c>
      <c r="J648" s="14">
        <f>SUM('[3]ведомствен.2014'!G504)</f>
        <v>7687.8</v>
      </c>
      <c r="K648" s="168"/>
    </row>
    <row r="649" spans="1:11" s="14" customFormat="1" ht="28.5">
      <c r="A649" s="114" t="s">
        <v>740</v>
      </c>
      <c r="B649" s="133"/>
      <c r="C649" s="294" t="s">
        <v>5</v>
      </c>
      <c r="D649" s="294" t="s">
        <v>106</v>
      </c>
      <c r="E649" s="294" t="s">
        <v>741</v>
      </c>
      <c r="F649" s="295"/>
      <c r="G649" s="263">
        <f>SUM(G650:G651)</f>
        <v>255.3</v>
      </c>
      <c r="H649" s="12"/>
      <c r="I649" s="12"/>
      <c r="K649" s="168"/>
    </row>
    <row r="650" spans="1:11" s="14" customFormat="1" ht="15">
      <c r="A650" s="109" t="s">
        <v>500</v>
      </c>
      <c r="B650" s="133"/>
      <c r="C650" s="294" t="s">
        <v>5</v>
      </c>
      <c r="D650" s="294" t="s">
        <v>106</v>
      </c>
      <c r="E650" s="294" t="s">
        <v>741</v>
      </c>
      <c r="F650" s="295" t="s">
        <v>120</v>
      </c>
      <c r="G650" s="263">
        <v>5</v>
      </c>
      <c r="H650" s="12"/>
      <c r="I650" s="12"/>
      <c r="J650" s="14">
        <f>SUM('[3]ведомствен.2014'!G506)</f>
        <v>5</v>
      </c>
      <c r="K650" s="168"/>
    </row>
    <row r="651" spans="1:11" s="14" customFormat="1" ht="15">
      <c r="A651" s="114" t="s">
        <v>505</v>
      </c>
      <c r="B651" s="133"/>
      <c r="C651" s="294" t="s">
        <v>5</v>
      </c>
      <c r="D651" s="294" t="s">
        <v>106</v>
      </c>
      <c r="E651" s="294" t="s">
        <v>741</v>
      </c>
      <c r="F651" s="295" t="s">
        <v>506</v>
      </c>
      <c r="G651" s="263">
        <v>250.3</v>
      </c>
      <c r="H651" s="12"/>
      <c r="I651" s="12"/>
      <c r="J651" s="14">
        <f>SUM('[3]ведомствен.2014'!G507)</f>
        <v>250.3</v>
      </c>
      <c r="K651" s="168"/>
    </row>
    <row r="652" spans="1:11" s="14" customFormat="1" ht="42.75">
      <c r="A652" s="233" t="s">
        <v>615</v>
      </c>
      <c r="B652" s="210"/>
      <c r="C652" s="323" t="s">
        <v>5</v>
      </c>
      <c r="D652" s="300" t="s">
        <v>106</v>
      </c>
      <c r="E652" s="300" t="s">
        <v>183</v>
      </c>
      <c r="F652" s="324"/>
      <c r="G652" s="140">
        <f>SUM(G653)</f>
        <v>9427.8</v>
      </c>
      <c r="H652" s="12"/>
      <c r="I652" s="12"/>
      <c r="K652" s="168"/>
    </row>
    <row r="653" spans="1:11" s="14" customFormat="1" ht="15">
      <c r="A653" s="233" t="s">
        <v>505</v>
      </c>
      <c r="B653" s="210"/>
      <c r="C653" s="323" t="s">
        <v>5</v>
      </c>
      <c r="D653" s="300" t="s">
        <v>106</v>
      </c>
      <c r="E653" s="300" t="s">
        <v>183</v>
      </c>
      <c r="F653" s="324" t="s">
        <v>506</v>
      </c>
      <c r="G653" s="140">
        <v>9427.8</v>
      </c>
      <c r="H653" s="12"/>
      <c r="I653" s="12"/>
      <c r="J653" s="14">
        <f>SUM('[3]ведомствен.2014'!G755)</f>
        <v>9427.8</v>
      </c>
      <c r="K653" s="168"/>
    </row>
    <row r="654" spans="1:11" s="14" customFormat="1" ht="28.5">
      <c r="A654" s="248" t="s">
        <v>184</v>
      </c>
      <c r="B654" s="195"/>
      <c r="C654" s="293" t="s">
        <v>5</v>
      </c>
      <c r="D654" s="294" t="s">
        <v>106</v>
      </c>
      <c r="E654" s="294" t="s">
        <v>185</v>
      </c>
      <c r="F654" s="295"/>
      <c r="G654" s="141">
        <f>SUM(G655)</f>
        <v>952.9</v>
      </c>
      <c r="H654" s="12">
        <v>4118.3</v>
      </c>
      <c r="I654" s="12">
        <f>SUM(H654/G668*100)</f>
        <v>3.788098987461</v>
      </c>
      <c r="J654" s="35"/>
      <c r="K654" s="168"/>
    </row>
    <row r="655" spans="1:11" s="14" customFormat="1" ht="15">
      <c r="A655" s="248" t="s">
        <v>186</v>
      </c>
      <c r="B655" s="195"/>
      <c r="C655" s="293" t="s">
        <v>5</v>
      </c>
      <c r="D655" s="294" t="s">
        <v>106</v>
      </c>
      <c r="E655" s="294" t="s">
        <v>187</v>
      </c>
      <c r="F655" s="295"/>
      <c r="G655" s="141">
        <f>SUM(G656:G657)</f>
        <v>952.9</v>
      </c>
      <c r="H655" s="12">
        <f>SUM(H657)</f>
        <v>5628.5</v>
      </c>
      <c r="I655" s="12">
        <f>SUM(H655/G679*100)</f>
        <v>9.091099977064294</v>
      </c>
      <c r="K655" s="168"/>
    </row>
    <row r="656" spans="1:11" s="14" customFormat="1" ht="15">
      <c r="A656" s="225" t="s">
        <v>500</v>
      </c>
      <c r="B656" s="221"/>
      <c r="C656" s="293" t="s">
        <v>5</v>
      </c>
      <c r="D656" s="294" t="s">
        <v>106</v>
      </c>
      <c r="E656" s="294" t="s">
        <v>187</v>
      </c>
      <c r="F656" s="295" t="s">
        <v>120</v>
      </c>
      <c r="G656" s="141">
        <v>648.9</v>
      </c>
      <c r="H656" s="12"/>
      <c r="I656" s="12"/>
      <c r="J656" s="14">
        <f>SUM('[3]ведомствен.2014'!G510)</f>
        <v>648.9</v>
      </c>
      <c r="K656" s="168"/>
    </row>
    <row r="657" spans="1:11" s="14" customFormat="1" ht="15">
      <c r="A657" s="248" t="s">
        <v>505</v>
      </c>
      <c r="B657" s="195"/>
      <c r="C657" s="293" t="s">
        <v>5</v>
      </c>
      <c r="D657" s="294" t="s">
        <v>106</v>
      </c>
      <c r="E657" s="294" t="s">
        <v>187</v>
      </c>
      <c r="F657" s="295" t="s">
        <v>506</v>
      </c>
      <c r="G657" s="141">
        <v>304</v>
      </c>
      <c r="H657" s="12">
        <f>SUM(H662)</f>
        <v>5628.5</v>
      </c>
      <c r="I657" s="12">
        <f>SUM(H657/G682*100)</f>
        <v>16.151248109685586</v>
      </c>
      <c r="J657" s="14">
        <f>SUM('[3]ведомствен.2014'!G511)</f>
        <v>304</v>
      </c>
      <c r="K657" s="168"/>
    </row>
    <row r="658" spans="1:11" s="14" customFormat="1" ht="15">
      <c r="A658" s="172" t="s">
        <v>3</v>
      </c>
      <c r="B658" s="180"/>
      <c r="C658" s="302" t="s">
        <v>5</v>
      </c>
      <c r="D658" s="302" t="s">
        <v>106</v>
      </c>
      <c r="E658" s="302" t="s">
        <v>683</v>
      </c>
      <c r="F658" s="314"/>
      <c r="G658" s="269">
        <f>SUM(G659)</f>
        <v>2972.7</v>
      </c>
      <c r="H658" s="12"/>
      <c r="I658" s="12"/>
      <c r="K658" s="168"/>
    </row>
    <row r="659" spans="1:11" s="14" customFormat="1" ht="57">
      <c r="A659" s="174" t="s">
        <v>711</v>
      </c>
      <c r="B659" s="181"/>
      <c r="C659" s="302" t="s">
        <v>5</v>
      </c>
      <c r="D659" s="302" t="s">
        <v>106</v>
      </c>
      <c r="E659" s="302" t="s">
        <v>712</v>
      </c>
      <c r="F659" s="314"/>
      <c r="G659" s="269">
        <f>SUM(G660)</f>
        <v>2972.7</v>
      </c>
      <c r="H659" s="12"/>
      <c r="I659" s="12"/>
      <c r="K659" s="168"/>
    </row>
    <row r="660" spans="1:11" s="14" customFormat="1" ht="28.5">
      <c r="A660" s="172" t="s">
        <v>651</v>
      </c>
      <c r="B660" s="181"/>
      <c r="C660" s="302" t="s">
        <v>5</v>
      </c>
      <c r="D660" s="302" t="s">
        <v>106</v>
      </c>
      <c r="E660" s="302" t="s">
        <v>713</v>
      </c>
      <c r="F660" s="314"/>
      <c r="G660" s="269">
        <f>SUM(G661)</f>
        <v>2972.7</v>
      </c>
      <c r="H660" s="12"/>
      <c r="I660" s="12"/>
      <c r="K660" s="168"/>
    </row>
    <row r="661" spans="1:11" s="14" customFormat="1" ht="15">
      <c r="A661" s="175" t="s">
        <v>505</v>
      </c>
      <c r="B661" s="181"/>
      <c r="C661" s="302" t="s">
        <v>5</v>
      </c>
      <c r="D661" s="302" t="s">
        <v>106</v>
      </c>
      <c r="E661" s="302" t="s">
        <v>713</v>
      </c>
      <c r="F661" s="314" t="s">
        <v>506</v>
      </c>
      <c r="G661" s="269">
        <v>2972.7</v>
      </c>
      <c r="H661" s="12"/>
      <c r="I661" s="12"/>
      <c r="J661" s="14">
        <f>SUM('[3]ведомствен.2014'!G311)</f>
        <v>2972.7</v>
      </c>
      <c r="K661" s="168"/>
    </row>
    <row r="662" spans="1:11" s="14" customFormat="1" ht="15">
      <c r="A662" s="231" t="s">
        <v>594</v>
      </c>
      <c r="B662" s="195"/>
      <c r="C662" s="293" t="s">
        <v>5</v>
      </c>
      <c r="D662" s="294" t="s">
        <v>106</v>
      </c>
      <c r="E662" s="294" t="s">
        <v>129</v>
      </c>
      <c r="F662" s="295"/>
      <c r="G662" s="141">
        <f>G663+G665</f>
        <v>2295.4</v>
      </c>
      <c r="H662" s="16">
        <v>5628.5</v>
      </c>
      <c r="I662" s="12">
        <f>SUM(H662/G683*100)</f>
        <v>86.41283488140017</v>
      </c>
      <c r="K662" s="168"/>
    </row>
    <row r="663" spans="1:11" s="14" customFormat="1" ht="28.5">
      <c r="A663" s="231" t="s">
        <v>685</v>
      </c>
      <c r="B663" s="195"/>
      <c r="C663" s="293" t="s">
        <v>5</v>
      </c>
      <c r="D663" s="294" t="s">
        <v>106</v>
      </c>
      <c r="E663" s="294" t="s">
        <v>595</v>
      </c>
      <c r="F663" s="295"/>
      <c r="G663" s="141">
        <f>G664</f>
        <v>295.4</v>
      </c>
      <c r="H663" s="12">
        <f>SUM(H664)</f>
        <v>12.8</v>
      </c>
      <c r="I663" s="12">
        <f>SUM(H663/G685*100)</f>
        <v>0.19947637451689315</v>
      </c>
      <c r="K663" s="168"/>
    </row>
    <row r="664" spans="1:11" s="14" customFormat="1" ht="15">
      <c r="A664" s="248" t="s">
        <v>505</v>
      </c>
      <c r="B664" s="195"/>
      <c r="C664" s="293" t="s">
        <v>5</v>
      </c>
      <c r="D664" s="294" t="s">
        <v>106</v>
      </c>
      <c r="E664" s="294" t="s">
        <v>595</v>
      </c>
      <c r="F664" s="295" t="s">
        <v>506</v>
      </c>
      <c r="G664" s="141">
        <v>295.4</v>
      </c>
      <c r="H664" s="12">
        <v>12.8</v>
      </c>
      <c r="I664" s="12">
        <f>SUM(H664/G686*100)</f>
        <v>0.23738872403560835</v>
      </c>
      <c r="J664" s="14">
        <f>SUM('[3]ведомствен.2014'!G514)</f>
        <v>295.4</v>
      </c>
      <c r="K664" s="168"/>
    </row>
    <row r="665" spans="1:11" s="14" customFormat="1" ht="28.5">
      <c r="A665" s="250" t="s">
        <v>652</v>
      </c>
      <c r="B665" s="208"/>
      <c r="C665" s="301" t="s">
        <v>5</v>
      </c>
      <c r="D665" s="302" t="s">
        <v>106</v>
      </c>
      <c r="E665" s="308" t="s">
        <v>648</v>
      </c>
      <c r="F665" s="316"/>
      <c r="G665" s="169">
        <f>SUM(G666)</f>
        <v>2000</v>
      </c>
      <c r="H665" s="12"/>
      <c r="I665" s="12"/>
      <c r="K665" s="168"/>
    </row>
    <row r="666" spans="1:11" s="14" customFormat="1" ht="28.5">
      <c r="A666" s="236" t="s">
        <v>651</v>
      </c>
      <c r="B666" s="200"/>
      <c r="C666" s="301" t="s">
        <v>5</v>
      </c>
      <c r="D666" s="302" t="s">
        <v>106</v>
      </c>
      <c r="E666" s="308" t="s">
        <v>653</v>
      </c>
      <c r="F666" s="316"/>
      <c r="G666" s="270">
        <f>SUM(G667:G667)</f>
        <v>2000</v>
      </c>
      <c r="H666" s="12"/>
      <c r="I666" s="12"/>
      <c r="K666" s="168"/>
    </row>
    <row r="667" spans="1:11" s="14" customFormat="1" ht="15">
      <c r="A667" s="175" t="s">
        <v>505</v>
      </c>
      <c r="B667" s="222"/>
      <c r="C667" s="301" t="s">
        <v>5</v>
      </c>
      <c r="D667" s="302" t="s">
        <v>106</v>
      </c>
      <c r="E667" s="308" t="s">
        <v>653</v>
      </c>
      <c r="F667" s="314" t="s">
        <v>506</v>
      </c>
      <c r="G667" s="269">
        <v>2000</v>
      </c>
      <c r="H667" s="12"/>
      <c r="I667" s="12"/>
      <c r="J667" s="14">
        <f>SUM('[3]ведомствен.2014'!G315)</f>
        <v>2000</v>
      </c>
      <c r="K667" s="168"/>
    </row>
    <row r="668" spans="1:11" s="14" customFormat="1" ht="15">
      <c r="A668" s="251" t="s">
        <v>158</v>
      </c>
      <c r="B668" s="195"/>
      <c r="C668" s="293" t="s">
        <v>5</v>
      </c>
      <c r="D668" s="294" t="s">
        <v>122</v>
      </c>
      <c r="E668" s="294"/>
      <c r="F668" s="295"/>
      <c r="G668" s="141">
        <f>SUM(G679)+G669</f>
        <v>108716.79999999999</v>
      </c>
      <c r="H668" s="12">
        <f>SUM(H679)</f>
        <v>90050.4</v>
      </c>
      <c r="I668" s="12">
        <f>SUM(H668/G688*100)</f>
        <v>1687.6960848623423</v>
      </c>
      <c r="K668" s="168">
        <f>SUM(J670:J691)</f>
        <v>108716.8</v>
      </c>
    </row>
    <row r="669" spans="1:11" s="14" customFormat="1" ht="15">
      <c r="A669" s="225" t="s">
        <v>26</v>
      </c>
      <c r="B669" s="190"/>
      <c r="C669" s="290" t="s">
        <v>5</v>
      </c>
      <c r="D669" s="291" t="s">
        <v>122</v>
      </c>
      <c r="E669" s="275" t="s">
        <v>27</v>
      </c>
      <c r="F669" s="276"/>
      <c r="G669" s="612">
        <f>SUM(G670)+G677</f>
        <v>46804.6</v>
      </c>
      <c r="H669" s="12"/>
      <c r="I669" s="12"/>
      <c r="K669" s="168"/>
    </row>
    <row r="670" spans="1:11" s="14" customFormat="1" ht="42.75">
      <c r="A670" s="226" t="s">
        <v>564</v>
      </c>
      <c r="B670" s="193"/>
      <c r="C670" s="290" t="s">
        <v>5</v>
      </c>
      <c r="D670" s="291" t="s">
        <v>122</v>
      </c>
      <c r="E670" s="291" t="s">
        <v>207</v>
      </c>
      <c r="F670" s="292"/>
      <c r="G670" s="612">
        <f>G675+G671</f>
        <v>39135.4</v>
      </c>
      <c r="H670" s="12"/>
      <c r="I670" s="12"/>
      <c r="K670" s="168"/>
    </row>
    <row r="671" spans="1:11" s="14" customFormat="1" ht="71.25">
      <c r="A671" s="226" t="s">
        <v>638</v>
      </c>
      <c r="B671" s="193"/>
      <c r="C671" s="290" t="s">
        <v>5</v>
      </c>
      <c r="D671" s="291" t="s">
        <v>122</v>
      </c>
      <c r="E671" s="291" t="s">
        <v>565</v>
      </c>
      <c r="F671" s="292"/>
      <c r="G671" s="612">
        <f>SUM(G672)</f>
        <v>17256.5</v>
      </c>
      <c r="H671" s="12"/>
      <c r="I671" s="12"/>
      <c r="K671" s="168"/>
    </row>
    <row r="672" spans="1:11" s="14" customFormat="1" ht="28.5">
      <c r="A672" s="226" t="s">
        <v>566</v>
      </c>
      <c r="B672" s="193"/>
      <c r="C672" s="290" t="s">
        <v>5</v>
      </c>
      <c r="D672" s="291" t="s">
        <v>122</v>
      </c>
      <c r="E672" s="291" t="s">
        <v>565</v>
      </c>
      <c r="F672" s="292" t="s">
        <v>560</v>
      </c>
      <c r="G672" s="612">
        <v>17256.5</v>
      </c>
      <c r="H672" s="12"/>
      <c r="I672" s="12"/>
      <c r="J672" s="14">
        <f>SUM('[3]ведомствен.2014'!G320)</f>
        <v>17256.5</v>
      </c>
      <c r="K672" s="168"/>
    </row>
    <row r="673" spans="1:11" s="14" customFormat="1" ht="15" hidden="1">
      <c r="A673" s="226" t="s">
        <v>65</v>
      </c>
      <c r="B673" s="193"/>
      <c r="C673" s="290" t="s">
        <v>5</v>
      </c>
      <c r="D673" s="291" t="s">
        <v>122</v>
      </c>
      <c r="E673" s="291" t="s">
        <v>565</v>
      </c>
      <c r="F673" s="292" t="s">
        <v>567</v>
      </c>
      <c r="G673" s="612"/>
      <c r="H673" s="12"/>
      <c r="I673" s="12"/>
      <c r="K673" s="168"/>
    </row>
    <row r="674" spans="1:11" s="14" customFormat="1" ht="28.5" hidden="1">
      <c r="A674" s="226" t="s">
        <v>568</v>
      </c>
      <c r="B674" s="193"/>
      <c r="C674" s="290" t="s">
        <v>5</v>
      </c>
      <c r="D674" s="291" t="s">
        <v>122</v>
      </c>
      <c r="E674" s="291" t="s">
        <v>565</v>
      </c>
      <c r="F674" s="292" t="s">
        <v>569</v>
      </c>
      <c r="G674" s="612"/>
      <c r="H674" s="12"/>
      <c r="I674" s="12"/>
      <c r="K674" s="168"/>
    </row>
    <row r="675" spans="1:11" s="14" customFormat="1" ht="57">
      <c r="A675" s="226" t="s">
        <v>639</v>
      </c>
      <c r="B675" s="193"/>
      <c r="C675" s="290" t="s">
        <v>5</v>
      </c>
      <c r="D675" s="291" t="s">
        <v>122</v>
      </c>
      <c r="E675" s="291" t="s">
        <v>466</v>
      </c>
      <c r="F675" s="292"/>
      <c r="G675" s="612">
        <f>SUM(G676)</f>
        <v>21878.9</v>
      </c>
      <c r="H675" s="12"/>
      <c r="I675" s="12"/>
      <c r="K675" s="168"/>
    </row>
    <row r="676" spans="1:11" s="14" customFormat="1" ht="28.5">
      <c r="A676" s="226" t="s">
        <v>566</v>
      </c>
      <c r="B676" s="193"/>
      <c r="C676" s="290" t="s">
        <v>5</v>
      </c>
      <c r="D676" s="291" t="s">
        <v>122</v>
      </c>
      <c r="E676" s="291" t="s">
        <v>466</v>
      </c>
      <c r="F676" s="292" t="s">
        <v>560</v>
      </c>
      <c r="G676" s="612">
        <v>21878.9</v>
      </c>
      <c r="H676" s="12"/>
      <c r="I676" s="12"/>
      <c r="J676" s="14">
        <f>SUM('[3]ведомствен.2014'!G324)</f>
        <v>21878.9</v>
      </c>
      <c r="K676" s="168"/>
    </row>
    <row r="677" spans="1:11" s="14" customFormat="1" ht="57">
      <c r="A677" s="113" t="s">
        <v>757</v>
      </c>
      <c r="B677" s="290"/>
      <c r="C677" s="291" t="s">
        <v>5</v>
      </c>
      <c r="D677" s="291" t="s">
        <v>122</v>
      </c>
      <c r="E677" s="291" t="s">
        <v>758</v>
      </c>
      <c r="F677" s="292"/>
      <c r="G677" s="615">
        <f>SUM(G678)</f>
        <v>7669.2</v>
      </c>
      <c r="H677" s="12"/>
      <c r="I677" s="12"/>
      <c r="K677" s="168"/>
    </row>
    <row r="678" spans="1:11" s="14" customFormat="1" ht="28.5">
      <c r="A678" s="113" t="s">
        <v>566</v>
      </c>
      <c r="B678" s="290"/>
      <c r="C678" s="291" t="s">
        <v>5</v>
      </c>
      <c r="D678" s="291" t="s">
        <v>122</v>
      </c>
      <c r="E678" s="291" t="s">
        <v>758</v>
      </c>
      <c r="F678" s="292" t="s">
        <v>560</v>
      </c>
      <c r="G678" s="615">
        <v>7669.2</v>
      </c>
      <c r="H678" s="12"/>
      <c r="I678" s="12"/>
      <c r="J678" s="14">
        <f>SUM('[3]ведомствен.2014'!G326)</f>
        <v>7669.2</v>
      </c>
      <c r="K678" s="168"/>
    </row>
    <row r="679" spans="1:11" s="14" customFormat="1" ht="15">
      <c r="A679" s="248" t="s">
        <v>159</v>
      </c>
      <c r="B679" s="195"/>
      <c r="C679" s="293" t="s">
        <v>5</v>
      </c>
      <c r="D679" s="294" t="s">
        <v>122</v>
      </c>
      <c r="E679" s="294" t="s">
        <v>222</v>
      </c>
      <c r="F679" s="295"/>
      <c r="G679" s="141">
        <f>SUM(G682)+G680</f>
        <v>61912.2</v>
      </c>
      <c r="H679" s="12">
        <v>90050.4</v>
      </c>
      <c r="I679" s="12">
        <f>SUM(H679/G689*100)</f>
        <v>392.49276474075106</v>
      </c>
      <c r="J679" s="35"/>
      <c r="K679" s="168"/>
    </row>
    <row r="680" spans="1:11" s="14" customFormat="1" ht="57">
      <c r="A680" s="233" t="s">
        <v>160</v>
      </c>
      <c r="B680" s="210"/>
      <c r="C680" s="323" t="s">
        <v>5</v>
      </c>
      <c r="D680" s="300" t="s">
        <v>122</v>
      </c>
      <c r="E680" s="300" t="s">
        <v>161</v>
      </c>
      <c r="F680" s="324"/>
      <c r="G680" s="140">
        <f>SUM(G681)</f>
        <v>27063.5</v>
      </c>
      <c r="H680" s="12"/>
      <c r="I680" s="12"/>
      <c r="J680" s="35"/>
      <c r="K680" s="168"/>
    </row>
    <row r="681" spans="1:11" s="14" customFormat="1" ht="15">
      <c r="A681" s="233" t="s">
        <v>505</v>
      </c>
      <c r="B681" s="210"/>
      <c r="C681" s="323" t="s">
        <v>5</v>
      </c>
      <c r="D681" s="300" t="s">
        <v>122</v>
      </c>
      <c r="E681" s="300" t="s">
        <v>161</v>
      </c>
      <c r="F681" s="324" t="s">
        <v>506</v>
      </c>
      <c r="G681" s="140">
        <v>27063.5</v>
      </c>
      <c r="H681" s="12"/>
      <c r="I681" s="12"/>
      <c r="J681" s="35">
        <f>SUM('[3]ведомствен.2014'!G759)</f>
        <v>27063.5</v>
      </c>
      <c r="K681" s="168"/>
    </row>
    <row r="682" spans="1:11" s="14" customFormat="1" ht="28.5">
      <c r="A682" s="248" t="s">
        <v>479</v>
      </c>
      <c r="B682" s="195"/>
      <c r="C682" s="293" t="s">
        <v>5</v>
      </c>
      <c r="D682" s="294" t="s">
        <v>122</v>
      </c>
      <c r="E682" s="294" t="s">
        <v>162</v>
      </c>
      <c r="F682" s="295"/>
      <c r="G682" s="141">
        <f>SUM(G689+G683+G686)</f>
        <v>34848.7</v>
      </c>
      <c r="H682" s="12"/>
      <c r="I682" s="12"/>
      <c r="J682" s="35"/>
      <c r="K682" s="168"/>
    </row>
    <row r="683" spans="1:11" s="14" customFormat="1" ht="15">
      <c r="A683" s="231" t="s">
        <v>163</v>
      </c>
      <c r="B683" s="221"/>
      <c r="C683" s="293" t="s">
        <v>5</v>
      </c>
      <c r="D683" s="294" t="s">
        <v>122</v>
      </c>
      <c r="E683" s="294" t="s">
        <v>164</v>
      </c>
      <c r="F683" s="295"/>
      <c r="G683" s="141">
        <f>SUM(G684:G685)</f>
        <v>6513.5</v>
      </c>
      <c r="H683" s="12">
        <f>SUM(H685)</f>
        <v>56493.7</v>
      </c>
      <c r="I683" s="12">
        <f>SUM(H683/G692*100)</f>
        <v>182.80443568611085</v>
      </c>
      <c r="K683" s="168"/>
    </row>
    <row r="684" spans="1:11" s="14" customFormat="1" ht="15">
      <c r="A684" s="225" t="s">
        <v>500</v>
      </c>
      <c r="B684" s="221"/>
      <c r="C684" s="293" t="s">
        <v>5</v>
      </c>
      <c r="D684" s="294" t="s">
        <v>122</v>
      </c>
      <c r="E684" s="294" t="s">
        <v>164</v>
      </c>
      <c r="F684" s="295" t="s">
        <v>120</v>
      </c>
      <c r="G684" s="141">
        <v>96.7</v>
      </c>
      <c r="H684" s="12"/>
      <c r="I684" s="12"/>
      <c r="J684" s="14">
        <f>SUM('[3]ведомствен.2014'!G519)</f>
        <v>96.7</v>
      </c>
      <c r="K684" s="168"/>
    </row>
    <row r="685" spans="1:11" s="14" customFormat="1" ht="15">
      <c r="A685" s="231" t="s">
        <v>505</v>
      </c>
      <c r="B685" s="221"/>
      <c r="C685" s="293" t="s">
        <v>5</v>
      </c>
      <c r="D685" s="294" t="s">
        <v>122</v>
      </c>
      <c r="E685" s="294" t="s">
        <v>164</v>
      </c>
      <c r="F685" s="295" t="s">
        <v>506</v>
      </c>
      <c r="G685" s="141">
        <v>6416.8</v>
      </c>
      <c r="H685" s="12">
        <v>56493.7</v>
      </c>
      <c r="I685" s="12">
        <f>SUM(H685/G693*100)</f>
        <v>202.42180809705866</v>
      </c>
      <c r="J685" s="14">
        <f>SUM('[3]ведомствен.2014'!G520)</f>
        <v>6416.8</v>
      </c>
      <c r="K685" s="168"/>
    </row>
    <row r="686" spans="1:11" s="14" customFormat="1" ht="15">
      <c r="A686" s="248" t="s">
        <v>480</v>
      </c>
      <c r="B686" s="195"/>
      <c r="C686" s="293" t="s">
        <v>5</v>
      </c>
      <c r="D686" s="294" t="s">
        <v>122</v>
      </c>
      <c r="E686" s="294" t="s">
        <v>165</v>
      </c>
      <c r="F686" s="295"/>
      <c r="G686" s="141">
        <f>SUM(G687:G688)</f>
        <v>5392</v>
      </c>
      <c r="H686" s="12">
        <f>SUM(H688+H693+H695+H710+H713+H704+H719)</f>
        <v>182903.19999999998</v>
      </c>
      <c r="I686" s="12">
        <f>SUM(H686/G694*100)</f>
        <v>5107.458602105497</v>
      </c>
      <c r="K686" s="168"/>
    </row>
    <row r="687" spans="1:11" s="14" customFormat="1" ht="15">
      <c r="A687" s="225" t="s">
        <v>500</v>
      </c>
      <c r="B687" s="221"/>
      <c r="C687" s="293" t="s">
        <v>5</v>
      </c>
      <c r="D687" s="294" t="s">
        <v>122</v>
      </c>
      <c r="E687" s="294" t="s">
        <v>165</v>
      </c>
      <c r="F687" s="295" t="s">
        <v>120</v>
      </c>
      <c r="G687" s="141">
        <v>56.3</v>
      </c>
      <c r="H687" s="12"/>
      <c r="I687" s="12"/>
      <c r="J687" s="14">
        <f>SUM('[3]ведомствен.2014'!G522)</f>
        <v>56.3</v>
      </c>
      <c r="K687" s="168"/>
    </row>
    <row r="688" spans="1:11" s="14" customFormat="1" ht="15">
      <c r="A688" s="248" t="s">
        <v>505</v>
      </c>
      <c r="B688" s="195"/>
      <c r="C688" s="293" t="s">
        <v>5</v>
      </c>
      <c r="D688" s="294" t="s">
        <v>122</v>
      </c>
      <c r="E688" s="294" t="s">
        <v>165</v>
      </c>
      <c r="F688" s="295" t="s">
        <v>506</v>
      </c>
      <c r="G688" s="141">
        <v>5335.7</v>
      </c>
      <c r="H688" s="12">
        <f>SUM(H689)</f>
        <v>37224.7</v>
      </c>
      <c r="I688" s="12">
        <f>SUM(H688/G695*100)</f>
        <v>1043.1469805240295</v>
      </c>
      <c r="J688" s="14">
        <f>SUM('[3]ведомствен.2014'!G523)</f>
        <v>5335.7</v>
      </c>
      <c r="K688" s="168"/>
    </row>
    <row r="689" spans="1:11" s="14" customFormat="1" ht="15">
      <c r="A689" s="231" t="s">
        <v>481</v>
      </c>
      <c r="B689" s="221"/>
      <c r="C689" s="293" t="s">
        <v>5</v>
      </c>
      <c r="D689" s="294" t="s">
        <v>122</v>
      </c>
      <c r="E689" s="294" t="s">
        <v>482</v>
      </c>
      <c r="F689" s="295"/>
      <c r="G689" s="141">
        <f>SUM(G690:G691)</f>
        <v>22943.2</v>
      </c>
      <c r="H689" s="12">
        <v>37224.7</v>
      </c>
      <c r="I689" s="12">
        <f>SUM(H689/G696*100)</f>
        <v>295434.126984127</v>
      </c>
      <c r="J689" s="35"/>
      <c r="K689" s="168"/>
    </row>
    <row r="690" spans="1:11" s="14" customFormat="1" ht="15">
      <c r="A690" s="225" t="s">
        <v>500</v>
      </c>
      <c r="B690" s="221"/>
      <c r="C690" s="293" t="s">
        <v>5</v>
      </c>
      <c r="D690" s="294" t="s">
        <v>122</v>
      </c>
      <c r="E690" s="294" t="s">
        <v>482</v>
      </c>
      <c r="F690" s="295" t="s">
        <v>120</v>
      </c>
      <c r="G690" s="141">
        <v>356</v>
      </c>
      <c r="H690" s="12"/>
      <c r="I690" s="12"/>
      <c r="J690" s="35">
        <f>SUM('[3]ведомствен.2014'!G525)</f>
        <v>356</v>
      </c>
      <c r="K690" s="168"/>
    </row>
    <row r="691" spans="1:11" s="14" customFormat="1" ht="15">
      <c r="A691" s="231" t="s">
        <v>505</v>
      </c>
      <c r="B691" s="221"/>
      <c r="C691" s="293" t="s">
        <v>5</v>
      </c>
      <c r="D691" s="294" t="s">
        <v>122</v>
      </c>
      <c r="E691" s="294" t="s">
        <v>482</v>
      </c>
      <c r="F691" s="295" t="s">
        <v>506</v>
      </c>
      <c r="G691" s="141">
        <v>22587.2</v>
      </c>
      <c r="H691" s="12">
        <f>SUM(H692)</f>
        <v>0</v>
      </c>
      <c r="I691" s="12">
        <f>SUM(H691/G697*100)</f>
        <v>0</v>
      </c>
      <c r="J691" s="14">
        <f>SUM('[3]ведомствен.2014'!G526)</f>
        <v>22587.2</v>
      </c>
      <c r="K691" s="168"/>
    </row>
    <row r="692" spans="1:11" s="14" customFormat="1" ht="15">
      <c r="A692" s="248" t="s">
        <v>166</v>
      </c>
      <c r="B692" s="195"/>
      <c r="C692" s="293" t="s">
        <v>5</v>
      </c>
      <c r="D692" s="294" t="s">
        <v>391</v>
      </c>
      <c r="E692" s="294"/>
      <c r="F692" s="295"/>
      <c r="G692" s="141">
        <f>G693+G706+G718+G716</f>
        <v>30903.899999999994</v>
      </c>
      <c r="H692" s="12"/>
      <c r="I692" s="12">
        <f>SUM(H692/G698*100)</f>
        <v>0</v>
      </c>
      <c r="K692" s="168">
        <f>SUM(J694:J720)</f>
        <v>30903.899999999998</v>
      </c>
    </row>
    <row r="693" spans="1:11" s="14" customFormat="1" ht="42.75">
      <c r="A693" s="231" t="s">
        <v>99</v>
      </c>
      <c r="B693" s="195"/>
      <c r="C693" s="293" t="s">
        <v>5</v>
      </c>
      <c r="D693" s="294" t="s">
        <v>391</v>
      </c>
      <c r="E693" s="294" t="s">
        <v>100</v>
      </c>
      <c r="F693" s="295"/>
      <c r="G693" s="141">
        <f>G694+G697+G701+G703</f>
        <v>27908.899999999998</v>
      </c>
      <c r="H693" s="12">
        <f>SUM(H694)</f>
        <v>29554</v>
      </c>
      <c r="I693" s="12">
        <f>SUM(H693/G699*100)</f>
        <v>5477.020014825796</v>
      </c>
      <c r="K693" s="168"/>
    </row>
    <row r="694" spans="1:11" s="14" customFormat="1" ht="15">
      <c r="A694" s="231" t="s">
        <v>107</v>
      </c>
      <c r="B694" s="195"/>
      <c r="C694" s="293" t="s">
        <v>5</v>
      </c>
      <c r="D694" s="294" t="s">
        <v>391</v>
      </c>
      <c r="E694" s="294" t="s">
        <v>109</v>
      </c>
      <c r="F694" s="295"/>
      <c r="G694" s="141">
        <f>G695+G696</f>
        <v>3581.1</v>
      </c>
      <c r="H694" s="12">
        <v>29554</v>
      </c>
      <c r="I694" s="12">
        <f aca="true" t="shared" si="11" ref="I694:I699">SUM(H694/G701*100)</f>
        <v>202.80108969388385</v>
      </c>
      <c r="K694" s="168"/>
    </row>
    <row r="695" spans="1:11" s="14" customFormat="1" ht="42.75">
      <c r="A695" s="231" t="s">
        <v>596</v>
      </c>
      <c r="B695" s="195"/>
      <c r="C695" s="293" t="s">
        <v>5</v>
      </c>
      <c r="D695" s="294" t="s">
        <v>391</v>
      </c>
      <c r="E695" s="294" t="s">
        <v>109</v>
      </c>
      <c r="F695" s="295" t="s">
        <v>496</v>
      </c>
      <c r="G695" s="141">
        <v>3568.5</v>
      </c>
      <c r="H695" s="12">
        <f>SUM(H696)</f>
        <v>37911</v>
      </c>
      <c r="I695" s="12">
        <f t="shared" si="11"/>
        <v>260.1472596394678</v>
      </c>
      <c r="J695" s="14">
        <f>SUM('[3]ведомствен.2014'!G530)</f>
        <v>3568.5</v>
      </c>
      <c r="K695" s="168"/>
    </row>
    <row r="696" spans="1:11" s="14" customFormat="1" ht="15">
      <c r="A696" s="231" t="s">
        <v>500</v>
      </c>
      <c r="B696" s="195"/>
      <c r="C696" s="293" t="s">
        <v>5</v>
      </c>
      <c r="D696" s="294" t="s">
        <v>391</v>
      </c>
      <c r="E696" s="294" t="s">
        <v>109</v>
      </c>
      <c r="F696" s="295" t="s">
        <v>120</v>
      </c>
      <c r="G696" s="141">
        <v>12.6</v>
      </c>
      <c r="H696" s="12">
        <v>37911</v>
      </c>
      <c r="I696" s="12">
        <f t="shared" si="11"/>
        <v>686.5820308962818</v>
      </c>
      <c r="J696" s="14">
        <f>SUM('[3]ведомствен.2014'!G531)</f>
        <v>12.6</v>
      </c>
      <c r="K696" s="168"/>
    </row>
    <row r="697" spans="1:11" s="14" customFormat="1" ht="42.75">
      <c r="A697" s="248" t="s">
        <v>597</v>
      </c>
      <c r="B697" s="195"/>
      <c r="C697" s="293" t="s">
        <v>5</v>
      </c>
      <c r="D697" s="294" t="s">
        <v>391</v>
      </c>
      <c r="E697" s="294" t="s">
        <v>169</v>
      </c>
      <c r="F697" s="295"/>
      <c r="G697" s="141">
        <f>SUM(G698:G700)</f>
        <v>4233.2</v>
      </c>
      <c r="H697" s="12">
        <f>SUM(H698)</f>
        <v>0</v>
      </c>
      <c r="I697" s="12">
        <f t="shared" si="11"/>
        <v>0</v>
      </c>
      <c r="K697" s="168"/>
    </row>
    <row r="698" spans="1:11" s="14" customFormat="1" ht="42.75">
      <c r="A698" s="231" t="s">
        <v>596</v>
      </c>
      <c r="B698" s="195"/>
      <c r="C698" s="293" t="s">
        <v>5</v>
      </c>
      <c r="D698" s="294" t="s">
        <v>391</v>
      </c>
      <c r="E698" s="294" t="s">
        <v>169</v>
      </c>
      <c r="F698" s="295" t="s">
        <v>496</v>
      </c>
      <c r="G698" s="141">
        <v>3602.4</v>
      </c>
      <c r="H698" s="12"/>
      <c r="I698" s="12">
        <f t="shared" si="11"/>
        <v>0</v>
      </c>
      <c r="J698" s="14">
        <f>SUM('[3]ведомствен.2014'!G533)</f>
        <v>3602.4</v>
      </c>
      <c r="K698" s="168"/>
    </row>
    <row r="699" spans="1:11" s="14" customFormat="1" ht="15">
      <c r="A699" s="231" t="s">
        <v>500</v>
      </c>
      <c r="B699" s="223"/>
      <c r="C699" s="293" t="s">
        <v>5</v>
      </c>
      <c r="D699" s="294" t="s">
        <v>391</v>
      </c>
      <c r="E699" s="294" t="s">
        <v>169</v>
      </c>
      <c r="F699" s="295" t="s">
        <v>120</v>
      </c>
      <c r="G699" s="141">
        <v>539.6</v>
      </c>
      <c r="H699" s="12">
        <f>SUM(H701)</f>
        <v>0</v>
      </c>
      <c r="I699" s="12">
        <f t="shared" si="11"/>
        <v>0</v>
      </c>
      <c r="J699" s="14">
        <f>SUM('[3]ведомствен.2014'!G534)</f>
        <v>539.6</v>
      </c>
      <c r="K699" s="168"/>
    </row>
    <row r="700" spans="1:11" s="14" customFormat="1" ht="15">
      <c r="A700" s="225" t="s">
        <v>501</v>
      </c>
      <c r="B700" s="224"/>
      <c r="C700" s="293" t="s">
        <v>5</v>
      </c>
      <c r="D700" s="294" t="s">
        <v>391</v>
      </c>
      <c r="E700" s="294" t="s">
        <v>169</v>
      </c>
      <c r="F700" s="295" t="s">
        <v>176</v>
      </c>
      <c r="G700" s="141">
        <v>91.2</v>
      </c>
      <c r="H700" s="12"/>
      <c r="I700" s="12"/>
      <c r="J700" s="14">
        <f>SUM('[3]ведомствен.2014'!G535)</f>
        <v>91.2</v>
      </c>
      <c r="K700" s="168"/>
    </row>
    <row r="701" spans="1:11" s="14" customFormat="1" ht="28.5">
      <c r="A701" s="248" t="s">
        <v>167</v>
      </c>
      <c r="B701" s="195"/>
      <c r="C701" s="293" t="s">
        <v>5</v>
      </c>
      <c r="D701" s="294" t="s">
        <v>391</v>
      </c>
      <c r="E701" s="294" t="s">
        <v>168</v>
      </c>
      <c r="F701" s="295"/>
      <c r="G701" s="141">
        <f>SUM(G702)</f>
        <v>14572.9</v>
      </c>
      <c r="H701" s="12"/>
      <c r="I701" s="12">
        <f>SUM(H701/G707*100)</f>
        <v>0</v>
      </c>
      <c r="K701" s="168"/>
    </row>
    <row r="702" spans="1:11" s="14" customFormat="1" ht="42.75">
      <c r="A702" s="231" t="s">
        <v>596</v>
      </c>
      <c r="B702" s="195"/>
      <c r="C702" s="293" t="s">
        <v>5</v>
      </c>
      <c r="D702" s="294" t="s">
        <v>391</v>
      </c>
      <c r="E702" s="294" t="s">
        <v>168</v>
      </c>
      <c r="F702" s="295" t="s">
        <v>496</v>
      </c>
      <c r="G702" s="141">
        <v>14572.9</v>
      </c>
      <c r="H702" s="12">
        <f>SUM(H703)</f>
        <v>0</v>
      </c>
      <c r="I702" s="12">
        <f>SUM(H702/G708*100)</f>
        <v>0</v>
      </c>
      <c r="J702" s="14">
        <f>SUM('[3]ведомствен.2014'!G537)</f>
        <v>14572.9</v>
      </c>
      <c r="K702" s="168"/>
    </row>
    <row r="703" spans="1:11" s="14" customFormat="1" ht="42.75">
      <c r="A703" s="248" t="s">
        <v>170</v>
      </c>
      <c r="B703" s="223"/>
      <c r="C703" s="293" t="s">
        <v>5</v>
      </c>
      <c r="D703" s="294" t="s">
        <v>391</v>
      </c>
      <c r="E703" s="294" t="s">
        <v>171</v>
      </c>
      <c r="F703" s="295"/>
      <c r="G703" s="141">
        <f>G704+G705</f>
        <v>5521.700000000001</v>
      </c>
      <c r="H703" s="12"/>
      <c r="I703" s="12">
        <f>SUM(H703/G710*100)</f>
        <v>0</v>
      </c>
      <c r="K703" s="168"/>
    </row>
    <row r="704" spans="1:11" ht="42.75">
      <c r="A704" s="231" t="s">
        <v>596</v>
      </c>
      <c r="B704" s="195"/>
      <c r="C704" s="293" t="s">
        <v>5</v>
      </c>
      <c r="D704" s="294" t="s">
        <v>391</v>
      </c>
      <c r="E704" s="294" t="s">
        <v>171</v>
      </c>
      <c r="F704" s="295" t="s">
        <v>496</v>
      </c>
      <c r="G704" s="141">
        <v>4948.6</v>
      </c>
      <c r="H704" s="12">
        <f>SUM(H705)</f>
        <v>70381.4</v>
      </c>
      <c r="I704" s="12">
        <f>SUM(H704/G711*100)</f>
        <v>5747.29707659644</v>
      </c>
      <c r="J704" s="14">
        <f>SUM('[3]ведомствен.2014'!G539)</f>
        <v>4948.6</v>
      </c>
      <c r="K704" s="168"/>
    </row>
    <row r="705" spans="1:11" ht="15">
      <c r="A705" s="231" t="s">
        <v>500</v>
      </c>
      <c r="B705" s="195"/>
      <c r="C705" s="293" t="s">
        <v>5</v>
      </c>
      <c r="D705" s="294" t="s">
        <v>391</v>
      </c>
      <c r="E705" s="294" t="s">
        <v>171</v>
      </c>
      <c r="F705" s="295" t="s">
        <v>120</v>
      </c>
      <c r="G705" s="141">
        <v>573.1</v>
      </c>
      <c r="H705" s="12">
        <v>70381.4</v>
      </c>
      <c r="I705" s="12">
        <f>SUM(H705/G713*100)</f>
        <v>6127.581403447674</v>
      </c>
      <c r="J705" s="14">
        <f>SUM('[3]ведомствен.2014'!G540)</f>
        <v>573.1</v>
      </c>
      <c r="K705" s="168"/>
    </row>
    <row r="706" spans="1:11" ht="28.5">
      <c r="A706" s="231" t="s">
        <v>497</v>
      </c>
      <c r="B706" s="195"/>
      <c r="C706" s="293" t="s">
        <v>5</v>
      </c>
      <c r="D706" s="294" t="s">
        <v>391</v>
      </c>
      <c r="E706" s="294" t="s">
        <v>498</v>
      </c>
      <c r="F706" s="295"/>
      <c r="G706" s="141">
        <f>G707+G710+G713</f>
        <v>2624.8999999999996</v>
      </c>
      <c r="H706" s="12"/>
      <c r="I706" s="12"/>
      <c r="J706" s="35"/>
      <c r="K706" s="168"/>
    </row>
    <row r="707" spans="1:11" ht="15">
      <c r="A707" s="248" t="s">
        <v>486</v>
      </c>
      <c r="B707" s="223"/>
      <c r="C707" s="293" t="s">
        <v>5</v>
      </c>
      <c r="D707" s="294" t="s">
        <v>391</v>
      </c>
      <c r="E707" s="294" t="s">
        <v>499</v>
      </c>
      <c r="F707" s="295"/>
      <c r="G707" s="141">
        <f>SUM(G708:G709)</f>
        <v>230.6</v>
      </c>
      <c r="H707" s="12"/>
      <c r="I707" s="12"/>
      <c r="J707" s="35"/>
      <c r="K707" s="168"/>
    </row>
    <row r="708" spans="1:11" ht="15">
      <c r="A708" s="231" t="s">
        <v>500</v>
      </c>
      <c r="B708" s="195"/>
      <c r="C708" s="293" t="s">
        <v>5</v>
      </c>
      <c r="D708" s="294" t="s">
        <v>391</v>
      </c>
      <c r="E708" s="294" t="s">
        <v>499</v>
      </c>
      <c r="F708" s="295" t="s">
        <v>120</v>
      </c>
      <c r="G708" s="141">
        <v>230</v>
      </c>
      <c r="H708" s="12"/>
      <c r="I708" s="12"/>
      <c r="J708" s="14">
        <f>SUM('[3]ведомствен.2014'!G543)</f>
        <v>230</v>
      </c>
      <c r="K708" s="168"/>
    </row>
    <row r="709" spans="1:11" ht="15">
      <c r="A709" s="109" t="s">
        <v>501</v>
      </c>
      <c r="B709" s="133"/>
      <c r="C709" s="294" t="s">
        <v>5</v>
      </c>
      <c r="D709" s="294" t="s">
        <v>391</v>
      </c>
      <c r="E709" s="294" t="s">
        <v>499</v>
      </c>
      <c r="F709" s="295" t="s">
        <v>176</v>
      </c>
      <c r="G709" s="263">
        <v>0.6</v>
      </c>
      <c r="H709" s="12"/>
      <c r="I709" s="12"/>
      <c r="J709" s="14">
        <f>SUM('[3]ведомствен.2014'!G544)</f>
        <v>0.6</v>
      </c>
      <c r="K709" s="168"/>
    </row>
    <row r="710" spans="1:11" s="14" customFormat="1" ht="28.5">
      <c r="A710" s="248" t="s">
        <v>487</v>
      </c>
      <c r="B710" s="223"/>
      <c r="C710" s="293" t="s">
        <v>5</v>
      </c>
      <c r="D710" s="294" t="s">
        <v>391</v>
      </c>
      <c r="E710" s="294" t="s">
        <v>502</v>
      </c>
      <c r="F710" s="295"/>
      <c r="G710" s="141">
        <f>SUM(G711:G712)</f>
        <v>1245.6999999999998</v>
      </c>
      <c r="H710" s="12">
        <f>SUM(H711)</f>
        <v>1365.8</v>
      </c>
      <c r="I710" s="12">
        <f>SUM(H710/G719*100)</f>
        <v>910.5333333333332</v>
      </c>
      <c r="K710" s="168"/>
    </row>
    <row r="711" spans="1:11" s="14" customFormat="1" ht="15">
      <c r="A711" s="231" t="s">
        <v>500</v>
      </c>
      <c r="B711" s="195"/>
      <c r="C711" s="293" t="s">
        <v>5</v>
      </c>
      <c r="D711" s="294" t="s">
        <v>391</v>
      </c>
      <c r="E711" s="294" t="s">
        <v>502</v>
      </c>
      <c r="F711" s="295" t="s">
        <v>120</v>
      </c>
      <c r="G711" s="141">
        <v>1224.6</v>
      </c>
      <c r="H711" s="12">
        <v>1365.8</v>
      </c>
      <c r="I711" s="12">
        <f>SUM(H711/G720*100)</f>
        <v>910.5333333333332</v>
      </c>
      <c r="J711" s="14">
        <f>SUM('[3]ведомствен.2014'!G546)</f>
        <v>1224.6</v>
      </c>
      <c r="K711" s="168"/>
    </row>
    <row r="712" spans="1:11" s="14" customFormat="1" ht="15">
      <c r="A712" s="109" t="s">
        <v>501</v>
      </c>
      <c r="B712" s="195"/>
      <c r="C712" s="293" t="s">
        <v>5</v>
      </c>
      <c r="D712" s="294" t="s">
        <v>391</v>
      </c>
      <c r="E712" s="294" t="s">
        <v>502</v>
      </c>
      <c r="F712" s="295" t="s">
        <v>176</v>
      </c>
      <c r="G712" s="141">
        <v>21.1</v>
      </c>
      <c r="H712" s="12"/>
      <c r="I712" s="12"/>
      <c r="J712" s="14">
        <f>SUM('[3]ведомствен.2014'!G547)</f>
        <v>21.1</v>
      </c>
      <c r="K712" s="168"/>
    </row>
    <row r="713" spans="1:11" s="14" customFormat="1" ht="28.5">
      <c r="A713" s="248" t="s">
        <v>503</v>
      </c>
      <c r="B713" s="223"/>
      <c r="C713" s="293" t="s">
        <v>5</v>
      </c>
      <c r="D713" s="294" t="s">
        <v>391</v>
      </c>
      <c r="E713" s="294" t="s">
        <v>504</v>
      </c>
      <c r="F713" s="295"/>
      <c r="G713" s="141">
        <f>G714+G715</f>
        <v>1148.6000000000001</v>
      </c>
      <c r="H713" s="12">
        <f>SUM(H714)</f>
        <v>1324.9</v>
      </c>
      <c r="I713" s="12" t="e">
        <f>SUM(H713/#REF!*100)</f>
        <v>#REF!</v>
      </c>
      <c r="K713" s="168"/>
    </row>
    <row r="714" spans="1:11" s="14" customFormat="1" ht="18" customHeight="1">
      <c r="A714" s="231" t="s">
        <v>596</v>
      </c>
      <c r="B714" s="195"/>
      <c r="C714" s="293" t="s">
        <v>5</v>
      </c>
      <c r="D714" s="294" t="s">
        <v>391</v>
      </c>
      <c r="E714" s="294" t="s">
        <v>504</v>
      </c>
      <c r="F714" s="295" t="s">
        <v>496</v>
      </c>
      <c r="G714" s="141">
        <v>0.2</v>
      </c>
      <c r="H714" s="12">
        <v>1324.9</v>
      </c>
      <c r="I714" s="12" t="e">
        <f>SUM(H714/#REF!*100)</f>
        <v>#REF!</v>
      </c>
      <c r="J714" s="14">
        <f>SUM('[3]ведомствен.2014'!G549)</f>
        <v>0.2</v>
      </c>
      <c r="K714" s="168"/>
    </row>
    <row r="715" spans="1:11" s="14" customFormat="1" ht="18.75" customHeight="1">
      <c r="A715" s="231" t="s">
        <v>500</v>
      </c>
      <c r="B715" s="195"/>
      <c r="C715" s="293" t="s">
        <v>5</v>
      </c>
      <c r="D715" s="294" t="s">
        <v>391</v>
      </c>
      <c r="E715" s="294" t="s">
        <v>504</v>
      </c>
      <c r="F715" s="295" t="s">
        <v>120</v>
      </c>
      <c r="G715" s="141">
        <v>1148.4</v>
      </c>
      <c r="H715" s="12">
        <f>SUM(H718)</f>
        <v>0</v>
      </c>
      <c r="I715" s="12" t="e">
        <f>SUM(H715/#REF!*100)</f>
        <v>#REF!</v>
      </c>
      <c r="J715" s="14">
        <f>SUM('[3]ведомствен.2014'!G550)</f>
        <v>1148.4</v>
      </c>
      <c r="K715" s="168"/>
    </row>
    <row r="716" spans="1:11" s="14" customFormat="1" ht="28.5">
      <c r="A716" s="227" t="s">
        <v>620</v>
      </c>
      <c r="B716" s="190"/>
      <c r="C716" s="274" t="s">
        <v>5</v>
      </c>
      <c r="D716" s="275" t="s">
        <v>391</v>
      </c>
      <c r="E716" s="275" t="s">
        <v>619</v>
      </c>
      <c r="F716" s="276"/>
      <c r="G716" s="137">
        <f>SUM(G717)</f>
        <v>220.10000000000002</v>
      </c>
      <c r="H716" s="12"/>
      <c r="I716" s="12"/>
      <c r="K716" s="168"/>
    </row>
    <row r="717" spans="1:11" s="14" customFormat="1" ht="15">
      <c r="A717" s="225" t="s">
        <v>501</v>
      </c>
      <c r="B717" s="190"/>
      <c r="C717" s="274" t="s">
        <v>5</v>
      </c>
      <c r="D717" s="275" t="s">
        <v>391</v>
      </c>
      <c r="E717" s="275" t="s">
        <v>619</v>
      </c>
      <c r="F717" s="276" t="s">
        <v>176</v>
      </c>
      <c r="G717" s="137">
        <f>620.1-400</f>
        <v>220.10000000000002</v>
      </c>
      <c r="H717" s="12"/>
      <c r="I717" s="12"/>
      <c r="J717" s="14">
        <f>SUM('[3]ведомствен.2014'!G370)</f>
        <v>220.10000000000002</v>
      </c>
      <c r="K717" s="168"/>
    </row>
    <row r="718" spans="1:11" s="14" customFormat="1" ht="15">
      <c r="A718" s="231" t="s">
        <v>594</v>
      </c>
      <c r="B718" s="195"/>
      <c r="C718" s="293" t="s">
        <v>5</v>
      </c>
      <c r="D718" s="294" t="s">
        <v>391</v>
      </c>
      <c r="E718" s="294" t="s">
        <v>129</v>
      </c>
      <c r="F718" s="295"/>
      <c r="G718" s="141">
        <f>G719</f>
        <v>150</v>
      </c>
      <c r="H718" s="12"/>
      <c r="I718" s="12" t="e">
        <f>SUM(H718/#REF!*100)</f>
        <v>#REF!</v>
      </c>
      <c r="K718" s="168"/>
    </row>
    <row r="719" spans="1:11" ht="57">
      <c r="A719" s="248" t="s">
        <v>598</v>
      </c>
      <c r="B719" s="195"/>
      <c r="C719" s="293" t="s">
        <v>5</v>
      </c>
      <c r="D719" s="294" t="s">
        <v>391</v>
      </c>
      <c r="E719" s="294" t="s">
        <v>365</v>
      </c>
      <c r="F719" s="295"/>
      <c r="G719" s="141">
        <f>G720</f>
        <v>150</v>
      </c>
      <c r="H719" s="12">
        <f>SUM(H720)</f>
        <v>5141.4</v>
      </c>
      <c r="I719" s="12" t="e">
        <f>SUM(H719/#REF!*100)</f>
        <v>#REF!</v>
      </c>
      <c r="J719"/>
      <c r="K719" s="168"/>
    </row>
    <row r="720" spans="1:11" ht="42.75">
      <c r="A720" s="248" t="s">
        <v>592</v>
      </c>
      <c r="B720" s="195"/>
      <c r="C720" s="293" t="s">
        <v>5</v>
      </c>
      <c r="D720" s="294" t="s">
        <v>391</v>
      </c>
      <c r="E720" s="294" t="s">
        <v>365</v>
      </c>
      <c r="F720" s="295" t="s">
        <v>513</v>
      </c>
      <c r="G720" s="141">
        <v>150</v>
      </c>
      <c r="H720" s="12">
        <v>5141.4</v>
      </c>
      <c r="I720" s="12" t="e">
        <f>SUM(H720/#REF!*100)</f>
        <v>#REF!</v>
      </c>
      <c r="J720" s="14">
        <f>SUM('[3]ведомствен.2014'!G553)</f>
        <v>150</v>
      </c>
      <c r="K720" s="168"/>
    </row>
    <row r="721" spans="1:12" s="26" customFormat="1" ht="15">
      <c r="A721" s="229" t="s">
        <v>245</v>
      </c>
      <c r="B721" s="194"/>
      <c r="C721" s="279" t="s">
        <v>419</v>
      </c>
      <c r="D721" s="325"/>
      <c r="E721" s="325"/>
      <c r="F721" s="326"/>
      <c r="G721" s="139">
        <f>SUM(G722)+G736+G748+G756</f>
        <v>10850.1</v>
      </c>
      <c r="H721" s="25"/>
      <c r="I721" s="12"/>
      <c r="J721" s="33"/>
      <c r="K721" s="37">
        <f>SUM(J722:J767)</f>
        <v>10850.1</v>
      </c>
      <c r="L721" s="26">
        <f>SUM('[3]ведомствен.2014'!G569)+'[3]ведомствен.2014'!G327</f>
        <v>10850.1</v>
      </c>
    </row>
    <row r="722" spans="1:10" s="26" customFormat="1" ht="15">
      <c r="A722" s="225" t="s">
        <v>238</v>
      </c>
      <c r="B722" s="190"/>
      <c r="C722" s="274" t="s">
        <v>419</v>
      </c>
      <c r="D722" s="275" t="s">
        <v>460</v>
      </c>
      <c r="E722" s="275"/>
      <c r="F722" s="276"/>
      <c r="G722" s="137">
        <f>SUM(G723+G729)</f>
        <v>7135.1</v>
      </c>
      <c r="H722" s="25"/>
      <c r="I722" s="12"/>
      <c r="J722" s="33"/>
    </row>
    <row r="723" spans="1:10" s="26" customFormat="1" ht="28.5">
      <c r="A723" s="225" t="s">
        <v>489</v>
      </c>
      <c r="B723" s="190"/>
      <c r="C723" s="274" t="s">
        <v>419</v>
      </c>
      <c r="D723" s="275" t="s">
        <v>460</v>
      </c>
      <c r="E723" s="275" t="s">
        <v>490</v>
      </c>
      <c r="F723" s="277"/>
      <c r="G723" s="137">
        <f>SUM(G724)</f>
        <v>3854.3</v>
      </c>
      <c r="H723" s="25"/>
      <c r="I723" s="12"/>
      <c r="J723" s="33"/>
    </row>
    <row r="724" spans="1:10" s="26" customFormat="1" ht="28.5">
      <c r="A724" s="225" t="s">
        <v>56</v>
      </c>
      <c r="B724" s="190"/>
      <c r="C724" s="274" t="s">
        <v>419</v>
      </c>
      <c r="D724" s="275" t="s">
        <v>460</v>
      </c>
      <c r="E724" s="275" t="s">
        <v>491</v>
      </c>
      <c r="F724" s="277"/>
      <c r="G724" s="137">
        <f>SUM(G725)</f>
        <v>3854.3</v>
      </c>
      <c r="H724" s="25"/>
      <c r="I724" s="12"/>
      <c r="J724" s="33"/>
    </row>
    <row r="725" spans="1:10" ht="42.75">
      <c r="A725" s="225" t="s">
        <v>636</v>
      </c>
      <c r="B725" s="190"/>
      <c r="C725" s="274" t="s">
        <v>419</v>
      </c>
      <c r="D725" s="275" t="s">
        <v>460</v>
      </c>
      <c r="E725" s="275" t="s">
        <v>570</v>
      </c>
      <c r="F725" s="277"/>
      <c r="G725" s="137">
        <f>SUM(G726:G728)</f>
        <v>3854.3</v>
      </c>
      <c r="H725" s="12"/>
      <c r="I725" s="12"/>
      <c r="J725"/>
    </row>
    <row r="726" spans="1:10" ht="42.75">
      <c r="A726" s="225" t="s">
        <v>495</v>
      </c>
      <c r="B726" s="190"/>
      <c r="C726" s="274" t="s">
        <v>419</v>
      </c>
      <c r="D726" s="275" t="s">
        <v>460</v>
      </c>
      <c r="E726" s="275" t="s">
        <v>570</v>
      </c>
      <c r="F726" s="276" t="s">
        <v>496</v>
      </c>
      <c r="G726" s="137">
        <v>3228.9</v>
      </c>
      <c r="H726" s="25"/>
      <c r="I726" s="12"/>
      <c r="J726">
        <f>SUM('[3]ведомствен.2014'!G576)</f>
        <v>3228.9</v>
      </c>
    </row>
    <row r="727" spans="1:10" ht="15">
      <c r="A727" s="225" t="s">
        <v>500</v>
      </c>
      <c r="B727" s="190"/>
      <c r="C727" s="274" t="s">
        <v>419</v>
      </c>
      <c r="D727" s="275" t="s">
        <v>460</v>
      </c>
      <c r="E727" s="275" t="s">
        <v>570</v>
      </c>
      <c r="F727" s="276" t="s">
        <v>120</v>
      </c>
      <c r="G727" s="138">
        <v>619.4</v>
      </c>
      <c r="H727" s="25"/>
      <c r="I727" s="12"/>
      <c r="J727">
        <f>SUM('[3]ведомствен.2014'!G577)</f>
        <v>619.4</v>
      </c>
    </row>
    <row r="728" spans="1:10" ht="15">
      <c r="A728" s="225" t="s">
        <v>501</v>
      </c>
      <c r="B728" s="190"/>
      <c r="C728" s="274" t="s">
        <v>419</v>
      </c>
      <c r="D728" s="275" t="s">
        <v>460</v>
      </c>
      <c r="E728" s="275" t="s">
        <v>570</v>
      </c>
      <c r="F728" s="277" t="s">
        <v>176</v>
      </c>
      <c r="G728" s="137">
        <v>6</v>
      </c>
      <c r="H728" s="25"/>
      <c r="I728" s="12"/>
      <c r="J728">
        <f>SUM('[3]ведомствен.2014'!G578)</f>
        <v>6</v>
      </c>
    </row>
    <row r="729" spans="1:10" ht="15">
      <c r="A729" s="231" t="s">
        <v>594</v>
      </c>
      <c r="B729" s="190"/>
      <c r="C729" s="274" t="s">
        <v>419</v>
      </c>
      <c r="D729" s="275" t="s">
        <v>460</v>
      </c>
      <c r="E729" s="282" t="s">
        <v>129</v>
      </c>
      <c r="F729" s="276"/>
      <c r="G729" s="137">
        <f>SUM(G730)</f>
        <v>3280.8</v>
      </c>
      <c r="H729" s="12"/>
      <c r="I729" s="12"/>
      <c r="J729"/>
    </row>
    <row r="730" spans="1:10" ht="28.5">
      <c r="A730" s="225" t="s">
        <v>632</v>
      </c>
      <c r="B730" s="190"/>
      <c r="C730" s="274" t="s">
        <v>419</v>
      </c>
      <c r="D730" s="275" t="s">
        <v>460</v>
      </c>
      <c r="E730" s="282" t="s">
        <v>98</v>
      </c>
      <c r="F730" s="276"/>
      <c r="G730" s="137">
        <f>SUM(G731:G733)</f>
        <v>3280.8</v>
      </c>
      <c r="H730" s="32"/>
      <c r="I730" s="12"/>
      <c r="J730"/>
    </row>
    <row r="731" spans="1:10" ht="42.75">
      <c r="A731" s="225" t="s">
        <v>495</v>
      </c>
      <c r="B731" s="206"/>
      <c r="C731" s="274" t="s">
        <v>419</v>
      </c>
      <c r="D731" s="275" t="s">
        <v>460</v>
      </c>
      <c r="E731" s="282" t="s">
        <v>98</v>
      </c>
      <c r="F731" s="276" t="s">
        <v>496</v>
      </c>
      <c r="G731" s="137">
        <v>700</v>
      </c>
      <c r="H731" s="32"/>
      <c r="I731" s="12"/>
      <c r="J731">
        <f>SUM('[3]ведомствен.2014'!G581)</f>
        <v>700</v>
      </c>
    </row>
    <row r="732" spans="1:10" ht="15.75">
      <c r="A732" s="225" t="s">
        <v>500</v>
      </c>
      <c r="B732" s="190"/>
      <c r="C732" s="274" t="s">
        <v>419</v>
      </c>
      <c r="D732" s="275" t="s">
        <v>460</v>
      </c>
      <c r="E732" s="282" t="s">
        <v>98</v>
      </c>
      <c r="F732" s="276" t="s">
        <v>120</v>
      </c>
      <c r="G732" s="137">
        <v>1608.8</v>
      </c>
      <c r="H732" s="32"/>
      <c r="I732" s="12"/>
      <c r="J732">
        <f>SUM('[3]ведомствен.2014'!G582)</f>
        <v>1608.8</v>
      </c>
    </row>
    <row r="733" spans="1:10" ht="30.75" customHeight="1">
      <c r="A733" s="231" t="s">
        <v>517</v>
      </c>
      <c r="B733" s="190"/>
      <c r="C733" s="274" t="s">
        <v>419</v>
      </c>
      <c r="D733" s="275" t="s">
        <v>460</v>
      </c>
      <c r="E733" s="282" t="s">
        <v>98</v>
      </c>
      <c r="F733" s="276" t="s">
        <v>513</v>
      </c>
      <c r="G733" s="137">
        <v>972</v>
      </c>
      <c r="H733" s="32"/>
      <c r="I733" s="12"/>
      <c r="J733">
        <f>SUM('[3]ведомствен.2014'!G583)</f>
        <v>972</v>
      </c>
    </row>
    <row r="734" spans="1:9" s="26" customFormat="1" ht="42.75" hidden="1">
      <c r="A734" s="225" t="s">
        <v>152</v>
      </c>
      <c r="B734" s="190"/>
      <c r="C734" s="274" t="s">
        <v>419</v>
      </c>
      <c r="D734" s="275" t="s">
        <v>460</v>
      </c>
      <c r="E734" s="282" t="s">
        <v>412</v>
      </c>
      <c r="F734" s="276"/>
      <c r="G734" s="137">
        <f>SUM(G735)</f>
        <v>0</v>
      </c>
      <c r="H734" s="25"/>
      <c r="I734" s="12"/>
    </row>
    <row r="735" spans="1:9" s="26" customFormat="1" ht="28.5" hidden="1">
      <c r="A735" s="231" t="s">
        <v>143</v>
      </c>
      <c r="B735" s="190"/>
      <c r="C735" s="274" t="s">
        <v>419</v>
      </c>
      <c r="D735" s="275" t="s">
        <v>460</v>
      </c>
      <c r="E735" s="282" t="s">
        <v>412</v>
      </c>
      <c r="F735" s="276" t="s">
        <v>83</v>
      </c>
      <c r="G735" s="137"/>
      <c r="H735" s="25"/>
      <c r="I735" s="12"/>
    </row>
    <row r="736" spans="1:9" s="26" customFormat="1" ht="15">
      <c r="A736" s="225" t="s">
        <v>155</v>
      </c>
      <c r="B736" s="190"/>
      <c r="C736" s="274" t="s">
        <v>419</v>
      </c>
      <c r="D736" s="275" t="s">
        <v>462</v>
      </c>
      <c r="E736" s="280"/>
      <c r="F736" s="277"/>
      <c r="G736" s="258">
        <f>SUM(G740)+G737</f>
        <v>2626.6</v>
      </c>
      <c r="H736" s="25"/>
      <c r="I736" s="12"/>
    </row>
    <row r="737" spans="1:9" s="86" customFormat="1" ht="18" customHeight="1">
      <c r="A737" s="109" t="s">
        <v>184</v>
      </c>
      <c r="B737" s="274"/>
      <c r="C737" s="275" t="s">
        <v>419</v>
      </c>
      <c r="D737" s="275" t="s">
        <v>462</v>
      </c>
      <c r="E737" s="280" t="s">
        <v>185</v>
      </c>
      <c r="F737" s="277"/>
      <c r="G737" s="258">
        <f>SUM(G738)</f>
        <v>1000</v>
      </c>
      <c r="H737" s="20"/>
      <c r="I737" s="20"/>
    </row>
    <row r="738" spans="1:9" s="86" customFormat="1" ht="39" customHeight="1">
      <c r="A738" s="109" t="s">
        <v>759</v>
      </c>
      <c r="B738" s="274"/>
      <c r="C738" s="275" t="s">
        <v>419</v>
      </c>
      <c r="D738" s="275" t="s">
        <v>462</v>
      </c>
      <c r="E738" s="280" t="s">
        <v>760</v>
      </c>
      <c r="F738" s="277"/>
      <c r="G738" s="258">
        <f>SUM(G739)</f>
        <v>1000</v>
      </c>
      <c r="H738" s="20"/>
      <c r="I738" s="20"/>
    </row>
    <row r="739" spans="1:10" s="86" customFormat="1" ht="31.5" customHeight="1">
      <c r="A739" s="114" t="s">
        <v>517</v>
      </c>
      <c r="B739" s="274"/>
      <c r="C739" s="275" t="s">
        <v>419</v>
      </c>
      <c r="D739" s="275" t="s">
        <v>462</v>
      </c>
      <c r="E739" s="280" t="s">
        <v>760</v>
      </c>
      <c r="F739" s="277" t="s">
        <v>513</v>
      </c>
      <c r="G739" s="258">
        <v>1000</v>
      </c>
      <c r="H739" s="20"/>
      <c r="I739" s="20"/>
      <c r="J739" s="86">
        <f>SUM('[3]ведомствен.2014'!G589)</f>
        <v>1000</v>
      </c>
    </row>
    <row r="740" spans="1:10" s="26" customFormat="1" ht="15">
      <c r="A740" s="231" t="s">
        <v>681</v>
      </c>
      <c r="B740" s="188"/>
      <c r="C740" s="275" t="s">
        <v>419</v>
      </c>
      <c r="D740" s="275" t="s">
        <v>462</v>
      </c>
      <c r="E740" s="275" t="s">
        <v>683</v>
      </c>
      <c r="F740" s="277"/>
      <c r="G740" s="258">
        <f>SUM(G741+G746)</f>
        <v>1626.6</v>
      </c>
      <c r="H740" s="25"/>
      <c r="I740" s="12"/>
      <c r="J740"/>
    </row>
    <row r="741" spans="1:9" s="26" customFormat="1" ht="42.75">
      <c r="A741" s="225" t="s">
        <v>686</v>
      </c>
      <c r="B741" s="188"/>
      <c r="C741" s="275" t="s">
        <v>419</v>
      </c>
      <c r="D741" s="275" t="s">
        <v>462</v>
      </c>
      <c r="E741" s="275" t="s">
        <v>687</v>
      </c>
      <c r="F741" s="277"/>
      <c r="G741" s="137">
        <f>SUM(G744)+G742</f>
        <v>626.6</v>
      </c>
      <c r="H741" s="25"/>
      <c r="I741" s="12"/>
    </row>
    <row r="742" spans="1:9" s="26" customFormat="1" ht="28.5">
      <c r="A742" s="109" t="s">
        <v>714</v>
      </c>
      <c r="B742" s="62"/>
      <c r="C742" s="275" t="s">
        <v>419</v>
      </c>
      <c r="D742" s="275" t="s">
        <v>462</v>
      </c>
      <c r="E742" s="275" t="s">
        <v>715</v>
      </c>
      <c r="F742" s="277"/>
      <c r="G742" s="258">
        <f>SUM(G743)</f>
        <v>468.6</v>
      </c>
      <c r="H742" s="25"/>
      <c r="I742" s="12"/>
    </row>
    <row r="743" spans="1:10" s="26" customFormat="1" ht="28.5">
      <c r="A743" s="114" t="s">
        <v>517</v>
      </c>
      <c r="B743" s="62"/>
      <c r="C743" s="275" t="s">
        <v>419</v>
      </c>
      <c r="D743" s="275" t="s">
        <v>462</v>
      </c>
      <c r="E743" s="275" t="s">
        <v>715</v>
      </c>
      <c r="F743" s="277" t="s">
        <v>513</v>
      </c>
      <c r="G743" s="258">
        <v>468.6</v>
      </c>
      <c r="H743" s="25"/>
      <c r="I743" s="12"/>
      <c r="J743" s="26">
        <f>SUM('[3]ведомствен.2014'!G593)</f>
        <v>468.6</v>
      </c>
    </row>
    <row r="744" spans="1:9" s="26" customFormat="1" ht="31.5" customHeight="1">
      <c r="A744" s="109" t="s">
        <v>695</v>
      </c>
      <c r="B744" s="62"/>
      <c r="C744" s="275" t="s">
        <v>419</v>
      </c>
      <c r="D744" s="275" t="s">
        <v>462</v>
      </c>
      <c r="E744" s="275" t="s">
        <v>696</v>
      </c>
      <c r="F744" s="277"/>
      <c r="G744" s="258">
        <f>SUM(G745)</f>
        <v>158</v>
      </c>
      <c r="H744" s="25"/>
      <c r="I744" s="12"/>
    </row>
    <row r="745" spans="1:10" s="26" customFormat="1" ht="35.25" customHeight="1">
      <c r="A745" s="114" t="s">
        <v>517</v>
      </c>
      <c r="B745" s="62"/>
      <c r="C745" s="275" t="s">
        <v>419</v>
      </c>
      <c r="D745" s="275" t="s">
        <v>462</v>
      </c>
      <c r="E745" s="275" t="s">
        <v>696</v>
      </c>
      <c r="F745" s="276" t="s">
        <v>513</v>
      </c>
      <c r="G745" s="258">
        <v>158</v>
      </c>
      <c r="H745" s="25"/>
      <c r="I745" s="12"/>
      <c r="J745" s="26">
        <f>SUM('[3]ведомствен.2014'!G595)</f>
        <v>158</v>
      </c>
    </row>
    <row r="746" spans="1:9" s="26" customFormat="1" ht="35.25" customHeight="1">
      <c r="A746" s="114" t="s">
        <v>716</v>
      </c>
      <c r="B746" s="62"/>
      <c r="C746" s="275" t="s">
        <v>419</v>
      </c>
      <c r="D746" s="275" t="s">
        <v>462</v>
      </c>
      <c r="E746" s="275" t="s">
        <v>717</v>
      </c>
      <c r="F746" s="276"/>
      <c r="G746" s="258">
        <f>SUM(G747)</f>
        <v>1000</v>
      </c>
      <c r="H746" s="25"/>
      <c r="I746" s="12"/>
    </row>
    <row r="747" spans="1:10" s="26" customFormat="1" ht="35.25" customHeight="1">
      <c r="A747" s="114" t="s">
        <v>517</v>
      </c>
      <c r="B747" s="62"/>
      <c r="C747" s="275" t="s">
        <v>419</v>
      </c>
      <c r="D747" s="275" t="s">
        <v>462</v>
      </c>
      <c r="E747" s="275" t="s">
        <v>717</v>
      </c>
      <c r="F747" s="276" t="s">
        <v>513</v>
      </c>
      <c r="G747" s="258">
        <v>1000</v>
      </c>
      <c r="H747" s="25"/>
      <c r="I747" s="12"/>
      <c r="J747" s="26">
        <f>SUM('[3]ведомствен.2014'!G597)</f>
        <v>1000</v>
      </c>
    </row>
    <row r="748" spans="1:9" s="26" customFormat="1" ht="21.75" customHeight="1">
      <c r="A748" s="114" t="s">
        <v>718</v>
      </c>
      <c r="B748" s="62"/>
      <c r="C748" s="275" t="s">
        <v>419</v>
      </c>
      <c r="D748" s="275" t="s">
        <v>106</v>
      </c>
      <c r="E748" s="275"/>
      <c r="F748" s="276"/>
      <c r="G748" s="258">
        <f>SUM(G752)+G749</f>
        <v>692.4</v>
      </c>
      <c r="H748" s="25"/>
      <c r="I748" s="12"/>
    </row>
    <row r="749" spans="1:9" s="26" customFormat="1" ht="35.25" customHeight="1">
      <c r="A749" s="114" t="s">
        <v>719</v>
      </c>
      <c r="B749" s="62"/>
      <c r="C749" s="275" t="s">
        <v>419</v>
      </c>
      <c r="D749" s="275" t="s">
        <v>106</v>
      </c>
      <c r="E749" s="275" t="s">
        <v>720</v>
      </c>
      <c r="F749" s="276"/>
      <c r="G749" s="258">
        <f>SUM(G750)</f>
        <v>306.5</v>
      </c>
      <c r="H749" s="25"/>
      <c r="I749" s="12"/>
    </row>
    <row r="750" spans="1:9" s="26" customFormat="1" ht="50.25" customHeight="1">
      <c r="A750" s="114" t="s">
        <v>721</v>
      </c>
      <c r="B750" s="62"/>
      <c r="C750" s="275" t="s">
        <v>419</v>
      </c>
      <c r="D750" s="275" t="s">
        <v>106</v>
      </c>
      <c r="E750" s="275" t="s">
        <v>722</v>
      </c>
      <c r="F750" s="276"/>
      <c r="G750" s="258">
        <f>SUM(G751)</f>
        <v>306.5</v>
      </c>
      <c r="H750" s="25"/>
      <c r="I750" s="12"/>
    </row>
    <row r="751" spans="1:10" s="26" customFormat="1" ht="35.25" customHeight="1">
      <c r="A751" s="114" t="s">
        <v>517</v>
      </c>
      <c r="B751" s="62"/>
      <c r="C751" s="275" t="s">
        <v>419</v>
      </c>
      <c r="D751" s="275" t="s">
        <v>106</v>
      </c>
      <c r="E751" s="275" t="s">
        <v>722</v>
      </c>
      <c r="F751" s="276" t="s">
        <v>513</v>
      </c>
      <c r="G751" s="258">
        <v>306.5</v>
      </c>
      <c r="H751" s="25"/>
      <c r="I751" s="12"/>
      <c r="J751" s="26">
        <f>SUM('[3]ведомствен.2014'!G601)</f>
        <v>306.5</v>
      </c>
    </row>
    <row r="752" spans="1:9" s="26" customFormat="1" ht="24" customHeight="1">
      <c r="A752" s="114" t="s">
        <v>681</v>
      </c>
      <c r="B752" s="62"/>
      <c r="C752" s="275" t="s">
        <v>419</v>
      </c>
      <c r="D752" s="275" t="s">
        <v>106</v>
      </c>
      <c r="E752" s="275" t="s">
        <v>683</v>
      </c>
      <c r="F752" s="277"/>
      <c r="G752" s="258">
        <f>SUM(G753)</f>
        <v>385.9</v>
      </c>
      <c r="H752" s="25"/>
      <c r="I752" s="12"/>
    </row>
    <row r="753" spans="1:9" s="26" customFormat="1" ht="47.25" customHeight="1">
      <c r="A753" s="109" t="s">
        <v>686</v>
      </c>
      <c r="B753" s="62"/>
      <c r="C753" s="275" t="s">
        <v>419</v>
      </c>
      <c r="D753" s="275" t="s">
        <v>106</v>
      </c>
      <c r="E753" s="275" t="s">
        <v>687</v>
      </c>
      <c r="F753" s="277"/>
      <c r="G753" s="258">
        <f>SUM(G754)</f>
        <v>385.9</v>
      </c>
      <c r="H753" s="25"/>
      <c r="I753" s="12"/>
    </row>
    <row r="754" spans="1:9" s="26" customFormat="1" ht="35.25" customHeight="1">
      <c r="A754" s="109" t="s">
        <v>714</v>
      </c>
      <c r="B754" s="62"/>
      <c r="C754" s="275" t="s">
        <v>419</v>
      </c>
      <c r="D754" s="275" t="s">
        <v>106</v>
      </c>
      <c r="E754" s="275" t="s">
        <v>715</v>
      </c>
      <c r="F754" s="277"/>
      <c r="G754" s="258">
        <f>SUM(G755)</f>
        <v>385.9</v>
      </c>
      <c r="H754" s="25"/>
      <c r="I754" s="12"/>
    </row>
    <row r="755" spans="1:10" s="26" customFormat="1" ht="35.25" customHeight="1">
      <c r="A755" s="114" t="s">
        <v>517</v>
      </c>
      <c r="B755" s="62"/>
      <c r="C755" s="275" t="s">
        <v>419</v>
      </c>
      <c r="D755" s="275" t="s">
        <v>106</v>
      </c>
      <c r="E755" s="275" t="s">
        <v>715</v>
      </c>
      <c r="F755" s="277" t="s">
        <v>513</v>
      </c>
      <c r="G755" s="258">
        <v>385.9</v>
      </c>
      <c r="H755" s="25"/>
      <c r="I755" s="12"/>
      <c r="J755" s="26">
        <f>SUM('[3]ведомствен.2014'!G605)</f>
        <v>385.9</v>
      </c>
    </row>
    <row r="756" spans="1:10" ht="14.25" customHeight="1">
      <c r="A756" s="225" t="s">
        <v>239</v>
      </c>
      <c r="B756" s="190"/>
      <c r="C756" s="274" t="s">
        <v>419</v>
      </c>
      <c r="D756" s="275" t="s">
        <v>131</v>
      </c>
      <c r="E756" s="280"/>
      <c r="F756" s="277"/>
      <c r="G756" s="137">
        <f>SUM(G757+G763+G765)+G760</f>
        <v>396</v>
      </c>
      <c r="H756" s="12" t="e">
        <f>SUM(H761)+H765+H767</f>
        <v>#REF!</v>
      </c>
      <c r="I756" s="12" t="e">
        <f>SUM(H756/G762*100)</f>
        <v>#REF!</v>
      </c>
      <c r="J756"/>
    </row>
    <row r="757" spans="1:10" ht="42.75" hidden="1">
      <c r="A757" s="225" t="s">
        <v>99</v>
      </c>
      <c r="B757" s="190"/>
      <c r="C757" s="274" t="s">
        <v>419</v>
      </c>
      <c r="D757" s="275" t="s">
        <v>131</v>
      </c>
      <c r="E757" s="275" t="s">
        <v>100</v>
      </c>
      <c r="F757" s="277"/>
      <c r="G757" s="137">
        <f>SUM(G758)</f>
        <v>0</v>
      </c>
      <c r="H757" s="12"/>
      <c r="I757" s="12"/>
      <c r="J757"/>
    </row>
    <row r="758" spans="1:10" ht="15" hidden="1">
      <c r="A758" s="225" t="s">
        <v>107</v>
      </c>
      <c r="B758" s="190"/>
      <c r="C758" s="274" t="s">
        <v>419</v>
      </c>
      <c r="D758" s="275" t="s">
        <v>131</v>
      </c>
      <c r="E758" s="275" t="s">
        <v>109</v>
      </c>
      <c r="F758" s="277"/>
      <c r="G758" s="137">
        <f>SUM(G759)</f>
        <v>0</v>
      </c>
      <c r="H758" s="12"/>
      <c r="I758" s="12"/>
      <c r="J758"/>
    </row>
    <row r="759" spans="1:10" ht="15" hidden="1">
      <c r="A759" s="225" t="s">
        <v>103</v>
      </c>
      <c r="B759" s="190"/>
      <c r="C759" s="274" t="s">
        <v>419</v>
      </c>
      <c r="D759" s="275" t="s">
        <v>131</v>
      </c>
      <c r="E759" s="275" t="s">
        <v>109</v>
      </c>
      <c r="F759" s="276" t="s">
        <v>104</v>
      </c>
      <c r="G759" s="137"/>
      <c r="H759" s="16">
        <f>SUM(H760)</f>
        <v>1042.3</v>
      </c>
      <c r="I759" s="12" t="e">
        <f>SUM(H759/G765*100)</f>
        <v>#DIV/0!</v>
      </c>
      <c r="J759"/>
    </row>
    <row r="760" spans="1:10" ht="15">
      <c r="A760" s="231" t="s">
        <v>128</v>
      </c>
      <c r="B760" s="190"/>
      <c r="C760" s="274" t="s">
        <v>419</v>
      </c>
      <c r="D760" s="275" t="s">
        <v>131</v>
      </c>
      <c r="E760" s="282" t="s">
        <v>129</v>
      </c>
      <c r="F760" s="276"/>
      <c r="G760" s="137">
        <f>SUM(G761)</f>
        <v>396</v>
      </c>
      <c r="H760" s="16">
        <v>1042.3</v>
      </c>
      <c r="I760" s="12" t="e">
        <f>SUM(H760/G766*100)</f>
        <v>#DIV/0!</v>
      </c>
      <c r="J760"/>
    </row>
    <row r="761" spans="1:9" s="86" customFormat="1" ht="42.75">
      <c r="A761" s="117" t="s">
        <v>146</v>
      </c>
      <c r="B761" s="274"/>
      <c r="C761" s="275" t="s">
        <v>419</v>
      </c>
      <c r="D761" s="275" t="s">
        <v>131</v>
      </c>
      <c r="E761" s="280" t="s">
        <v>54</v>
      </c>
      <c r="F761" s="277"/>
      <c r="G761" s="258">
        <f>SUM(G762)</f>
        <v>396</v>
      </c>
      <c r="H761" s="20">
        <f>SUM(H762+H764)</f>
        <v>122.5</v>
      </c>
      <c r="I761" s="20" t="e">
        <f>SUM(H761/G767*100)</f>
        <v>#DIV/0!</v>
      </c>
    </row>
    <row r="762" spans="1:10" s="103" customFormat="1" ht="15">
      <c r="A762" s="117" t="s">
        <v>134</v>
      </c>
      <c r="B762" s="274"/>
      <c r="C762" s="275" t="s">
        <v>419</v>
      </c>
      <c r="D762" s="275" t="s">
        <v>131</v>
      </c>
      <c r="E762" s="280" t="s">
        <v>54</v>
      </c>
      <c r="F762" s="277" t="s">
        <v>135</v>
      </c>
      <c r="G762" s="258">
        <v>396</v>
      </c>
      <c r="H762" s="20">
        <v>122.5</v>
      </c>
      <c r="I762" s="20">
        <f>SUM(H762/G768*100)</f>
        <v>0.439068100358423</v>
      </c>
      <c r="J762" s="103">
        <f>SUM('[3]ведомствен.2014'!G331)</f>
        <v>396</v>
      </c>
    </row>
    <row r="763" spans="1:11" s="59" customFormat="1" ht="15.75" hidden="1">
      <c r="A763" s="231" t="s">
        <v>387</v>
      </c>
      <c r="B763" s="190"/>
      <c r="C763" s="274" t="s">
        <v>419</v>
      </c>
      <c r="D763" s="275" t="s">
        <v>131</v>
      </c>
      <c r="E763" s="280" t="s">
        <v>388</v>
      </c>
      <c r="F763" s="277"/>
      <c r="G763" s="137">
        <f>SUM(G764)</f>
        <v>0</v>
      </c>
      <c r="H763" s="58"/>
      <c r="I763" s="15"/>
      <c r="K763" s="64"/>
    </row>
    <row r="764" spans="1:9" s="26" customFormat="1" ht="15" hidden="1">
      <c r="A764" s="225" t="s">
        <v>103</v>
      </c>
      <c r="B764" s="190"/>
      <c r="C764" s="274" t="s">
        <v>419</v>
      </c>
      <c r="D764" s="275" t="s">
        <v>131</v>
      </c>
      <c r="E764" s="280" t="s">
        <v>388</v>
      </c>
      <c r="F764" s="277" t="s">
        <v>104</v>
      </c>
      <c r="G764" s="137"/>
      <c r="H764" s="25"/>
      <c r="I764" s="12"/>
    </row>
    <row r="765" spans="1:9" s="26" customFormat="1" ht="28.5" hidden="1">
      <c r="A765" s="227" t="s">
        <v>113</v>
      </c>
      <c r="B765" s="190"/>
      <c r="C765" s="274" t="s">
        <v>419</v>
      </c>
      <c r="D765" s="275" t="s">
        <v>131</v>
      </c>
      <c r="E765" s="275" t="s">
        <v>114</v>
      </c>
      <c r="F765" s="278"/>
      <c r="G765" s="137">
        <f>SUM(G767)</f>
        <v>0</v>
      </c>
      <c r="H765" s="16" t="e">
        <f>SUM(H766)</f>
        <v>#REF!</v>
      </c>
      <c r="I765" s="12" t="e">
        <f>SUM(H765/G770*100)</f>
        <v>#REF!</v>
      </c>
    </row>
    <row r="766" spans="1:9" s="26" customFormat="1" ht="15" hidden="1">
      <c r="A766" s="227" t="s">
        <v>115</v>
      </c>
      <c r="B766" s="190"/>
      <c r="C766" s="274" t="s">
        <v>419</v>
      </c>
      <c r="D766" s="275" t="s">
        <v>131</v>
      </c>
      <c r="E766" s="275" t="s">
        <v>248</v>
      </c>
      <c r="F766" s="278"/>
      <c r="G766" s="137">
        <f>SUM(G767)</f>
        <v>0</v>
      </c>
      <c r="H766" s="16" t="e">
        <f>SUM(H767)</f>
        <v>#REF!</v>
      </c>
      <c r="I766" s="12" t="e">
        <f>SUM(H766/G771*100)</f>
        <v>#REF!</v>
      </c>
    </row>
    <row r="767" spans="1:10" s="26" customFormat="1" ht="15" hidden="1">
      <c r="A767" s="225" t="s">
        <v>103</v>
      </c>
      <c r="B767" s="190"/>
      <c r="C767" s="274" t="s">
        <v>419</v>
      </c>
      <c r="D767" s="275" t="s">
        <v>131</v>
      </c>
      <c r="E767" s="275" t="s">
        <v>248</v>
      </c>
      <c r="F767" s="278" t="s">
        <v>104</v>
      </c>
      <c r="G767" s="137"/>
      <c r="H767" s="16" t="e">
        <f>SUM(#REF!)</f>
        <v>#REF!</v>
      </c>
      <c r="I767" s="12" t="e">
        <f>SUM(H767/G772*100)</f>
        <v>#REF!</v>
      </c>
      <c r="J767" s="37"/>
    </row>
    <row r="768" spans="1:9" ht="16.5" thickBot="1">
      <c r="A768" s="229" t="s">
        <v>402</v>
      </c>
      <c r="B768" s="194"/>
      <c r="C768" s="281" t="s">
        <v>236</v>
      </c>
      <c r="D768" s="337" t="s">
        <v>189</v>
      </c>
      <c r="E768" s="337"/>
      <c r="F768" s="338"/>
      <c r="G768" s="139">
        <f>SUM(G769)</f>
        <v>27900</v>
      </c>
      <c r="H768" s="27">
        <f>-76000-174.5-350</f>
        <v>-76524.5</v>
      </c>
      <c r="I768" s="27">
        <f>-76000-174.5-350</f>
        <v>-76524.5</v>
      </c>
    </row>
    <row r="769" spans="1:9" ht="28.5">
      <c r="A769" s="225" t="s">
        <v>237</v>
      </c>
      <c r="B769" s="194"/>
      <c r="C769" s="274" t="s">
        <v>236</v>
      </c>
      <c r="D769" s="275" t="s">
        <v>460</v>
      </c>
      <c r="E769" s="275"/>
      <c r="F769" s="276"/>
      <c r="G769" s="137">
        <f>SUM(G770)</f>
        <v>27900</v>
      </c>
      <c r="H769" s="28"/>
      <c r="I769" s="28"/>
    </row>
    <row r="770" spans="1:9" ht="15.75" thickBot="1">
      <c r="A770" s="225" t="s">
        <v>403</v>
      </c>
      <c r="B770" s="190"/>
      <c r="C770" s="274" t="s">
        <v>236</v>
      </c>
      <c r="D770" s="275" t="s">
        <v>460</v>
      </c>
      <c r="E770" s="275" t="s">
        <v>404</v>
      </c>
      <c r="F770" s="278"/>
      <c r="G770" s="137">
        <f>SUM(G772)</f>
        <v>27900</v>
      </c>
      <c r="H770" s="29"/>
      <c r="I770" s="29"/>
    </row>
    <row r="771" spans="1:9" ht="15">
      <c r="A771" s="225" t="s">
        <v>405</v>
      </c>
      <c r="B771" s="190"/>
      <c r="C771" s="274" t="s">
        <v>236</v>
      </c>
      <c r="D771" s="275" t="s">
        <v>460</v>
      </c>
      <c r="E771" s="275" t="s">
        <v>406</v>
      </c>
      <c r="F771" s="278"/>
      <c r="G771" s="137">
        <f>SUM(G772)</f>
        <v>27900</v>
      </c>
      <c r="H771" s="30">
        <v>0</v>
      </c>
      <c r="I771" s="30">
        <v>0</v>
      </c>
    </row>
    <row r="772" spans="1:10" ht="15.75" thickBot="1">
      <c r="A772" s="252" t="s">
        <v>508</v>
      </c>
      <c r="B772" s="190"/>
      <c r="C772" s="274" t="s">
        <v>236</v>
      </c>
      <c r="D772" s="275" t="s">
        <v>460</v>
      </c>
      <c r="E772" s="275" t="s">
        <v>406</v>
      </c>
      <c r="F772" s="278" t="s">
        <v>175</v>
      </c>
      <c r="G772" s="137">
        <f>27500+400</f>
        <v>27900</v>
      </c>
      <c r="H772" s="30">
        <v>62000</v>
      </c>
      <c r="I772" s="30">
        <v>62000</v>
      </c>
      <c r="J772" s="33">
        <f>SUM('[3]ведомствен.2014'!G375)</f>
        <v>27900</v>
      </c>
    </row>
    <row r="773" spans="1:12" ht="18" customHeight="1" thickBot="1">
      <c r="A773" s="127" t="s">
        <v>172</v>
      </c>
      <c r="B773" s="184"/>
      <c r="C773" s="342"/>
      <c r="D773" s="343"/>
      <c r="E773" s="343"/>
      <c r="F773" s="344"/>
      <c r="G773" s="167">
        <f>SUM(G13+G88+G117+G168+G277+G289+G438+G514+G568+G721+G768)</f>
        <v>3662731.3000000007</v>
      </c>
      <c r="H773" s="31">
        <v>62000</v>
      </c>
      <c r="I773" s="31">
        <v>62000</v>
      </c>
      <c r="J773" s="36">
        <f>SUM(J13:J772)</f>
        <v>3662731.3000000007</v>
      </c>
      <c r="K773" s="36"/>
      <c r="L773" s="36"/>
    </row>
    <row r="774" ht="11.25" customHeight="1">
      <c r="G774" s="617"/>
    </row>
    <row r="775" spans="7:10" ht="12.75" hidden="1">
      <c r="G775" s="618">
        <f>SUM(J773-G773)</f>
        <v>0</v>
      </c>
      <c r="J775" s="33">
        <f>SUM('[3]ведомствен.2014'!G924-'[3]функцион.2014'!J773)</f>
        <v>-9.313225746154785E-10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3"/>
  <sheetViews>
    <sheetView zoomScalePageLayoutView="0" workbookViewId="0" topLeftCell="A1">
      <selection activeCell="G6" sqref="G6"/>
    </sheetView>
  </sheetViews>
  <sheetFormatPr defaultColWidth="9.125" defaultRowHeight="12.75"/>
  <cols>
    <col min="1" max="1" width="65.00390625" style="61" customWidth="1"/>
    <col min="2" max="2" width="2.00390625" style="1" hidden="1" customWidth="1"/>
    <col min="3" max="3" width="7.75390625" style="0" customWidth="1"/>
    <col min="4" max="4" width="6.875" style="0" customWidth="1"/>
    <col min="5" max="5" width="12.25390625" style="0" customWidth="1"/>
    <col min="6" max="6" width="9.625" style="0" customWidth="1"/>
    <col min="7" max="7" width="14.375" style="429" customWidth="1"/>
    <col min="8" max="8" width="6.125" style="429" hidden="1" customWidth="1"/>
    <col min="9" max="9" width="10.25390625" style="429" hidden="1" customWidth="1"/>
    <col min="10" max="10" width="13.625" style="33" hidden="1" customWidth="1"/>
    <col min="11" max="11" width="12.25390625" style="0" hidden="1" customWidth="1"/>
    <col min="12" max="12" width="14.375" style="0" hidden="1" customWidth="1"/>
    <col min="13" max="13" width="15.00390625" style="0" customWidth="1"/>
    <col min="14" max="14" width="9.125" style="0" customWidth="1"/>
    <col min="15" max="15" width="0.37109375" style="0" customWidth="1"/>
  </cols>
  <sheetData>
    <row r="1" spans="7:8" ht="12.75">
      <c r="G1" s="14" t="s">
        <v>749</v>
      </c>
      <c r="H1" s="348"/>
    </row>
    <row r="2" spans="7:8" ht="12.75">
      <c r="G2" s="2" t="s">
        <v>1109</v>
      </c>
      <c r="H2" s="348"/>
    </row>
    <row r="3" spans="7:8" ht="12.75">
      <c r="G3" s="2" t="s">
        <v>270</v>
      </c>
      <c r="H3" s="348"/>
    </row>
    <row r="4" spans="7:8" ht="12.75">
      <c r="G4" s="2" t="s">
        <v>271</v>
      </c>
      <c r="H4" s="348"/>
    </row>
    <row r="5" spans="7:13" ht="12.75" customHeight="1">
      <c r="G5" s="633" t="s">
        <v>1111</v>
      </c>
      <c r="H5" s="634"/>
      <c r="I5" s="634"/>
      <c r="J5" s="634"/>
      <c r="K5" s="634"/>
      <c r="L5" s="634"/>
      <c r="M5" s="634"/>
    </row>
    <row r="6" spans="7:13" ht="12.75" customHeight="1">
      <c r="G6" s="346"/>
      <c r="H6" s="26"/>
      <c r="I6" s="26"/>
      <c r="J6" s="26"/>
      <c r="K6" s="26"/>
      <c r="L6" s="26"/>
      <c r="M6" s="26"/>
    </row>
    <row r="7" spans="3:6" ht="12.75">
      <c r="C7" s="4" t="s">
        <v>1036</v>
      </c>
      <c r="F7" s="2"/>
    </row>
    <row r="8" spans="3:6" ht="12.75">
      <c r="C8" s="4" t="s">
        <v>272</v>
      </c>
      <c r="F8" s="5"/>
    </row>
    <row r="9" spans="3:11" ht="12.75">
      <c r="C9" s="4" t="s">
        <v>273</v>
      </c>
      <c r="F9" s="5"/>
      <c r="J9" s="33">
        <f>SUM(J11-G14)</f>
        <v>-165034.4</v>
      </c>
      <c r="K9" s="33">
        <f>SUM(M14-K11)</f>
        <v>168077.54</v>
      </c>
    </row>
    <row r="10" ht="12.75">
      <c r="C10" s="6" t="s">
        <v>274</v>
      </c>
    </row>
    <row r="11" spans="2:11" ht="16.5" thickBot="1">
      <c r="B11" s="7"/>
      <c r="G11" s="3"/>
      <c r="H11" s="3"/>
      <c r="I11" s="3"/>
      <c r="K11" s="33"/>
    </row>
    <row r="12" spans="1:13" ht="15" thickBot="1">
      <c r="A12" s="430" t="s">
        <v>275</v>
      </c>
      <c r="C12" s="123" t="s">
        <v>1037</v>
      </c>
      <c r="D12" s="124"/>
      <c r="E12" s="124"/>
      <c r="F12" s="130"/>
      <c r="G12" s="431" t="s">
        <v>277</v>
      </c>
      <c r="H12" s="431" t="s">
        <v>278</v>
      </c>
      <c r="I12" s="431" t="s">
        <v>279</v>
      </c>
      <c r="J12" s="432"/>
      <c r="K12" s="73"/>
      <c r="L12" s="73"/>
      <c r="M12" s="431" t="s">
        <v>277</v>
      </c>
    </row>
    <row r="13" spans="1:13" ht="43.5" customHeight="1" thickBot="1">
      <c r="A13" s="433"/>
      <c r="B13" s="434" t="s">
        <v>280</v>
      </c>
      <c r="C13" s="435" t="s">
        <v>281</v>
      </c>
      <c r="D13" s="436" t="s">
        <v>282</v>
      </c>
      <c r="E13" s="437" t="s">
        <v>283</v>
      </c>
      <c r="F13" s="438" t="s">
        <v>509</v>
      </c>
      <c r="G13" s="439" t="s">
        <v>1038</v>
      </c>
      <c r="H13" s="439" t="s">
        <v>457</v>
      </c>
      <c r="I13" s="439" t="s">
        <v>458</v>
      </c>
      <c r="J13" s="432"/>
      <c r="K13" s="432"/>
      <c r="L13" s="73"/>
      <c r="M13" s="439" t="s">
        <v>1039</v>
      </c>
    </row>
    <row r="14" spans="1:13" s="11" customFormat="1" ht="15">
      <c r="A14" s="440" t="s">
        <v>459</v>
      </c>
      <c r="B14" s="441"/>
      <c r="C14" s="442" t="s">
        <v>460</v>
      </c>
      <c r="D14" s="443"/>
      <c r="E14" s="443"/>
      <c r="F14" s="444"/>
      <c r="G14" s="445">
        <f>SUM(G15+G19+G24+G43+G47+G56+G62+G65)</f>
        <v>165034.4</v>
      </c>
      <c r="H14" s="445" t="e">
        <f>SUM(H15+H19+H24+H46+H49+H67+H71+H63+H57)</f>
        <v>#REF!</v>
      </c>
      <c r="I14" s="445" t="e">
        <f>SUM(H14/G14*100)</f>
        <v>#REF!</v>
      </c>
      <c r="J14" s="446"/>
      <c r="K14" s="446"/>
      <c r="L14" s="446">
        <f>SUM('[2]ведомствен.2015-2016'!G26+'[2]ведомствен.2015-2016'!G36+'[2]ведомствен.2015-2016'!G55+'[2]ведомствен.2015-2016'!G288+'[2]ведомствен.2015-2016'!G326+'[2]ведомствен.2015-2016'!G456)</f>
        <v>128366.90000000001</v>
      </c>
      <c r="M14" s="445">
        <f>SUM(M15+M19+M24+M43+M47+M56+M62+M65)</f>
        <v>168077.54</v>
      </c>
    </row>
    <row r="15" spans="1:13" ht="28.5">
      <c r="A15" s="447" t="s">
        <v>461</v>
      </c>
      <c r="B15" s="448"/>
      <c r="C15" s="449" t="s">
        <v>460</v>
      </c>
      <c r="D15" s="450" t="s">
        <v>462</v>
      </c>
      <c r="E15" s="450"/>
      <c r="F15" s="451"/>
      <c r="G15" s="452">
        <f>SUM(G16)</f>
        <v>1725</v>
      </c>
      <c r="H15" s="452">
        <f>SUM(H16)</f>
        <v>983.5</v>
      </c>
      <c r="I15" s="452">
        <f>SUM(H15/G15*100)</f>
        <v>57.014492753623195</v>
      </c>
      <c r="J15" s="453"/>
      <c r="K15" s="453"/>
      <c r="L15" s="453"/>
      <c r="M15" s="452">
        <f>SUM(M16)</f>
        <v>1725</v>
      </c>
    </row>
    <row r="16" spans="1:13" ht="42.75">
      <c r="A16" s="447" t="s">
        <v>99</v>
      </c>
      <c r="B16" s="448"/>
      <c r="C16" s="449" t="s">
        <v>460</v>
      </c>
      <c r="D16" s="450" t="s">
        <v>462</v>
      </c>
      <c r="E16" s="450" t="s">
        <v>100</v>
      </c>
      <c r="F16" s="451"/>
      <c r="G16" s="452">
        <f>SUM(G18:G18)</f>
        <v>1725</v>
      </c>
      <c r="H16" s="452">
        <f>SUM(H18:H18)</f>
        <v>983.5</v>
      </c>
      <c r="I16" s="452">
        <f aca="true" t="shared" si="0" ref="I16:I79">SUM(H16/G16*100)</f>
        <v>57.014492753623195</v>
      </c>
      <c r="J16" s="453"/>
      <c r="K16" s="453"/>
      <c r="L16" s="453"/>
      <c r="M16" s="452">
        <f>SUM(M18:M18)</f>
        <v>1725</v>
      </c>
    </row>
    <row r="17" spans="1:13" ht="14.25">
      <c r="A17" s="447" t="s">
        <v>101</v>
      </c>
      <c r="B17" s="448"/>
      <c r="C17" s="449" t="s">
        <v>460</v>
      </c>
      <c r="D17" s="450" t="s">
        <v>462</v>
      </c>
      <c r="E17" s="450" t="s">
        <v>102</v>
      </c>
      <c r="F17" s="451"/>
      <c r="G17" s="452">
        <f>SUM(G18)</f>
        <v>1725</v>
      </c>
      <c r="H17" s="452">
        <f>SUM(H18)</f>
        <v>983.5</v>
      </c>
      <c r="I17" s="452">
        <f t="shared" si="0"/>
        <v>57.014492753623195</v>
      </c>
      <c r="J17" s="453"/>
      <c r="K17" s="453"/>
      <c r="L17" s="453"/>
      <c r="M17" s="452">
        <f>SUM(M18)</f>
        <v>1725</v>
      </c>
    </row>
    <row r="18" spans="1:13" ht="42.75">
      <c r="A18" s="447" t="s">
        <v>495</v>
      </c>
      <c r="B18" s="448"/>
      <c r="C18" s="449" t="s">
        <v>460</v>
      </c>
      <c r="D18" s="450" t="s">
        <v>462</v>
      </c>
      <c r="E18" s="450" t="s">
        <v>102</v>
      </c>
      <c r="F18" s="451" t="s">
        <v>496</v>
      </c>
      <c r="G18" s="452">
        <v>1725</v>
      </c>
      <c r="H18" s="452">
        <v>983.5</v>
      </c>
      <c r="I18" s="452">
        <f t="shared" si="0"/>
        <v>57.014492753623195</v>
      </c>
      <c r="J18" s="453">
        <f>SUM('[2]ведомствен.2015-2016'!G16)</f>
        <v>1725</v>
      </c>
      <c r="K18" s="453">
        <f>SUM('[2]ведомствен.2015-2016'!H16)</f>
        <v>1725</v>
      </c>
      <c r="L18" s="453">
        <f>SUM(G18-J18)</f>
        <v>0</v>
      </c>
      <c r="M18" s="452">
        <v>1725</v>
      </c>
    </row>
    <row r="19" spans="1:13" ht="42.75">
      <c r="A19" s="447" t="s">
        <v>105</v>
      </c>
      <c r="B19" s="448"/>
      <c r="C19" s="449" t="s">
        <v>460</v>
      </c>
      <c r="D19" s="450" t="s">
        <v>106</v>
      </c>
      <c r="E19" s="450"/>
      <c r="F19" s="451"/>
      <c r="G19" s="452">
        <f>SUM(G20)</f>
        <v>11092.1</v>
      </c>
      <c r="H19" s="452" t="e">
        <f>SUM(H20)</f>
        <v>#REF!</v>
      </c>
      <c r="I19" s="452" t="e">
        <f t="shared" si="0"/>
        <v>#REF!</v>
      </c>
      <c r="J19" s="453"/>
      <c r="K19" s="453"/>
      <c r="L19" s="453"/>
      <c r="M19" s="452">
        <f>SUM(M20)</f>
        <v>11092.1</v>
      </c>
    </row>
    <row r="20" spans="1:13" ht="42.75">
      <c r="A20" s="447" t="s">
        <v>99</v>
      </c>
      <c r="B20" s="448"/>
      <c r="C20" s="449" t="s">
        <v>460</v>
      </c>
      <c r="D20" s="450" t="s">
        <v>106</v>
      </c>
      <c r="E20" s="450" t="s">
        <v>100</v>
      </c>
      <c r="F20" s="454"/>
      <c r="G20" s="452">
        <f>SUM(G21+G23)</f>
        <v>11092.1</v>
      </c>
      <c r="H20" s="452" t="e">
        <f>SUM(H21+H23)</f>
        <v>#REF!</v>
      </c>
      <c r="I20" s="452" t="e">
        <f t="shared" si="0"/>
        <v>#REF!</v>
      </c>
      <c r="J20" s="453"/>
      <c r="K20" s="453"/>
      <c r="L20" s="453"/>
      <c r="M20" s="452">
        <f>SUM(M21+M23)</f>
        <v>11092.1</v>
      </c>
    </row>
    <row r="21" spans="1:13" ht="14.25">
      <c r="A21" s="447" t="s">
        <v>107</v>
      </c>
      <c r="B21" s="448"/>
      <c r="C21" s="449" t="s">
        <v>108</v>
      </c>
      <c r="D21" s="450" t="s">
        <v>106</v>
      </c>
      <c r="E21" s="450" t="s">
        <v>109</v>
      </c>
      <c r="F21" s="454"/>
      <c r="G21" s="452">
        <f>SUM(G22)</f>
        <v>11085</v>
      </c>
      <c r="H21" s="452">
        <f>SUM(H22)</f>
        <v>8068.7</v>
      </c>
      <c r="I21" s="452">
        <f t="shared" si="0"/>
        <v>72.78935498421289</v>
      </c>
      <c r="J21" s="453"/>
      <c r="K21" s="453"/>
      <c r="L21" s="453"/>
      <c r="M21" s="452">
        <f>SUM(M22)</f>
        <v>11085</v>
      </c>
    </row>
    <row r="22" spans="1:13" ht="42.75">
      <c r="A22" s="447" t="s">
        <v>495</v>
      </c>
      <c r="B22" s="448"/>
      <c r="C22" s="449" t="s">
        <v>460</v>
      </c>
      <c r="D22" s="450" t="s">
        <v>106</v>
      </c>
      <c r="E22" s="450" t="s">
        <v>109</v>
      </c>
      <c r="F22" s="451" t="s">
        <v>496</v>
      </c>
      <c r="G22" s="452">
        <v>11085</v>
      </c>
      <c r="H22" s="452">
        <v>8068.7</v>
      </c>
      <c r="I22" s="452">
        <f t="shared" si="0"/>
        <v>72.78935498421289</v>
      </c>
      <c r="J22" s="453">
        <f>SUM('[2]ведомствен.2015-2016'!G20)</f>
        <v>11085</v>
      </c>
      <c r="K22" s="453">
        <f>SUM('[2]ведомствен.2015-2016'!H20)</f>
        <v>11085</v>
      </c>
      <c r="L22" s="453">
        <f>SUM(G22-J22)</f>
        <v>0</v>
      </c>
      <c r="M22" s="452">
        <v>11085</v>
      </c>
    </row>
    <row r="23" spans="1:13" ht="14.25">
      <c r="A23" s="447" t="s">
        <v>500</v>
      </c>
      <c r="B23" s="448"/>
      <c r="C23" s="449" t="s">
        <v>460</v>
      </c>
      <c r="D23" s="450" t="s">
        <v>106</v>
      </c>
      <c r="E23" s="450" t="s">
        <v>109</v>
      </c>
      <c r="F23" s="451" t="s">
        <v>120</v>
      </c>
      <c r="G23" s="455">
        <v>7.1</v>
      </c>
      <c r="H23" s="452" t="e">
        <f>SUM(#REF!)</f>
        <v>#REF!</v>
      </c>
      <c r="I23" s="452" t="e">
        <f t="shared" si="0"/>
        <v>#REF!</v>
      </c>
      <c r="J23" s="453">
        <f>SUM('[2]ведомствен.2015-2016'!G21)</f>
        <v>7.1</v>
      </c>
      <c r="K23" s="453">
        <f>SUM('[2]ведомствен.2015-2016'!H21)</f>
        <v>7.1</v>
      </c>
      <c r="L23" s="453"/>
      <c r="M23" s="455">
        <v>7.1</v>
      </c>
    </row>
    <row r="24" spans="1:13" ht="42.75">
      <c r="A24" s="447" t="s">
        <v>256</v>
      </c>
      <c r="B24" s="448"/>
      <c r="C24" s="449" t="s">
        <v>460</v>
      </c>
      <c r="D24" s="450" t="s">
        <v>122</v>
      </c>
      <c r="E24" s="450"/>
      <c r="F24" s="451"/>
      <c r="G24" s="452">
        <f>SUM(G25)</f>
        <v>96220.2</v>
      </c>
      <c r="H24" s="452">
        <f>SUM(H25)+H40+H38</f>
        <v>52319.90000000001</v>
      </c>
      <c r="I24" s="452">
        <f t="shared" si="0"/>
        <v>54.37517278076746</v>
      </c>
      <c r="J24" s="453"/>
      <c r="K24" s="453"/>
      <c r="L24" s="453"/>
      <c r="M24" s="452">
        <f>SUM(M25)</f>
        <v>96220.2</v>
      </c>
    </row>
    <row r="25" spans="1:13" ht="42.75">
      <c r="A25" s="447" t="s">
        <v>99</v>
      </c>
      <c r="B25" s="448"/>
      <c r="C25" s="449" t="s">
        <v>460</v>
      </c>
      <c r="D25" s="450" t="s">
        <v>122</v>
      </c>
      <c r="E25" s="450" t="s">
        <v>100</v>
      </c>
      <c r="F25" s="454"/>
      <c r="G25" s="452">
        <f>SUM(G26+G41+G29+G32+G35+G38)</f>
        <v>96220.2</v>
      </c>
      <c r="H25" s="452">
        <f>SUM(H26+H36)</f>
        <v>51899.200000000004</v>
      </c>
      <c r="I25" s="452">
        <f t="shared" si="0"/>
        <v>53.93794650187799</v>
      </c>
      <c r="J25" s="453"/>
      <c r="K25" s="453"/>
      <c r="L25" s="453"/>
      <c r="M25" s="452">
        <f>SUM(M26+M41+M29+M32+M35+M38)</f>
        <v>96220.2</v>
      </c>
    </row>
    <row r="26" spans="1:13" ht="14.25">
      <c r="A26" s="447" t="s">
        <v>107</v>
      </c>
      <c r="B26" s="448"/>
      <c r="C26" s="449" t="s">
        <v>460</v>
      </c>
      <c r="D26" s="450" t="s">
        <v>122</v>
      </c>
      <c r="E26" s="450" t="s">
        <v>109</v>
      </c>
      <c r="F26" s="454"/>
      <c r="G26" s="452">
        <f>SUM(G27+G28)</f>
        <v>92956.3</v>
      </c>
      <c r="H26" s="452">
        <f>SUM(H27:H27+H28+H30+H33)+H29</f>
        <v>51161.8</v>
      </c>
      <c r="I26" s="452">
        <f t="shared" si="0"/>
        <v>55.03855037259443</v>
      </c>
      <c r="J26" s="453"/>
      <c r="K26" s="453"/>
      <c r="L26" s="453"/>
      <c r="M26" s="452">
        <f>SUM(M27+M28)</f>
        <v>92956.3</v>
      </c>
    </row>
    <row r="27" spans="1:13" ht="42.75">
      <c r="A27" s="447" t="s">
        <v>495</v>
      </c>
      <c r="B27" s="448"/>
      <c r="C27" s="449" t="s">
        <v>460</v>
      </c>
      <c r="D27" s="450" t="s">
        <v>122</v>
      </c>
      <c r="E27" s="450" t="s">
        <v>109</v>
      </c>
      <c r="F27" s="451" t="s">
        <v>496</v>
      </c>
      <c r="G27" s="452">
        <v>92859.6</v>
      </c>
      <c r="H27" s="452">
        <v>50612.1</v>
      </c>
      <c r="I27" s="452">
        <f t="shared" si="0"/>
        <v>54.50389620459274</v>
      </c>
      <c r="J27" s="453">
        <f>SUM('[2]ведомствен.2015-2016'!G59)</f>
        <v>92859.6</v>
      </c>
      <c r="K27" s="453">
        <f>SUM('[2]ведомствен.2015-2016'!H59)</f>
        <v>92859.6</v>
      </c>
      <c r="L27" s="453">
        <f>SUM(G27-J27)</f>
        <v>0</v>
      </c>
      <c r="M27" s="452">
        <v>92859.6</v>
      </c>
    </row>
    <row r="28" spans="1:13" ht="14.25">
      <c r="A28" s="447" t="s">
        <v>500</v>
      </c>
      <c r="B28" s="448"/>
      <c r="C28" s="449" t="s">
        <v>460</v>
      </c>
      <c r="D28" s="450" t="s">
        <v>122</v>
      </c>
      <c r="E28" s="450" t="s">
        <v>109</v>
      </c>
      <c r="F28" s="451" t="s">
        <v>120</v>
      </c>
      <c r="G28" s="455">
        <f>97.5-0.8</f>
        <v>96.7</v>
      </c>
      <c r="H28" s="452">
        <v>507.8</v>
      </c>
      <c r="I28" s="452">
        <f t="shared" si="0"/>
        <v>525.129265770424</v>
      </c>
      <c r="J28" s="453">
        <f>SUM('[2]ведомствен.2015-2016'!G60)</f>
        <v>96.7</v>
      </c>
      <c r="K28" s="453">
        <f>SUM('[2]ведомствен.2015-2016'!H60)</f>
        <v>96.7</v>
      </c>
      <c r="L28" s="453"/>
      <c r="M28" s="455">
        <f>97.5-0.8</f>
        <v>96.7</v>
      </c>
    </row>
    <row r="29" spans="1:13" ht="42.75">
      <c r="A29" s="447" t="s">
        <v>126</v>
      </c>
      <c r="B29" s="448"/>
      <c r="C29" s="449" t="s">
        <v>460</v>
      </c>
      <c r="D29" s="450" t="s">
        <v>122</v>
      </c>
      <c r="E29" s="450" t="s">
        <v>127</v>
      </c>
      <c r="F29" s="451"/>
      <c r="G29" s="452">
        <f>SUM(G30:G31)</f>
        <v>1392.3999999999999</v>
      </c>
      <c r="H29" s="452"/>
      <c r="I29" s="452">
        <f t="shared" si="0"/>
        <v>0</v>
      </c>
      <c r="J29" s="453"/>
      <c r="K29" s="453"/>
      <c r="L29" s="453"/>
      <c r="M29" s="452">
        <f>SUM(M30:M31)</f>
        <v>1392.3999999999999</v>
      </c>
    </row>
    <row r="30" spans="1:13" ht="42.75">
      <c r="A30" s="447" t="s">
        <v>495</v>
      </c>
      <c r="B30" s="448"/>
      <c r="C30" s="449" t="s">
        <v>460</v>
      </c>
      <c r="D30" s="450" t="s">
        <v>122</v>
      </c>
      <c r="E30" s="450" t="s">
        <v>127</v>
      </c>
      <c r="F30" s="451" t="s">
        <v>496</v>
      </c>
      <c r="G30" s="452">
        <v>1368.8</v>
      </c>
      <c r="H30" s="452">
        <v>41.9</v>
      </c>
      <c r="I30" s="452">
        <f t="shared" si="0"/>
        <v>3.061075394506137</v>
      </c>
      <c r="J30" s="453">
        <f>SUM('[2]ведомствен.2015-2016'!G62)</f>
        <v>1368.8</v>
      </c>
      <c r="K30" s="453">
        <f>SUM('[2]ведомствен.2015-2016'!H62)</f>
        <v>1368.8</v>
      </c>
      <c r="L30" s="453">
        <f>SUM(G30-J30)</f>
        <v>0</v>
      </c>
      <c r="M30" s="452">
        <v>1368.8</v>
      </c>
    </row>
    <row r="31" spans="1:13" ht="14.25">
      <c r="A31" s="447" t="s">
        <v>500</v>
      </c>
      <c r="B31" s="448"/>
      <c r="C31" s="449" t="s">
        <v>460</v>
      </c>
      <c r="D31" s="450" t="s">
        <v>122</v>
      </c>
      <c r="E31" s="450" t="s">
        <v>127</v>
      </c>
      <c r="F31" s="451" t="s">
        <v>120</v>
      </c>
      <c r="G31" s="455">
        <v>23.6</v>
      </c>
      <c r="H31" s="452"/>
      <c r="I31" s="452">
        <f>SUM(H31/G31*100)</f>
        <v>0</v>
      </c>
      <c r="J31" s="453">
        <f>SUM('[2]ведомствен.2015-2016'!G63)</f>
        <v>23.6</v>
      </c>
      <c r="K31" s="453">
        <f>SUM('[2]ведомствен.2015-2016'!H63)</f>
        <v>23.6</v>
      </c>
      <c r="L31" s="453"/>
      <c r="M31" s="455">
        <v>23.6</v>
      </c>
    </row>
    <row r="32" spans="1:13" ht="42.75">
      <c r="A32" s="447" t="s">
        <v>383</v>
      </c>
      <c r="B32" s="448"/>
      <c r="C32" s="449" t="s">
        <v>460</v>
      </c>
      <c r="D32" s="450" t="s">
        <v>122</v>
      </c>
      <c r="E32" s="450" t="s">
        <v>384</v>
      </c>
      <c r="F32" s="451"/>
      <c r="G32" s="452">
        <f>SUM(G33:G34)</f>
        <v>93.8</v>
      </c>
      <c r="H32" s="452"/>
      <c r="I32" s="452"/>
      <c r="J32" s="453"/>
      <c r="K32" s="453"/>
      <c r="L32" s="453"/>
      <c r="M32" s="452">
        <f>SUM(M33:M34)</f>
        <v>93.8</v>
      </c>
    </row>
    <row r="33" spans="1:13" ht="42.75">
      <c r="A33" s="447" t="s">
        <v>495</v>
      </c>
      <c r="B33" s="448"/>
      <c r="C33" s="449" t="s">
        <v>460</v>
      </c>
      <c r="D33" s="450" t="s">
        <v>122</v>
      </c>
      <c r="E33" s="450" t="s">
        <v>384</v>
      </c>
      <c r="F33" s="451" t="s">
        <v>496</v>
      </c>
      <c r="G33" s="452">
        <v>72.3</v>
      </c>
      <c r="H33" s="452"/>
      <c r="I33" s="452">
        <f t="shared" si="0"/>
        <v>0</v>
      </c>
      <c r="J33" s="453">
        <f>SUM('[2]ведомствен.2015-2016'!G65)</f>
        <v>72.3</v>
      </c>
      <c r="K33" s="453">
        <f>SUM('[2]ведомствен.2015-2016'!H65)</f>
        <v>72.3</v>
      </c>
      <c r="L33" s="453">
        <f>SUM(G33-J33)</f>
        <v>0</v>
      </c>
      <c r="M33" s="452">
        <v>72.3</v>
      </c>
    </row>
    <row r="34" spans="1:13" ht="14.25">
      <c r="A34" s="447" t="s">
        <v>500</v>
      </c>
      <c r="B34" s="448"/>
      <c r="C34" s="449" t="s">
        <v>460</v>
      </c>
      <c r="D34" s="450" t="s">
        <v>122</v>
      </c>
      <c r="E34" s="450" t="s">
        <v>384</v>
      </c>
      <c r="F34" s="451" t="s">
        <v>120</v>
      </c>
      <c r="G34" s="455">
        <v>21.5</v>
      </c>
      <c r="H34" s="452"/>
      <c r="I34" s="452"/>
      <c r="J34" s="453">
        <f>SUM('[2]ведомствен.2015-2016'!G66)</f>
        <v>21.5</v>
      </c>
      <c r="K34" s="453">
        <f>SUM('[2]ведомствен.2015-2016'!H66)</f>
        <v>21.5</v>
      </c>
      <c r="L34" s="453">
        <f>SUM(G34-J34)</f>
        <v>0</v>
      </c>
      <c r="M34" s="455">
        <v>21.5</v>
      </c>
    </row>
    <row r="35" spans="1:13" ht="28.5">
      <c r="A35" s="161" t="s">
        <v>60</v>
      </c>
      <c r="B35" s="456"/>
      <c r="C35" s="457" t="s">
        <v>460</v>
      </c>
      <c r="D35" s="458" t="s">
        <v>122</v>
      </c>
      <c r="E35" s="458" t="s">
        <v>61</v>
      </c>
      <c r="F35" s="454"/>
      <c r="G35" s="452">
        <f>SUM(G36:G37)</f>
        <v>179.6</v>
      </c>
      <c r="H35" s="452"/>
      <c r="I35" s="452"/>
      <c r="J35" s="453"/>
      <c r="K35" s="453"/>
      <c r="L35" s="453"/>
      <c r="M35" s="452">
        <f>SUM(M36:M37)</f>
        <v>179.6</v>
      </c>
    </row>
    <row r="36" spans="1:13" ht="42.75">
      <c r="A36" s="447" t="s">
        <v>495</v>
      </c>
      <c r="B36" s="448"/>
      <c r="C36" s="449" t="s">
        <v>460</v>
      </c>
      <c r="D36" s="450" t="s">
        <v>122</v>
      </c>
      <c r="E36" s="458" t="s">
        <v>61</v>
      </c>
      <c r="F36" s="451" t="s">
        <v>496</v>
      </c>
      <c r="G36" s="452">
        <v>140</v>
      </c>
      <c r="H36" s="452">
        <f>SUM(H37)</f>
        <v>737.4</v>
      </c>
      <c r="I36" s="452">
        <f t="shared" si="0"/>
        <v>526.7142857142857</v>
      </c>
      <c r="J36" s="453">
        <f>SUM('[2]ведомствен.2015-2016'!G68)</f>
        <v>140</v>
      </c>
      <c r="K36" s="453">
        <f>SUM('[2]ведомствен.2015-2016'!H68)</f>
        <v>140</v>
      </c>
      <c r="L36" s="453">
        <f>SUM(G36-J36)</f>
        <v>0</v>
      </c>
      <c r="M36" s="452">
        <v>140</v>
      </c>
    </row>
    <row r="37" spans="1:13" ht="14.25">
      <c r="A37" s="447" t="s">
        <v>500</v>
      </c>
      <c r="B37" s="448"/>
      <c r="C37" s="449" t="s">
        <v>460</v>
      </c>
      <c r="D37" s="450" t="s">
        <v>122</v>
      </c>
      <c r="E37" s="458" t="s">
        <v>61</v>
      </c>
      <c r="F37" s="451" t="s">
        <v>120</v>
      </c>
      <c r="G37" s="455">
        <v>39.6</v>
      </c>
      <c r="H37" s="452">
        <v>737.4</v>
      </c>
      <c r="I37" s="452">
        <f t="shared" si="0"/>
        <v>1862.121212121212</v>
      </c>
      <c r="J37" s="453">
        <f>SUM('[2]ведомствен.2015-2016'!G69)</f>
        <v>39.6</v>
      </c>
      <c r="K37" s="453">
        <f>SUM('[2]ведомствен.2015-2016'!H69)</f>
        <v>39.6</v>
      </c>
      <c r="L37" s="453">
        <f>SUM(G37-J37)</f>
        <v>0</v>
      </c>
      <c r="M37" s="455">
        <v>39.6</v>
      </c>
    </row>
    <row r="38" spans="1:13" ht="28.5">
      <c r="A38" s="161" t="s">
        <v>148</v>
      </c>
      <c r="B38" s="456"/>
      <c r="C38" s="457" t="s">
        <v>460</v>
      </c>
      <c r="D38" s="458" t="s">
        <v>122</v>
      </c>
      <c r="E38" s="458" t="s">
        <v>149</v>
      </c>
      <c r="F38" s="454"/>
      <c r="G38" s="452">
        <f>SUM(G39:G40)</f>
        <v>357.70000000000005</v>
      </c>
      <c r="H38" s="452">
        <f>SUM(H39)</f>
        <v>264.8</v>
      </c>
      <c r="I38" s="452">
        <f t="shared" si="0"/>
        <v>74.02851551579536</v>
      </c>
      <c r="J38" s="453"/>
      <c r="K38" s="453"/>
      <c r="L38" s="453"/>
      <c r="M38" s="452">
        <f>SUM(M39:M40)</f>
        <v>357.70000000000005</v>
      </c>
    </row>
    <row r="39" spans="1:13" ht="42.75">
      <c r="A39" s="447" t="s">
        <v>495</v>
      </c>
      <c r="B39" s="448"/>
      <c r="C39" s="449" t="s">
        <v>460</v>
      </c>
      <c r="D39" s="450" t="s">
        <v>122</v>
      </c>
      <c r="E39" s="458" t="s">
        <v>149</v>
      </c>
      <c r="F39" s="451" t="s">
        <v>496</v>
      </c>
      <c r="G39" s="452">
        <v>288.8</v>
      </c>
      <c r="H39" s="452">
        <v>264.8</v>
      </c>
      <c r="I39" s="452">
        <f t="shared" si="0"/>
        <v>91.68975069252078</v>
      </c>
      <c r="J39" s="453">
        <f>SUM('[2]ведомствен.2015-2016'!G71)</f>
        <v>288.8</v>
      </c>
      <c r="K39" s="453">
        <f>SUM('[2]ведомствен.2015-2016'!H71)</f>
        <v>288.8</v>
      </c>
      <c r="L39" s="453">
        <f aca="true" t="shared" si="1" ref="L39:L102">SUM(G39-J39)</f>
        <v>0</v>
      </c>
      <c r="M39" s="452">
        <v>288.8</v>
      </c>
    </row>
    <row r="40" spans="1:13" ht="14.25">
      <c r="A40" s="447" t="s">
        <v>500</v>
      </c>
      <c r="B40" s="448"/>
      <c r="C40" s="449" t="s">
        <v>460</v>
      </c>
      <c r="D40" s="450" t="s">
        <v>122</v>
      </c>
      <c r="E40" s="458" t="s">
        <v>149</v>
      </c>
      <c r="F40" s="451" t="s">
        <v>120</v>
      </c>
      <c r="G40" s="455">
        <v>68.9</v>
      </c>
      <c r="H40" s="452">
        <f>SUM(H41)</f>
        <v>155.9</v>
      </c>
      <c r="I40" s="452">
        <f t="shared" si="0"/>
        <v>226.26995645863568</v>
      </c>
      <c r="J40" s="453">
        <f>SUM('[2]ведомствен.2015-2016'!G72)</f>
        <v>68.9</v>
      </c>
      <c r="K40" s="453">
        <f>SUM('[2]ведомствен.2015-2016'!H72)</f>
        <v>68.9</v>
      </c>
      <c r="L40" s="453">
        <f t="shared" si="1"/>
        <v>0</v>
      </c>
      <c r="M40" s="455">
        <v>68.9</v>
      </c>
    </row>
    <row r="41" spans="1:13" ht="28.5">
      <c r="A41" s="447" t="s">
        <v>385</v>
      </c>
      <c r="B41" s="448"/>
      <c r="C41" s="449" t="s">
        <v>108</v>
      </c>
      <c r="D41" s="450" t="s">
        <v>122</v>
      </c>
      <c r="E41" s="450" t="s">
        <v>386</v>
      </c>
      <c r="F41" s="454"/>
      <c r="G41" s="452">
        <f>SUM(G42)</f>
        <v>1240.4</v>
      </c>
      <c r="H41" s="452">
        <f>SUM(H42:H43)</f>
        <v>155.9</v>
      </c>
      <c r="I41" s="452">
        <f t="shared" si="0"/>
        <v>12.568526281844566</v>
      </c>
      <c r="J41" s="453"/>
      <c r="K41" s="453"/>
      <c r="L41" s="453">
        <f t="shared" si="1"/>
        <v>1240.4</v>
      </c>
      <c r="M41" s="452">
        <f>SUM(M42)</f>
        <v>1240.4</v>
      </c>
    </row>
    <row r="42" spans="1:13" ht="42.75">
      <c r="A42" s="447" t="s">
        <v>495</v>
      </c>
      <c r="B42" s="448"/>
      <c r="C42" s="449" t="s">
        <v>460</v>
      </c>
      <c r="D42" s="450" t="s">
        <v>122</v>
      </c>
      <c r="E42" s="450" t="s">
        <v>386</v>
      </c>
      <c r="F42" s="451" t="s">
        <v>496</v>
      </c>
      <c r="G42" s="452">
        <v>1240.4</v>
      </c>
      <c r="H42" s="452">
        <v>155.9</v>
      </c>
      <c r="I42" s="452">
        <f t="shared" si="0"/>
        <v>12.568526281844566</v>
      </c>
      <c r="J42" s="453">
        <f>SUM('[2]ведомствен.2015-2016'!G74)</f>
        <v>1240.4</v>
      </c>
      <c r="K42" s="453">
        <f>SUM('[2]ведомствен.2015-2016'!H74)</f>
        <v>1240.4</v>
      </c>
      <c r="L42" s="453">
        <f t="shared" si="1"/>
        <v>0</v>
      </c>
      <c r="M42" s="452">
        <v>1240.4</v>
      </c>
    </row>
    <row r="43" spans="1:13" ht="14.25">
      <c r="A43" s="447" t="s">
        <v>130</v>
      </c>
      <c r="B43" s="448"/>
      <c r="C43" s="449" t="s">
        <v>460</v>
      </c>
      <c r="D43" s="450" t="s">
        <v>131</v>
      </c>
      <c r="E43" s="450"/>
      <c r="F43" s="454"/>
      <c r="G43" s="452">
        <f>SUM(G44)</f>
        <v>0</v>
      </c>
      <c r="H43" s="452"/>
      <c r="I43" s="452" t="e">
        <f t="shared" si="0"/>
        <v>#DIV/0!</v>
      </c>
      <c r="J43" s="453"/>
      <c r="K43" s="453"/>
      <c r="L43" s="453">
        <f t="shared" si="1"/>
        <v>0</v>
      </c>
      <c r="M43" s="452">
        <f>SUM(M44)</f>
        <v>43.14</v>
      </c>
    </row>
    <row r="44" spans="1:13" ht="14.25">
      <c r="A44" s="161" t="s">
        <v>410</v>
      </c>
      <c r="B44" s="459"/>
      <c r="C44" s="460" t="s">
        <v>460</v>
      </c>
      <c r="D44" s="461" t="s">
        <v>131</v>
      </c>
      <c r="E44" s="461" t="s">
        <v>411</v>
      </c>
      <c r="F44" s="462"/>
      <c r="G44" s="452">
        <f>SUM(G45)</f>
        <v>0</v>
      </c>
      <c r="H44" s="452"/>
      <c r="I44" s="452"/>
      <c r="J44" s="453"/>
      <c r="K44" s="453"/>
      <c r="L44" s="453">
        <f t="shared" si="1"/>
        <v>0</v>
      </c>
      <c r="M44" s="452">
        <f>SUM(M45)</f>
        <v>43.14</v>
      </c>
    </row>
    <row r="45" spans="1:13" ht="57">
      <c r="A45" s="161" t="s">
        <v>1040</v>
      </c>
      <c r="B45" s="459"/>
      <c r="C45" s="460" t="s">
        <v>460</v>
      </c>
      <c r="D45" s="461" t="s">
        <v>131</v>
      </c>
      <c r="E45" s="461" t="s">
        <v>1041</v>
      </c>
      <c r="F45" s="462"/>
      <c r="G45" s="452">
        <f>SUM(G46)</f>
        <v>0</v>
      </c>
      <c r="H45" s="452"/>
      <c r="I45" s="452" t="e">
        <f t="shared" si="0"/>
        <v>#DIV/0!</v>
      </c>
      <c r="J45" s="453"/>
      <c r="K45" s="453"/>
      <c r="L45" s="453">
        <f t="shared" si="1"/>
        <v>0</v>
      </c>
      <c r="M45" s="452">
        <f>SUM(M46)</f>
        <v>43.14</v>
      </c>
    </row>
    <row r="46" spans="1:13" ht="14.25">
      <c r="A46" s="161" t="s">
        <v>500</v>
      </c>
      <c r="B46" s="459"/>
      <c r="C46" s="460" t="s">
        <v>460</v>
      </c>
      <c r="D46" s="461" t="s">
        <v>131</v>
      </c>
      <c r="E46" s="461" t="s">
        <v>1041</v>
      </c>
      <c r="F46" s="462" t="s">
        <v>120</v>
      </c>
      <c r="G46" s="463"/>
      <c r="H46" s="452" t="e">
        <f>SUM(H47)</f>
        <v>#REF!</v>
      </c>
      <c r="I46" s="452" t="e">
        <f t="shared" si="0"/>
        <v>#REF!</v>
      </c>
      <c r="J46" s="453"/>
      <c r="K46" s="453">
        <f>SUM('[2]ведомствен.2015-2016'!H78)</f>
        <v>43.14</v>
      </c>
      <c r="L46" s="453">
        <f t="shared" si="1"/>
        <v>0</v>
      </c>
      <c r="M46" s="463">
        <v>43.14</v>
      </c>
    </row>
    <row r="47" spans="1:13" ht="42.75">
      <c r="A47" s="447" t="s">
        <v>390</v>
      </c>
      <c r="B47" s="448"/>
      <c r="C47" s="449" t="s">
        <v>460</v>
      </c>
      <c r="D47" s="450" t="s">
        <v>391</v>
      </c>
      <c r="E47" s="450"/>
      <c r="F47" s="451"/>
      <c r="G47" s="452">
        <f>SUM(G48)</f>
        <v>24154</v>
      </c>
      <c r="H47" s="452" t="e">
        <f>SUM(H48)</f>
        <v>#REF!</v>
      </c>
      <c r="I47" s="452" t="e">
        <f t="shared" si="0"/>
        <v>#REF!</v>
      </c>
      <c r="J47" s="453"/>
      <c r="K47" s="453"/>
      <c r="L47" s="453">
        <f t="shared" si="1"/>
        <v>24154</v>
      </c>
      <c r="M47" s="452">
        <f>SUM(M48)</f>
        <v>24154</v>
      </c>
    </row>
    <row r="48" spans="1:13" ht="42.75">
      <c r="A48" s="447" t="s">
        <v>99</v>
      </c>
      <c r="B48" s="448"/>
      <c r="C48" s="449" t="s">
        <v>460</v>
      </c>
      <c r="D48" s="450" t="s">
        <v>391</v>
      </c>
      <c r="E48" s="450" t="s">
        <v>100</v>
      </c>
      <c r="F48" s="451"/>
      <c r="G48" s="452">
        <f>SUM(G49)+G52+G54</f>
        <v>24154</v>
      </c>
      <c r="H48" s="452" t="e">
        <f>SUM('[1]Ведомств.'!G83)</f>
        <v>#REF!</v>
      </c>
      <c r="I48" s="452" t="e">
        <f t="shared" si="0"/>
        <v>#REF!</v>
      </c>
      <c r="J48" s="453"/>
      <c r="K48" s="453"/>
      <c r="L48" s="453">
        <f t="shared" si="1"/>
        <v>24154</v>
      </c>
      <c r="M48" s="452">
        <f>SUM(M49)+M52+M54</f>
        <v>24154</v>
      </c>
    </row>
    <row r="49" spans="1:13" s="13" customFormat="1" ht="14.25">
      <c r="A49" s="447" t="s">
        <v>107</v>
      </c>
      <c r="B49" s="448"/>
      <c r="C49" s="449" t="s">
        <v>460</v>
      </c>
      <c r="D49" s="450" t="s">
        <v>391</v>
      </c>
      <c r="E49" s="450" t="s">
        <v>109</v>
      </c>
      <c r="F49" s="451"/>
      <c r="G49" s="452">
        <f>SUM(G50+G51)</f>
        <v>6473.2</v>
      </c>
      <c r="H49" s="452">
        <f>SUM(H50)</f>
        <v>12415.9</v>
      </c>
      <c r="I49" s="452">
        <f t="shared" si="0"/>
        <v>191.80467156893036</v>
      </c>
      <c r="J49" s="464"/>
      <c r="K49" s="464"/>
      <c r="L49" s="453">
        <f t="shared" si="1"/>
        <v>6473.2</v>
      </c>
      <c r="M49" s="452">
        <f>SUM(M50+M51)</f>
        <v>6473.2</v>
      </c>
    </row>
    <row r="50" spans="1:13" s="13" customFormat="1" ht="42.75">
      <c r="A50" s="447" t="s">
        <v>495</v>
      </c>
      <c r="B50" s="448"/>
      <c r="C50" s="449" t="s">
        <v>108</v>
      </c>
      <c r="D50" s="450" t="s">
        <v>391</v>
      </c>
      <c r="E50" s="450" t="s">
        <v>109</v>
      </c>
      <c r="F50" s="465" t="s">
        <v>496</v>
      </c>
      <c r="G50" s="452">
        <v>6456.3</v>
      </c>
      <c r="H50" s="452">
        <f>SUM(H51+H55)</f>
        <v>12415.9</v>
      </c>
      <c r="I50" s="452">
        <f t="shared" si="0"/>
        <v>192.3067391540046</v>
      </c>
      <c r="J50" s="453">
        <f>SUM('[2]ведомствен.2015-2016'!G40+'[2]ведомствен.2015-2016'!G284)</f>
        <v>6456.3</v>
      </c>
      <c r="K50" s="453">
        <f>SUM('[2]ведомствен.2015-2016'!H40+'[2]ведомствен.2015-2016'!H284)</f>
        <v>6456.3</v>
      </c>
      <c r="L50" s="453">
        <f t="shared" si="1"/>
        <v>0</v>
      </c>
      <c r="M50" s="452">
        <v>6456.3</v>
      </c>
    </row>
    <row r="51" spans="1:13" s="13" customFormat="1" ht="14.25">
      <c r="A51" s="447" t="s">
        <v>500</v>
      </c>
      <c r="B51" s="448"/>
      <c r="C51" s="449" t="s">
        <v>460</v>
      </c>
      <c r="D51" s="450" t="s">
        <v>391</v>
      </c>
      <c r="E51" s="450" t="s">
        <v>109</v>
      </c>
      <c r="F51" s="451" t="s">
        <v>120</v>
      </c>
      <c r="G51" s="455">
        <f>16.1+0.8</f>
        <v>16.900000000000002</v>
      </c>
      <c r="H51" s="452">
        <f>SUM(H52+H53)</f>
        <v>11864.3</v>
      </c>
      <c r="I51" s="452">
        <f t="shared" si="0"/>
        <v>70202.95857988164</v>
      </c>
      <c r="J51" s="453">
        <f>SUM('[2]ведомствен.2015-2016'!G41+'[2]ведомствен.2015-2016'!G285)</f>
        <v>16.900000000000002</v>
      </c>
      <c r="K51" s="453">
        <f>SUM('[2]ведомствен.2015-2016'!H41+'[2]ведомствен.2015-2016'!H285)</f>
        <v>16.900000000000002</v>
      </c>
      <c r="L51" s="453">
        <f t="shared" si="1"/>
        <v>0</v>
      </c>
      <c r="M51" s="455">
        <f>16.1+0.8</f>
        <v>16.900000000000002</v>
      </c>
    </row>
    <row r="52" spans="1:13" s="13" customFormat="1" ht="28.5">
      <c r="A52" s="447" t="s">
        <v>392</v>
      </c>
      <c r="B52" s="448"/>
      <c r="C52" s="449" t="s">
        <v>108</v>
      </c>
      <c r="D52" s="450" t="s">
        <v>391</v>
      </c>
      <c r="E52" s="450" t="s">
        <v>393</v>
      </c>
      <c r="F52" s="451"/>
      <c r="G52" s="452">
        <f>SUM(G53)</f>
        <v>15988.8</v>
      </c>
      <c r="H52" s="452">
        <v>2278</v>
      </c>
      <c r="I52" s="452">
        <f t="shared" si="0"/>
        <v>14.247473231261884</v>
      </c>
      <c r="J52" s="464"/>
      <c r="K52" s="464"/>
      <c r="L52" s="453"/>
      <c r="M52" s="452">
        <f>SUM(M53)</f>
        <v>15988.8</v>
      </c>
    </row>
    <row r="53" spans="1:13" ht="42.75">
      <c r="A53" s="447" t="s">
        <v>495</v>
      </c>
      <c r="B53" s="448"/>
      <c r="C53" s="449" t="s">
        <v>108</v>
      </c>
      <c r="D53" s="450" t="s">
        <v>391</v>
      </c>
      <c r="E53" s="450" t="s">
        <v>393</v>
      </c>
      <c r="F53" s="465" t="s">
        <v>496</v>
      </c>
      <c r="G53" s="452">
        <v>15988.8</v>
      </c>
      <c r="H53" s="452">
        <f>SUM(H54)</f>
        <v>9586.3</v>
      </c>
      <c r="I53" s="452">
        <f t="shared" si="0"/>
        <v>59.956344441108776</v>
      </c>
      <c r="J53" s="453">
        <f>SUM('[2]ведомствен.2015-2016'!G287)</f>
        <v>15988.8</v>
      </c>
      <c r="K53" s="453">
        <f>SUM('[2]ведомствен.2015-2016'!H287)</f>
        <v>15988.8</v>
      </c>
      <c r="L53" s="453">
        <f t="shared" si="1"/>
        <v>0</v>
      </c>
      <c r="M53" s="452">
        <v>15988.8</v>
      </c>
    </row>
    <row r="54" spans="1:13" s="14" customFormat="1" ht="28.5">
      <c r="A54" s="447" t="s">
        <v>394</v>
      </c>
      <c r="B54" s="448"/>
      <c r="C54" s="449" t="s">
        <v>108</v>
      </c>
      <c r="D54" s="450" t="s">
        <v>391</v>
      </c>
      <c r="E54" s="450" t="s">
        <v>395</v>
      </c>
      <c r="F54" s="465"/>
      <c r="G54" s="452">
        <f>SUM(G55)</f>
        <v>1692</v>
      </c>
      <c r="H54" s="452">
        <v>9586.3</v>
      </c>
      <c r="I54" s="452">
        <f t="shared" si="0"/>
        <v>566.5661938534279</v>
      </c>
      <c r="J54" s="464"/>
      <c r="K54" s="464"/>
      <c r="L54" s="453"/>
      <c r="M54" s="452">
        <f>SUM(M55)</f>
        <v>1692</v>
      </c>
    </row>
    <row r="55" spans="1:13" ht="42.75">
      <c r="A55" s="447" t="s">
        <v>495</v>
      </c>
      <c r="B55" s="448"/>
      <c r="C55" s="449" t="s">
        <v>108</v>
      </c>
      <c r="D55" s="450" t="s">
        <v>391</v>
      </c>
      <c r="E55" s="450" t="s">
        <v>395</v>
      </c>
      <c r="F55" s="451" t="s">
        <v>496</v>
      </c>
      <c r="G55" s="452">
        <v>1692</v>
      </c>
      <c r="H55" s="452">
        <f>SUM(H56)</f>
        <v>551.6</v>
      </c>
      <c r="I55" s="452">
        <f t="shared" si="0"/>
        <v>32.600472813238774</v>
      </c>
      <c r="J55" s="453">
        <f>SUM('[2]ведомствен.2015-2016'!G43)</f>
        <v>1692</v>
      </c>
      <c r="K55" s="453">
        <f>SUM('[2]ведомствен.2015-2016'!H43)</f>
        <v>1692</v>
      </c>
      <c r="L55" s="453">
        <f t="shared" si="1"/>
        <v>0</v>
      </c>
      <c r="M55" s="452">
        <v>1692</v>
      </c>
    </row>
    <row r="56" spans="1:13" ht="14.25" hidden="1">
      <c r="A56" s="161" t="s">
        <v>396</v>
      </c>
      <c r="B56" s="456"/>
      <c r="C56" s="457" t="s">
        <v>460</v>
      </c>
      <c r="D56" s="458" t="s">
        <v>117</v>
      </c>
      <c r="E56" s="458"/>
      <c r="F56" s="454"/>
      <c r="G56" s="455">
        <f>SUM(G57)</f>
        <v>0</v>
      </c>
      <c r="H56" s="452">
        <v>551.6</v>
      </c>
      <c r="I56" s="452" t="e">
        <f t="shared" si="0"/>
        <v>#DIV/0!</v>
      </c>
      <c r="J56" s="453"/>
      <c r="K56" s="453"/>
      <c r="L56" s="453">
        <f t="shared" si="1"/>
        <v>0</v>
      </c>
      <c r="M56" s="455">
        <f>SUM(M57)</f>
        <v>0</v>
      </c>
    </row>
    <row r="57" spans="1:13" ht="14.25" hidden="1">
      <c r="A57" s="161" t="s">
        <v>396</v>
      </c>
      <c r="B57" s="456"/>
      <c r="C57" s="457" t="s">
        <v>460</v>
      </c>
      <c r="D57" s="458" t="s">
        <v>117</v>
      </c>
      <c r="E57" s="458" t="s">
        <v>397</v>
      </c>
      <c r="F57" s="454"/>
      <c r="G57" s="455">
        <f>SUM(G58+G60)</f>
        <v>0</v>
      </c>
      <c r="H57" s="452">
        <f>SUM(H58)</f>
        <v>4219.8</v>
      </c>
      <c r="I57" s="452" t="e">
        <f t="shared" si="0"/>
        <v>#DIV/0!</v>
      </c>
      <c r="J57" s="453"/>
      <c r="K57" s="453"/>
      <c r="L57" s="453">
        <f t="shared" si="1"/>
        <v>0</v>
      </c>
      <c r="M57" s="455">
        <f>SUM(M58+M60)</f>
        <v>0</v>
      </c>
    </row>
    <row r="58" spans="1:13" ht="28.5" hidden="1">
      <c r="A58" s="447" t="s">
        <v>398</v>
      </c>
      <c r="B58" s="456"/>
      <c r="C58" s="457" t="s">
        <v>460</v>
      </c>
      <c r="D58" s="458" t="s">
        <v>117</v>
      </c>
      <c r="E58" s="458" t="s">
        <v>399</v>
      </c>
      <c r="F58" s="454"/>
      <c r="G58" s="455">
        <f>SUM(G59:G59)</f>
        <v>0</v>
      </c>
      <c r="H58" s="452">
        <f>SUM(H59+H61)</f>
        <v>4219.8</v>
      </c>
      <c r="I58" s="452" t="e">
        <f t="shared" si="0"/>
        <v>#DIV/0!</v>
      </c>
      <c r="J58" s="453"/>
      <c r="K58" s="453"/>
      <c r="L58" s="453">
        <f t="shared" si="1"/>
        <v>0</v>
      </c>
      <c r="M58" s="455">
        <f>SUM(M59:M59)</f>
        <v>0</v>
      </c>
    </row>
    <row r="59" spans="1:13" ht="14.25" hidden="1">
      <c r="A59" s="447" t="s">
        <v>103</v>
      </c>
      <c r="B59" s="456"/>
      <c r="C59" s="457" t="s">
        <v>460</v>
      </c>
      <c r="D59" s="458" t="s">
        <v>117</v>
      </c>
      <c r="E59" s="458" t="s">
        <v>399</v>
      </c>
      <c r="F59" s="454" t="s">
        <v>104</v>
      </c>
      <c r="G59" s="455"/>
      <c r="H59" s="452">
        <f>SUM(H60:H60)</f>
        <v>2142.4</v>
      </c>
      <c r="I59" s="452" t="e">
        <f t="shared" si="0"/>
        <v>#DIV/0!</v>
      </c>
      <c r="J59" s="453"/>
      <c r="K59" s="453"/>
      <c r="L59" s="453">
        <f t="shared" si="1"/>
        <v>0</v>
      </c>
      <c r="M59" s="455"/>
    </row>
    <row r="60" spans="1:13" ht="14.25" hidden="1">
      <c r="A60" s="447" t="s">
        <v>400</v>
      </c>
      <c r="B60" s="456"/>
      <c r="C60" s="457" t="s">
        <v>460</v>
      </c>
      <c r="D60" s="458" t="s">
        <v>117</v>
      </c>
      <c r="E60" s="458" t="s">
        <v>401</v>
      </c>
      <c r="F60" s="454"/>
      <c r="G60" s="455">
        <f>SUM(G61)</f>
        <v>0</v>
      </c>
      <c r="H60" s="452">
        <v>2142.4</v>
      </c>
      <c r="I60" s="452" t="e">
        <f t="shared" si="0"/>
        <v>#DIV/0!</v>
      </c>
      <c r="J60" s="453"/>
      <c r="K60" s="453"/>
      <c r="L60" s="453">
        <f t="shared" si="1"/>
        <v>0</v>
      </c>
      <c r="M60" s="455">
        <f>SUM(M61)</f>
        <v>0</v>
      </c>
    </row>
    <row r="61" spans="1:13" ht="14.25" hidden="1">
      <c r="A61" s="447" t="s">
        <v>103</v>
      </c>
      <c r="B61" s="456"/>
      <c r="C61" s="457" t="s">
        <v>460</v>
      </c>
      <c r="D61" s="458" t="s">
        <v>117</v>
      </c>
      <c r="E61" s="458" t="s">
        <v>401</v>
      </c>
      <c r="F61" s="454" t="s">
        <v>104</v>
      </c>
      <c r="G61" s="455"/>
      <c r="H61" s="452">
        <f>SUM(H62)</f>
        <v>2077.4</v>
      </c>
      <c r="I61" s="452" t="e">
        <f t="shared" si="0"/>
        <v>#DIV/0!</v>
      </c>
      <c r="J61" s="453"/>
      <c r="K61" s="453"/>
      <c r="L61" s="453">
        <f t="shared" si="1"/>
        <v>0</v>
      </c>
      <c r="M61" s="455"/>
    </row>
    <row r="62" spans="1:13" ht="14.25">
      <c r="A62" s="447" t="s">
        <v>407</v>
      </c>
      <c r="B62" s="448"/>
      <c r="C62" s="449" t="s">
        <v>460</v>
      </c>
      <c r="D62" s="450" t="s">
        <v>419</v>
      </c>
      <c r="E62" s="450"/>
      <c r="F62" s="451"/>
      <c r="G62" s="452">
        <f>SUM(G63)</f>
        <v>2000</v>
      </c>
      <c r="H62" s="452">
        <v>2077.4</v>
      </c>
      <c r="I62" s="452">
        <f t="shared" si="0"/>
        <v>103.86999999999999</v>
      </c>
      <c r="J62" s="453"/>
      <c r="K62" s="453"/>
      <c r="L62" s="453"/>
      <c r="M62" s="452">
        <f>SUM(M63)</f>
        <v>5000</v>
      </c>
    </row>
    <row r="63" spans="1:13" ht="14.25">
      <c r="A63" s="447" t="s">
        <v>387</v>
      </c>
      <c r="B63" s="448"/>
      <c r="C63" s="449" t="s">
        <v>460</v>
      </c>
      <c r="D63" s="450" t="s">
        <v>419</v>
      </c>
      <c r="E63" s="450" t="s">
        <v>507</v>
      </c>
      <c r="F63" s="451"/>
      <c r="G63" s="452">
        <f>SUM(G64)</f>
        <v>2000</v>
      </c>
      <c r="H63" s="452">
        <f>SUM(H64)</f>
        <v>5048</v>
      </c>
      <c r="I63" s="452">
        <f t="shared" si="0"/>
        <v>252.4</v>
      </c>
      <c r="J63" s="453"/>
      <c r="K63" s="453"/>
      <c r="L63" s="453"/>
      <c r="M63" s="452">
        <f>SUM(M64)</f>
        <v>5000</v>
      </c>
    </row>
    <row r="64" spans="1:13" ht="14.25">
      <c r="A64" s="447" t="s">
        <v>501</v>
      </c>
      <c r="B64" s="448"/>
      <c r="C64" s="449" t="s">
        <v>460</v>
      </c>
      <c r="D64" s="450" t="s">
        <v>419</v>
      </c>
      <c r="E64" s="450" t="s">
        <v>507</v>
      </c>
      <c r="F64" s="451" t="s">
        <v>176</v>
      </c>
      <c r="G64" s="452">
        <v>2000</v>
      </c>
      <c r="H64" s="452">
        <f>SUM(H66)</f>
        <v>5048</v>
      </c>
      <c r="I64" s="452">
        <f t="shared" si="0"/>
        <v>252.4</v>
      </c>
      <c r="J64" s="453">
        <f>SUM('[2]ведомствен.2015-2016'!G290)</f>
        <v>2000</v>
      </c>
      <c r="K64" s="453">
        <f>SUM('[2]ведомствен.2015-2016'!H290)</f>
        <v>5000</v>
      </c>
      <c r="L64" s="453">
        <f t="shared" si="1"/>
        <v>0</v>
      </c>
      <c r="M64" s="452">
        <v>5000</v>
      </c>
    </row>
    <row r="65" spans="1:13" ht="14.25">
      <c r="A65" s="447" t="s">
        <v>112</v>
      </c>
      <c r="B65" s="448"/>
      <c r="C65" s="449" t="s">
        <v>460</v>
      </c>
      <c r="D65" s="450" t="s">
        <v>236</v>
      </c>
      <c r="E65" s="450"/>
      <c r="F65" s="454"/>
      <c r="G65" s="452">
        <f>SUM(G66+G78)</f>
        <v>29843.100000000002</v>
      </c>
      <c r="H65" s="452">
        <f>SUM(H66)</f>
        <v>5048</v>
      </c>
      <c r="I65" s="452">
        <f t="shared" si="0"/>
        <v>16.915132811269608</v>
      </c>
      <c r="J65" s="453"/>
      <c r="K65" s="453"/>
      <c r="L65" s="453"/>
      <c r="M65" s="452">
        <f>SUM(M66+M78)</f>
        <v>29843.100000000002</v>
      </c>
    </row>
    <row r="66" spans="1:13" ht="28.5">
      <c r="A66" s="161" t="s">
        <v>497</v>
      </c>
      <c r="B66" s="466"/>
      <c r="C66" s="460" t="s">
        <v>460</v>
      </c>
      <c r="D66" s="461" t="s">
        <v>236</v>
      </c>
      <c r="E66" s="461" t="s">
        <v>498</v>
      </c>
      <c r="F66" s="467"/>
      <c r="G66" s="463">
        <f>G67+G70+G72+G74</f>
        <v>27564.7</v>
      </c>
      <c r="H66" s="452">
        <v>5048</v>
      </c>
      <c r="I66" s="452">
        <f t="shared" si="0"/>
        <v>18.31327748896233</v>
      </c>
      <c r="J66" s="453"/>
      <c r="K66" s="453"/>
      <c r="L66" s="453"/>
      <c r="M66" s="463">
        <f>M67+M70+M72+M74</f>
        <v>27564.7</v>
      </c>
    </row>
    <row r="67" spans="1:13" s="13" customFormat="1" ht="14.25">
      <c r="A67" s="161" t="s">
        <v>486</v>
      </c>
      <c r="B67" s="459"/>
      <c r="C67" s="460" t="s">
        <v>460</v>
      </c>
      <c r="D67" s="461" t="s">
        <v>236</v>
      </c>
      <c r="E67" s="461" t="s">
        <v>499</v>
      </c>
      <c r="F67" s="462"/>
      <c r="G67" s="463">
        <f>G68+G69</f>
        <v>3706.1</v>
      </c>
      <c r="H67" s="452">
        <f>SUM(H68)</f>
        <v>0</v>
      </c>
      <c r="I67" s="452">
        <f t="shared" si="0"/>
        <v>0</v>
      </c>
      <c r="J67" s="464"/>
      <c r="K67" s="464"/>
      <c r="L67" s="453"/>
      <c r="M67" s="463">
        <f>M68+M69</f>
        <v>3706.1</v>
      </c>
    </row>
    <row r="68" spans="1:13" s="13" customFormat="1" ht="14.25">
      <c r="A68" s="161" t="s">
        <v>500</v>
      </c>
      <c r="B68" s="459"/>
      <c r="C68" s="460" t="s">
        <v>460</v>
      </c>
      <c r="D68" s="461" t="s">
        <v>236</v>
      </c>
      <c r="E68" s="461" t="s">
        <v>499</v>
      </c>
      <c r="F68" s="462" t="s">
        <v>120</v>
      </c>
      <c r="G68" s="463">
        <v>3574.2</v>
      </c>
      <c r="H68" s="452">
        <f>SUM(H70)</f>
        <v>0</v>
      </c>
      <c r="I68" s="452">
        <f t="shared" si="0"/>
        <v>0</v>
      </c>
      <c r="J68" s="464">
        <f>SUM('[2]ведомствен.2015-2016'!G27+'[2]ведомствен.2015-2016'!G47+'[2]ведомствен.2015-2016'!G82+'[2]ведомствен.2015-2016'!G294)</f>
        <v>3574.2</v>
      </c>
      <c r="K68" s="464">
        <f>SUM('[2]ведомствен.2015-2016'!H27+'[2]ведомствен.2015-2016'!H47+'[2]ведомствен.2015-2016'!H82+'[2]ведомствен.2015-2016'!H294)</f>
        <v>3574.2</v>
      </c>
      <c r="L68" s="453">
        <f t="shared" si="1"/>
        <v>0</v>
      </c>
      <c r="M68" s="463">
        <v>3574.2</v>
      </c>
    </row>
    <row r="69" spans="1:13" s="13" customFormat="1" ht="14.25">
      <c r="A69" s="161" t="s">
        <v>501</v>
      </c>
      <c r="B69" s="459"/>
      <c r="C69" s="460" t="s">
        <v>460</v>
      </c>
      <c r="D69" s="461" t="s">
        <v>236</v>
      </c>
      <c r="E69" s="461" t="s">
        <v>499</v>
      </c>
      <c r="F69" s="462" t="s">
        <v>176</v>
      </c>
      <c r="G69" s="463">
        <v>131.9</v>
      </c>
      <c r="H69" s="452">
        <f>SUM(H70)</f>
        <v>0</v>
      </c>
      <c r="I69" s="452">
        <f t="shared" si="0"/>
        <v>0</v>
      </c>
      <c r="J69" s="464">
        <f>SUM('[2]ведомствен.2015-2016'!G28+'[2]ведомствен.2015-2016'!G48+'[2]ведомствен.2015-2016'!G83+'[2]ведомствен.2015-2016'!G295)</f>
        <v>131.9</v>
      </c>
      <c r="K69" s="464">
        <f>SUM('[2]ведомствен.2015-2016'!H28+'[2]ведомствен.2015-2016'!H48+'[2]ведомствен.2015-2016'!H83+'[2]ведомствен.2015-2016'!H295)</f>
        <v>131.9</v>
      </c>
      <c r="L69" s="453">
        <f t="shared" si="1"/>
        <v>0</v>
      </c>
      <c r="M69" s="463">
        <v>131.9</v>
      </c>
    </row>
    <row r="70" spans="1:13" s="13" customFormat="1" ht="28.5">
      <c r="A70" s="161" t="s">
        <v>487</v>
      </c>
      <c r="B70" s="459"/>
      <c r="C70" s="460" t="s">
        <v>460</v>
      </c>
      <c r="D70" s="461" t="s">
        <v>236</v>
      </c>
      <c r="E70" s="461" t="s">
        <v>502</v>
      </c>
      <c r="F70" s="462"/>
      <c r="G70" s="463">
        <f>SUM(G71)</f>
        <v>4951.4</v>
      </c>
      <c r="H70" s="452"/>
      <c r="I70" s="452">
        <f t="shared" si="0"/>
        <v>0</v>
      </c>
      <c r="J70" s="464"/>
      <c r="K70" s="464"/>
      <c r="L70" s="453"/>
      <c r="M70" s="463">
        <f>SUM(M71)</f>
        <v>4951.4</v>
      </c>
    </row>
    <row r="71" spans="1:13" ht="13.5" customHeight="1">
      <c r="A71" s="161" t="s">
        <v>500</v>
      </c>
      <c r="B71" s="459"/>
      <c r="C71" s="460" t="s">
        <v>460</v>
      </c>
      <c r="D71" s="461" t="s">
        <v>236</v>
      </c>
      <c r="E71" s="461" t="s">
        <v>502</v>
      </c>
      <c r="F71" s="462" t="s">
        <v>120</v>
      </c>
      <c r="G71" s="463">
        <v>4951.4</v>
      </c>
      <c r="H71" s="452">
        <f>SUM(H72+H85+H92+H95+H98+H114+H77+H82)</f>
        <v>7427.299999999999</v>
      </c>
      <c r="I71" s="452">
        <f t="shared" si="0"/>
        <v>150.00403926162298</v>
      </c>
      <c r="J71" s="464">
        <f>SUM('[2]ведомствен.2015-2016'!G30+'[2]ведомствен.2015-2016'!G50+'[2]ведомствен.2015-2016'!G85+'[2]ведомствен.2015-2016'!G297)</f>
        <v>4951.400000000001</v>
      </c>
      <c r="K71" s="464">
        <f>SUM('[2]ведомствен.2015-2016'!H30+'[2]ведомствен.2015-2016'!H50+'[2]ведомствен.2015-2016'!H85+'[2]ведомствен.2015-2016'!H297)</f>
        <v>4951.400000000001</v>
      </c>
      <c r="L71" s="453">
        <f t="shared" si="1"/>
        <v>-9.094947017729282E-13</v>
      </c>
      <c r="M71" s="463">
        <v>4951.4</v>
      </c>
    </row>
    <row r="72" spans="1:13" ht="28.5" hidden="1">
      <c r="A72" s="161" t="s">
        <v>522</v>
      </c>
      <c r="B72" s="459"/>
      <c r="C72" s="460" t="s">
        <v>460</v>
      </c>
      <c r="D72" s="461" t="s">
        <v>236</v>
      </c>
      <c r="E72" s="461" t="s">
        <v>523</v>
      </c>
      <c r="F72" s="462"/>
      <c r="G72" s="463">
        <f>SUM(G73)</f>
        <v>0</v>
      </c>
      <c r="H72" s="452">
        <f>SUM(H73+H75)</f>
        <v>2749.5</v>
      </c>
      <c r="I72" s="452" t="e">
        <f t="shared" si="0"/>
        <v>#DIV/0!</v>
      </c>
      <c r="J72" s="453"/>
      <c r="K72" s="453"/>
      <c r="L72" s="453">
        <f t="shared" si="1"/>
        <v>0</v>
      </c>
      <c r="M72" s="463">
        <f>SUM(M73)</f>
        <v>0</v>
      </c>
    </row>
    <row r="73" spans="1:13" ht="14.25" hidden="1">
      <c r="A73" s="161" t="s">
        <v>500</v>
      </c>
      <c r="B73" s="459"/>
      <c r="C73" s="460" t="s">
        <v>460</v>
      </c>
      <c r="D73" s="461" t="s">
        <v>236</v>
      </c>
      <c r="E73" s="461" t="s">
        <v>523</v>
      </c>
      <c r="F73" s="462" t="s">
        <v>120</v>
      </c>
      <c r="G73" s="463">
        <v>0</v>
      </c>
      <c r="H73" s="452">
        <f>SUM(H74)</f>
        <v>2749.5</v>
      </c>
      <c r="I73" s="452" t="e">
        <f t="shared" si="0"/>
        <v>#DIV/0!</v>
      </c>
      <c r="J73" s="453">
        <f>SUM('[2]ведомствен.2015-2016'!G87)</f>
        <v>0</v>
      </c>
      <c r="K73" s="453">
        <f>SUM('[2]ведомствен.2015-2016'!H87)</f>
        <v>0</v>
      </c>
      <c r="L73" s="453">
        <f t="shared" si="1"/>
        <v>0</v>
      </c>
      <c r="M73" s="463">
        <v>0</v>
      </c>
    </row>
    <row r="74" spans="1:13" ht="28.5">
      <c r="A74" s="161" t="s">
        <v>503</v>
      </c>
      <c r="B74" s="459"/>
      <c r="C74" s="460" t="s">
        <v>460</v>
      </c>
      <c r="D74" s="461" t="s">
        <v>236</v>
      </c>
      <c r="E74" s="461" t="s">
        <v>504</v>
      </c>
      <c r="F74" s="462"/>
      <c r="G74" s="463">
        <f>SUM(G75:G77)</f>
        <v>18907.2</v>
      </c>
      <c r="H74" s="452">
        <v>2749.5</v>
      </c>
      <c r="I74" s="452">
        <f t="shared" si="0"/>
        <v>14.542079207920791</v>
      </c>
      <c r="J74" s="453"/>
      <c r="K74" s="453"/>
      <c r="L74" s="453"/>
      <c r="M74" s="463">
        <f>SUM(M75:M77)</f>
        <v>18907.2</v>
      </c>
    </row>
    <row r="75" spans="1:13" ht="14.25">
      <c r="A75" s="161" t="s">
        <v>500</v>
      </c>
      <c r="B75" s="459"/>
      <c r="C75" s="460" t="s">
        <v>460</v>
      </c>
      <c r="D75" s="461" t="s">
        <v>236</v>
      </c>
      <c r="E75" s="461" t="s">
        <v>504</v>
      </c>
      <c r="F75" s="462" t="s">
        <v>120</v>
      </c>
      <c r="G75" s="463">
        <v>15591.6</v>
      </c>
      <c r="H75" s="452">
        <f>SUM(H76)</f>
        <v>0</v>
      </c>
      <c r="I75" s="452">
        <f t="shared" si="0"/>
        <v>0</v>
      </c>
      <c r="J75" s="453">
        <f>SUM('[2]ведомствен.2015-2016'!G299+'[2]ведомствен.2015-2016'!G89+'[2]ведомствен.2015-2016'!G52+'[2]ведомствен.2015-2016'!G32)</f>
        <v>15591.6</v>
      </c>
      <c r="K75" s="453">
        <f>SUM('[2]ведомствен.2015-2016'!H299+'[2]ведомствен.2015-2016'!H89+'[2]ведомствен.2015-2016'!H52+'[2]ведомствен.2015-2016'!H32)</f>
        <v>15591.6</v>
      </c>
      <c r="L75" s="453">
        <f t="shared" si="1"/>
        <v>0</v>
      </c>
      <c r="M75" s="463">
        <v>15591.6</v>
      </c>
    </row>
    <row r="76" spans="1:13" ht="14.25">
      <c r="A76" s="447" t="s">
        <v>505</v>
      </c>
      <c r="B76" s="448"/>
      <c r="C76" s="449" t="s">
        <v>460</v>
      </c>
      <c r="D76" s="450" t="s">
        <v>236</v>
      </c>
      <c r="E76" s="450" t="s">
        <v>504</v>
      </c>
      <c r="F76" s="465" t="s">
        <v>506</v>
      </c>
      <c r="G76" s="452">
        <v>666.5</v>
      </c>
      <c r="H76" s="452"/>
      <c r="I76" s="452">
        <f t="shared" si="0"/>
        <v>0</v>
      </c>
      <c r="J76" s="453">
        <f>SUM('[2]ведомствен.2015-2016'!G33)</f>
        <v>666.5</v>
      </c>
      <c r="K76" s="453">
        <f>SUM('[2]ведомствен.2015-2016'!H33)</f>
        <v>666.5</v>
      </c>
      <c r="L76" s="453">
        <f t="shared" si="1"/>
        <v>0</v>
      </c>
      <c r="M76" s="452">
        <v>666.5</v>
      </c>
    </row>
    <row r="77" spans="1:13" ht="14.25">
      <c r="A77" s="161" t="s">
        <v>501</v>
      </c>
      <c r="B77" s="459"/>
      <c r="C77" s="460" t="s">
        <v>460</v>
      </c>
      <c r="D77" s="461" t="s">
        <v>236</v>
      </c>
      <c r="E77" s="461" t="s">
        <v>504</v>
      </c>
      <c r="F77" s="462" t="s">
        <v>176</v>
      </c>
      <c r="G77" s="463">
        <v>2649.1</v>
      </c>
      <c r="H77" s="452">
        <f>SUM(H80+H79)</f>
        <v>836.4</v>
      </c>
      <c r="I77" s="452">
        <f t="shared" si="0"/>
        <v>31.572987052206408</v>
      </c>
      <c r="J77" s="453">
        <f>SUM('[2]ведомствен.2015-2016'!G34+'[2]ведомствен.2015-2016'!G53+'[2]ведомствен.2015-2016'!G90+'[2]ведомствен.2015-2016'!G300)</f>
        <v>2649.1</v>
      </c>
      <c r="K77" s="453">
        <f>SUM('[2]ведомствен.2015-2016'!H34+'[2]ведомствен.2015-2016'!H53+'[2]ведомствен.2015-2016'!H90+'[2]ведомствен.2015-2016'!H300)</f>
        <v>2649.1</v>
      </c>
      <c r="L77" s="453">
        <f t="shared" si="1"/>
        <v>0</v>
      </c>
      <c r="M77" s="463">
        <v>2649.1</v>
      </c>
    </row>
    <row r="78" spans="1:13" ht="28.5">
      <c r="A78" s="161" t="s">
        <v>599</v>
      </c>
      <c r="B78" s="459"/>
      <c r="C78" s="460" t="s">
        <v>460</v>
      </c>
      <c r="D78" s="461" t="s">
        <v>236</v>
      </c>
      <c r="E78" s="461" t="s">
        <v>136</v>
      </c>
      <c r="F78" s="462"/>
      <c r="G78" s="463">
        <f>G79</f>
        <v>2278.4</v>
      </c>
      <c r="H78" s="452">
        <f>SUM(H79)</f>
        <v>0</v>
      </c>
      <c r="I78" s="452">
        <f t="shared" si="0"/>
        <v>0</v>
      </c>
      <c r="J78" s="453"/>
      <c r="K78" s="453"/>
      <c r="L78" s="453"/>
      <c r="M78" s="463">
        <f>M79</f>
        <v>2278.4</v>
      </c>
    </row>
    <row r="79" spans="1:13" ht="28.5">
      <c r="A79" s="113" t="s">
        <v>15</v>
      </c>
      <c r="B79" s="459"/>
      <c r="C79" s="460" t="s">
        <v>460</v>
      </c>
      <c r="D79" s="461" t="s">
        <v>236</v>
      </c>
      <c r="E79" s="461" t="s">
        <v>204</v>
      </c>
      <c r="F79" s="462"/>
      <c r="G79" s="463">
        <f>G80+G82</f>
        <v>2278.4</v>
      </c>
      <c r="H79" s="452"/>
      <c r="I79" s="452">
        <f t="shared" si="0"/>
        <v>0</v>
      </c>
      <c r="J79" s="453"/>
      <c r="K79" s="453"/>
      <c r="L79" s="453"/>
      <c r="M79" s="463">
        <f>M80+M82</f>
        <v>2278.4</v>
      </c>
    </row>
    <row r="80" spans="1:13" ht="28.5">
      <c r="A80" s="161" t="s">
        <v>633</v>
      </c>
      <c r="B80" s="459"/>
      <c r="C80" s="460" t="s">
        <v>460</v>
      </c>
      <c r="D80" s="461" t="s">
        <v>236</v>
      </c>
      <c r="E80" s="461" t="s">
        <v>206</v>
      </c>
      <c r="F80" s="462"/>
      <c r="G80" s="463">
        <f>SUM(G81)</f>
        <v>2192.8</v>
      </c>
      <c r="H80" s="452">
        <f>SUM(H81)</f>
        <v>836.4</v>
      </c>
      <c r="I80" s="452">
        <f aca="true" t="shared" si="2" ref="I80:I155">SUM(H80/G80*100)</f>
        <v>38.143013498723086</v>
      </c>
      <c r="J80" s="453"/>
      <c r="K80" s="453"/>
      <c r="L80" s="453"/>
      <c r="M80" s="463">
        <f>SUM(M81)</f>
        <v>2192.8</v>
      </c>
    </row>
    <row r="81" spans="1:13" ht="28.5">
      <c r="A81" s="161" t="s">
        <v>524</v>
      </c>
      <c r="B81" s="459"/>
      <c r="C81" s="460" t="s">
        <v>460</v>
      </c>
      <c r="D81" s="461" t="s">
        <v>236</v>
      </c>
      <c r="E81" s="461" t="s">
        <v>206</v>
      </c>
      <c r="F81" s="462" t="s">
        <v>513</v>
      </c>
      <c r="G81" s="463">
        <v>2192.8</v>
      </c>
      <c r="H81" s="452">
        <v>836.4</v>
      </c>
      <c r="I81" s="452">
        <f t="shared" si="2"/>
        <v>38.143013498723086</v>
      </c>
      <c r="J81" s="453">
        <f>SUM('[2]ведомствен.2015-2016'!G94)</f>
        <v>2192.8</v>
      </c>
      <c r="K81" s="453">
        <f>SUM('[2]ведомствен.2015-2016'!H94)</f>
        <v>2192.8</v>
      </c>
      <c r="L81" s="453">
        <f t="shared" si="1"/>
        <v>0</v>
      </c>
      <c r="M81" s="463">
        <v>2192.8</v>
      </c>
    </row>
    <row r="82" spans="1:13" ht="28.5">
      <c r="A82" s="447" t="s">
        <v>157</v>
      </c>
      <c r="B82" s="459"/>
      <c r="C82" s="460" t="s">
        <v>460</v>
      </c>
      <c r="D82" s="461" t="s">
        <v>236</v>
      </c>
      <c r="E82" s="461" t="s">
        <v>415</v>
      </c>
      <c r="F82" s="462"/>
      <c r="G82" s="463">
        <f>SUM(G83)</f>
        <v>85.6</v>
      </c>
      <c r="H82" s="452">
        <f>SUM(H84)</f>
        <v>536.9</v>
      </c>
      <c r="I82" s="452">
        <f t="shared" si="2"/>
        <v>627.2196261682243</v>
      </c>
      <c r="J82" s="453"/>
      <c r="K82" s="453"/>
      <c r="L82" s="453"/>
      <c r="M82" s="463">
        <f>SUM(M83)</f>
        <v>85.6</v>
      </c>
    </row>
    <row r="83" spans="1:13" ht="28.5">
      <c r="A83" s="161" t="s">
        <v>144</v>
      </c>
      <c r="B83" s="459"/>
      <c r="C83" s="460" t="s">
        <v>460</v>
      </c>
      <c r="D83" s="461" t="s">
        <v>236</v>
      </c>
      <c r="E83" s="461" t="s">
        <v>416</v>
      </c>
      <c r="F83" s="462"/>
      <c r="G83" s="463">
        <f>SUM(G84)</f>
        <v>85.6</v>
      </c>
      <c r="H83" s="452">
        <f>SUM(H84)</f>
        <v>536.9</v>
      </c>
      <c r="I83" s="452">
        <f t="shared" si="2"/>
        <v>627.2196261682243</v>
      </c>
      <c r="J83" s="453"/>
      <c r="K83" s="453"/>
      <c r="L83" s="453"/>
      <c r="M83" s="463">
        <f>SUM(M84)</f>
        <v>85.6</v>
      </c>
    </row>
    <row r="84" spans="1:13" ht="28.5">
      <c r="A84" s="161" t="s">
        <v>524</v>
      </c>
      <c r="B84" s="459"/>
      <c r="C84" s="460" t="s">
        <v>460</v>
      </c>
      <c r="D84" s="461" t="s">
        <v>236</v>
      </c>
      <c r="E84" s="461" t="s">
        <v>416</v>
      </c>
      <c r="F84" s="462" t="s">
        <v>513</v>
      </c>
      <c r="G84" s="463">
        <v>85.6</v>
      </c>
      <c r="H84" s="452">
        <f>423.2+113.7</f>
        <v>536.9</v>
      </c>
      <c r="I84" s="452">
        <f t="shared" si="2"/>
        <v>627.2196261682243</v>
      </c>
      <c r="J84" s="453">
        <f>SUM('[2]ведомствен.2015-2016'!G97)</f>
        <v>85.6</v>
      </c>
      <c r="K84" s="453">
        <f>SUM('[2]ведомствен.2015-2016'!H97)</f>
        <v>85.6</v>
      </c>
      <c r="L84" s="453">
        <f t="shared" si="1"/>
        <v>0</v>
      </c>
      <c r="M84" s="463">
        <v>85.6</v>
      </c>
    </row>
    <row r="85" spans="1:13" ht="30">
      <c r="A85" s="468" t="s">
        <v>139</v>
      </c>
      <c r="B85" s="469"/>
      <c r="C85" s="470" t="s">
        <v>106</v>
      </c>
      <c r="D85" s="471"/>
      <c r="E85" s="471"/>
      <c r="F85" s="472"/>
      <c r="G85" s="473">
        <f>SUM(G86+G92)</f>
        <v>18288.7</v>
      </c>
      <c r="H85" s="452">
        <f>SUM(H86)</f>
        <v>917.7</v>
      </c>
      <c r="I85" s="452">
        <f t="shared" si="2"/>
        <v>5.017852553762706</v>
      </c>
      <c r="J85" s="453"/>
      <c r="K85" s="453"/>
      <c r="L85" s="453"/>
      <c r="M85" s="473">
        <f>SUM(M86+M92)</f>
        <v>18288.7</v>
      </c>
    </row>
    <row r="86" spans="1:13" ht="14.25">
      <c r="A86" s="474" t="s">
        <v>59</v>
      </c>
      <c r="B86" s="459"/>
      <c r="C86" s="460" t="s">
        <v>106</v>
      </c>
      <c r="D86" s="461" t="s">
        <v>122</v>
      </c>
      <c r="E86" s="461"/>
      <c r="F86" s="462"/>
      <c r="G86" s="463">
        <f>SUM(G88)</f>
        <v>4966.7</v>
      </c>
      <c r="H86" s="452">
        <f>SUM(H87)</f>
        <v>917.7</v>
      </c>
      <c r="I86" s="452">
        <f t="shared" si="2"/>
        <v>18.477057200958384</v>
      </c>
      <c r="J86" s="453"/>
      <c r="K86" s="453"/>
      <c r="L86" s="453"/>
      <c r="M86" s="463">
        <f>SUM(M88)</f>
        <v>4966.7</v>
      </c>
    </row>
    <row r="87" spans="1:13" ht="14.25">
      <c r="A87" s="161" t="s">
        <v>410</v>
      </c>
      <c r="B87" s="459"/>
      <c r="C87" s="460" t="s">
        <v>106</v>
      </c>
      <c r="D87" s="461" t="s">
        <v>122</v>
      </c>
      <c r="E87" s="461" t="s">
        <v>411</v>
      </c>
      <c r="F87" s="462"/>
      <c r="G87" s="463">
        <f>SUM(G88)</f>
        <v>4966.7</v>
      </c>
      <c r="H87" s="452">
        <v>917.7</v>
      </c>
      <c r="I87" s="452">
        <f t="shared" si="2"/>
        <v>18.477057200958384</v>
      </c>
      <c r="J87" s="453"/>
      <c r="K87" s="453"/>
      <c r="L87" s="453"/>
      <c r="M87" s="463">
        <f>SUM(M88)</f>
        <v>4966.7</v>
      </c>
    </row>
    <row r="88" spans="1:13" ht="28.5">
      <c r="A88" s="161" t="s">
        <v>616</v>
      </c>
      <c r="B88" s="459"/>
      <c r="C88" s="460" t="s">
        <v>106</v>
      </c>
      <c r="D88" s="461" t="s">
        <v>122</v>
      </c>
      <c r="E88" s="461" t="s">
        <v>1042</v>
      </c>
      <c r="F88" s="462"/>
      <c r="G88" s="463">
        <f>G89+G90+G91</f>
        <v>4966.7</v>
      </c>
      <c r="H88" s="455">
        <f>SUM(H89)</f>
        <v>0</v>
      </c>
      <c r="I88" s="452"/>
      <c r="J88" s="453"/>
      <c r="K88" s="453"/>
      <c r="L88" s="453"/>
      <c r="M88" s="463">
        <f>M89+M90+M91</f>
        <v>4966.7</v>
      </c>
    </row>
    <row r="89" spans="1:13" ht="42.75">
      <c r="A89" s="161" t="s">
        <v>495</v>
      </c>
      <c r="B89" s="459"/>
      <c r="C89" s="460" t="s">
        <v>106</v>
      </c>
      <c r="D89" s="461" t="s">
        <v>122</v>
      </c>
      <c r="E89" s="461" t="s">
        <v>1042</v>
      </c>
      <c r="F89" s="462" t="s">
        <v>496</v>
      </c>
      <c r="G89" s="463">
        <v>3843.6</v>
      </c>
      <c r="H89" s="455"/>
      <c r="I89" s="452"/>
      <c r="J89" s="453">
        <f>SUM('[2]ведомствен.2015-2016'!G102)</f>
        <v>3843.6</v>
      </c>
      <c r="K89" s="453">
        <f>SUM('[2]ведомствен.2015-2016'!H102)</f>
        <v>3843.6</v>
      </c>
      <c r="L89" s="453">
        <f t="shared" si="1"/>
        <v>0</v>
      </c>
      <c r="M89" s="463">
        <v>3843.6</v>
      </c>
    </row>
    <row r="90" spans="1:13" ht="14.25">
      <c r="A90" s="161" t="s">
        <v>500</v>
      </c>
      <c r="B90" s="459"/>
      <c r="C90" s="460" t="s">
        <v>106</v>
      </c>
      <c r="D90" s="461" t="s">
        <v>122</v>
      </c>
      <c r="E90" s="461" t="s">
        <v>1042</v>
      </c>
      <c r="F90" s="462" t="s">
        <v>120</v>
      </c>
      <c r="G90" s="463">
        <v>1025.1</v>
      </c>
      <c r="H90" s="455">
        <f>SUM(H91)</f>
        <v>0</v>
      </c>
      <c r="I90" s="452"/>
      <c r="J90" s="453">
        <f>SUM('[2]ведомствен.2015-2016'!G103)</f>
        <v>1025.1</v>
      </c>
      <c r="K90" s="453">
        <f>SUM('[2]ведомствен.2015-2016'!H103)</f>
        <v>1025.1</v>
      </c>
      <c r="L90" s="453">
        <f t="shared" si="1"/>
        <v>0</v>
      </c>
      <c r="M90" s="463">
        <v>1025.1</v>
      </c>
    </row>
    <row r="91" spans="1:13" ht="14.25">
      <c r="A91" s="161" t="s">
        <v>501</v>
      </c>
      <c r="B91" s="459"/>
      <c r="C91" s="460" t="s">
        <v>106</v>
      </c>
      <c r="D91" s="461" t="s">
        <v>122</v>
      </c>
      <c r="E91" s="461" t="s">
        <v>1042</v>
      </c>
      <c r="F91" s="462" t="s">
        <v>176</v>
      </c>
      <c r="G91" s="463">
        <v>98</v>
      </c>
      <c r="H91" s="455"/>
      <c r="I91" s="452"/>
      <c r="J91" s="453">
        <f>SUM('[2]ведомствен.2015-2016'!G104)</f>
        <v>98</v>
      </c>
      <c r="K91" s="453">
        <f>SUM('[2]ведомствен.2015-2016'!H104)</f>
        <v>98</v>
      </c>
      <c r="L91" s="453">
        <f t="shared" si="1"/>
        <v>0</v>
      </c>
      <c r="M91" s="463">
        <v>98</v>
      </c>
    </row>
    <row r="92" spans="1:13" ht="42.75">
      <c r="A92" s="475" t="s">
        <v>299</v>
      </c>
      <c r="B92" s="476"/>
      <c r="C92" s="477" t="s">
        <v>106</v>
      </c>
      <c r="D92" s="478" t="s">
        <v>300</v>
      </c>
      <c r="E92" s="478"/>
      <c r="F92" s="479"/>
      <c r="G92" s="480">
        <f>G103+G108+G93+G113</f>
        <v>13322</v>
      </c>
      <c r="H92" s="452">
        <f>SUM(H93)</f>
        <v>1069.4</v>
      </c>
      <c r="I92" s="452">
        <f t="shared" si="2"/>
        <v>8.02732322474103</v>
      </c>
      <c r="J92" s="453"/>
      <c r="K92" s="453"/>
      <c r="L92" s="453"/>
      <c r="M92" s="480">
        <f>M103+M108+M93+M113</f>
        <v>13322</v>
      </c>
    </row>
    <row r="93" spans="1:13" ht="42.75">
      <c r="A93" s="161" t="s">
        <v>600</v>
      </c>
      <c r="B93" s="459"/>
      <c r="C93" s="460" t="s">
        <v>106</v>
      </c>
      <c r="D93" s="461" t="s">
        <v>300</v>
      </c>
      <c r="E93" s="461" t="s">
        <v>528</v>
      </c>
      <c r="F93" s="462"/>
      <c r="G93" s="463">
        <f>SUM(G94)</f>
        <v>11322</v>
      </c>
      <c r="H93" s="452">
        <f>SUM(H94)</f>
        <v>1069.4</v>
      </c>
      <c r="I93" s="452">
        <f t="shared" si="2"/>
        <v>9.445327680621798</v>
      </c>
      <c r="J93" s="453"/>
      <c r="K93" s="453"/>
      <c r="L93" s="453"/>
      <c r="M93" s="463">
        <f>SUM(M94)</f>
        <v>11322</v>
      </c>
    </row>
    <row r="94" spans="1:13" ht="28.5">
      <c r="A94" s="161" t="s">
        <v>56</v>
      </c>
      <c r="B94" s="459"/>
      <c r="C94" s="460" t="s">
        <v>106</v>
      </c>
      <c r="D94" s="461" t="s">
        <v>300</v>
      </c>
      <c r="E94" s="461" t="s">
        <v>529</v>
      </c>
      <c r="F94" s="462"/>
      <c r="G94" s="463">
        <f>G95+G99+G102</f>
        <v>11322</v>
      </c>
      <c r="H94" s="452">
        <v>1069.4</v>
      </c>
      <c r="I94" s="452">
        <f t="shared" si="2"/>
        <v>9.445327680621798</v>
      </c>
      <c r="J94" s="453"/>
      <c r="K94" s="453"/>
      <c r="L94" s="453"/>
      <c r="M94" s="463">
        <f>M95+M99+M102</f>
        <v>11322</v>
      </c>
    </row>
    <row r="95" spans="1:13" ht="42.75">
      <c r="A95" s="161" t="s">
        <v>495</v>
      </c>
      <c r="B95" s="459"/>
      <c r="C95" s="460" t="s">
        <v>106</v>
      </c>
      <c r="D95" s="461" t="s">
        <v>300</v>
      </c>
      <c r="E95" s="461" t="s">
        <v>529</v>
      </c>
      <c r="F95" s="462" t="s">
        <v>496</v>
      </c>
      <c r="G95" s="463">
        <v>9858.5</v>
      </c>
      <c r="H95" s="452">
        <f>SUM(H97)</f>
        <v>0</v>
      </c>
      <c r="I95" s="452">
        <f t="shared" si="2"/>
        <v>0</v>
      </c>
      <c r="J95" s="453">
        <f>SUM('[2]ведомствен.2015-2016'!G108)</f>
        <v>9858.5</v>
      </c>
      <c r="K95" s="453">
        <f>SUM('[2]ведомствен.2015-2016'!H108)</f>
        <v>9858.5</v>
      </c>
      <c r="L95" s="453">
        <f t="shared" si="1"/>
        <v>0</v>
      </c>
      <c r="M95" s="463">
        <v>9858.5</v>
      </c>
    </row>
    <row r="96" spans="1:13" ht="14.25" hidden="1">
      <c r="A96" s="161" t="s">
        <v>530</v>
      </c>
      <c r="B96" s="459"/>
      <c r="C96" s="460" t="s">
        <v>106</v>
      </c>
      <c r="D96" s="461" t="s">
        <v>300</v>
      </c>
      <c r="E96" s="461" t="s">
        <v>529</v>
      </c>
      <c r="F96" s="462" t="s">
        <v>531</v>
      </c>
      <c r="G96" s="463"/>
      <c r="H96" s="452">
        <f>SUM(H97)</f>
        <v>0</v>
      </c>
      <c r="I96" s="452" t="e">
        <f t="shared" si="2"/>
        <v>#DIV/0!</v>
      </c>
      <c r="J96" s="453"/>
      <c r="K96" s="453"/>
      <c r="L96" s="453">
        <f t="shared" si="1"/>
        <v>0</v>
      </c>
      <c r="M96" s="463"/>
    </row>
    <row r="97" spans="1:13" ht="28.5" hidden="1">
      <c r="A97" s="161" t="s">
        <v>532</v>
      </c>
      <c r="B97" s="481"/>
      <c r="C97" s="460" t="s">
        <v>106</v>
      </c>
      <c r="D97" s="461" t="s">
        <v>300</v>
      </c>
      <c r="E97" s="461" t="s">
        <v>529</v>
      </c>
      <c r="F97" s="462" t="s">
        <v>533</v>
      </c>
      <c r="G97" s="463"/>
      <c r="H97" s="452"/>
      <c r="I97" s="452" t="e">
        <f t="shared" si="2"/>
        <v>#DIV/0!</v>
      </c>
      <c r="J97" s="453"/>
      <c r="K97" s="453"/>
      <c r="L97" s="453">
        <f t="shared" si="1"/>
        <v>0</v>
      </c>
      <c r="M97" s="463"/>
    </row>
    <row r="98" spans="1:13" ht="28.5" hidden="1">
      <c r="A98" s="161" t="s">
        <v>534</v>
      </c>
      <c r="B98" s="481"/>
      <c r="C98" s="460" t="s">
        <v>106</v>
      </c>
      <c r="D98" s="461" t="s">
        <v>300</v>
      </c>
      <c r="E98" s="461" t="s">
        <v>529</v>
      </c>
      <c r="F98" s="462" t="s">
        <v>535</v>
      </c>
      <c r="G98" s="463"/>
      <c r="H98" s="452">
        <f>SUM(H101)</f>
        <v>1317.4</v>
      </c>
      <c r="I98" s="452" t="e">
        <f t="shared" si="2"/>
        <v>#DIV/0!</v>
      </c>
      <c r="J98" s="453"/>
      <c r="K98" s="453"/>
      <c r="L98" s="453">
        <f t="shared" si="1"/>
        <v>0</v>
      </c>
      <c r="M98" s="463"/>
    </row>
    <row r="99" spans="1:13" ht="15">
      <c r="A99" s="161" t="s">
        <v>500</v>
      </c>
      <c r="B99" s="481"/>
      <c r="C99" s="460" t="s">
        <v>106</v>
      </c>
      <c r="D99" s="461" t="s">
        <v>300</v>
      </c>
      <c r="E99" s="461" t="s">
        <v>529</v>
      </c>
      <c r="F99" s="462" t="s">
        <v>120</v>
      </c>
      <c r="G99" s="463">
        <v>1358.1</v>
      </c>
      <c r="H99" s="452"/>
      <c r="I99" s="452"/>
      <c r="J99" s="453">
        <f>SUM('[2]ведомствен.2015-2016'!G112)</f>
        <v>1358.1</v>
      </c>
      <c r="K99" s="453">
        <f>SUM('[2]ведомствен.2015-2016'!H112)</f>
        <v>1358.1</v>
      </c>
      <c r="L99" s="453">
        <f t="shared" si="1"/>
        <v>0</v>
      </c>
      <c r="M99" s="463">
        <v>1358.1</v>
      </c>
    </row>
    <row r="100" spans="1:13" ht="28.5" hidden="1">
      <c r="A100" s="161" t="s">
        <v>518</v>
      </c>
      <c r="B100" s="481"/>
      <c r="C100" s="460" t="s">
        <v>106</v>
      </c>
      <c r="D100" s="461" t="s">
        <v>300</v>
      </c>
      <c r="E100" s="461" t="s">
        <v>529</v>
      </c>
      <c r="F100" s="462" t="s">
        <v>519</v>
      </c>
      <c r="G100" s="463"/>
      <c r="H100" s="452"/>
      <c r="I100" s="452"/>
      <c r="J100" s="453"/>
      <c r="K100" s="453"/>
      <c r="L100" s="453">
        <f t="shared" si="1"/>
        <v>0</v>
      </c>
      <c r="M100" s="463"/>
    </row>
    <row r="101" spans="1:13" ht="28.5" hidden="1">
      <c r="A101" s="161" t="s">
        <v>520</v>
      </c>
      <c r="B101" s="459"/>
      <c r="C101" s="460" t="s">
        <v>106</v>
      </c>
      <c r="D101" s="461" t="s">
        <v>300</v>
      </c>
      <c r="E101" s="461" t="s">
        <v>529</v>
      </c>
      <c r="F101" s="462" t="s">
        <v>521</v>
      </c>
      <c r="G101" s="463"/>
      <c r="H101" s="452">
        <f>SUM(H105)</f>
        <v>1317.4</v>
      </c>
      <c r="I101" s="452" t="e">
        <f t="shared" si="2"/>
        <v>#DIV/0!</v>
      </c>
      <c r="J101" s="453"/>
      <c r="K101" s="453"/>
      <c r="L101" s="453">
        <f t="shared" si="1"/>
        <v>0</v>
      </c>
      <c r="M101" s="463"/>
    </row>
    <row r="102" spans="1:13" ht="14.25">
      <c r="A102" s="161" t="s">
        <v>501</v>
      </c>
      <c r="B102" s="459"/>
      <c r="C102" s="460" t="s">
        <v>106</v>
      </c>
      <c r="D102" s="461" t="s">
        <v>300</v>
      </c>
      <c r="E102" s="461" t="s">
        <v>529</v>
      </c>
      <c r="F102" s="462" t="s">
        <v>176</v>
      </c>
      <c r="G102" s="463">
        <v>105.4</v>
      </c>
      <c r="H102" s="452">
        <v>41.9</v>
      </c>
      <c r="I102" s="452">
        <f>SUM(H102/G102*100)</f>
        <v>39.75332068311195</v>
      </c>
      <c r="J102" s="453">
        <f>SUM('[2]ведомствен.2015-2016'!G115)</f>
        <v>105.4</v>
      </c>
      <c r="K102" s="453">
        <f>SUM('[2]ведомствен.2015-2016'!H115)</f>
        <v>105.4</v>
      </c>
      <c r="L102" s="453">
        <f t="shared" si="1"/>
        <v>0</v>
      </c>
      <c r="M102" s="463">
        <v>105.4</v>
      </c>
    </row>
    <row r="103" spans="1:13" ht="27.75" customHeight="1">
      <c r="A103" s="161" t="s">
        <v>601</v>
      </c>
      <c r="B103" s="459"/>
      <c r="C103" s="460" t="s">
        <v>106</v>
      </c>
      <c r="D103" s="461" t="s">
        <v>300</v>
      </c>
      <c r="E103" s="461" t="s">
        <v>536</v>
      </c>
      <c r="F103" s="462"/>
      <c r="G103" s="463">
        <f>SUM(G105+G107)</f>
        <v>2000</v>
      </c>
      <c r="H103" s="452">
        <v>1317.4</v>
      </c>
      <c r="I103" s="452">
        <f>SUM(H103/G103*100)</f>
        <v>65.87</v>
      </c>
      <c r="J103" s="453"/>
      <c r="K103" s="453"/>
      <c r="L103" s="453"/>
      <c r="M103" s="463">
        <f>SUM(M105+M107)</f>
        <v>2000</v>
      </c>
    </row>
    <row r="104" spans="1:13" ht="27" customHeight="1" hidden="1">
      <c r="A104" s="161" t="s">
        <v>602</v>
      </c>
      <c r="B104" s="459"/>
      <c r="C104" s="460" t="s">
        <v>106</v>
      </c>
      <c r="D104" s="461" t="s">
        <v>300</v>
      </c>
      <c r="E104" s="461" t="s">
        <v>537</v>
      </c>
      <c r="F104" s="462"/>
      <c r="G104" s="463">
        <f>SUM(G105)</f>
        <v>0</v>
      </c>
      <c r="H104" s="452"/>
      <c r="I104" s="452"/>
      <c r="J104" s="453"/>
      <c r="K104" s="453"/>
      <c r="L104" s="453"/>
      <c r="M104" s="463">
        <f>SUM(M105)</f>
        <v>0</v>
      </c>
    </row>
    <row r="105" spans="1:13" ht="14.25" hidden="1">
      <c r="A105" s="161" t="s">
        <v>500</v>
      </c>
      <c r="B105" s="459"/>
      <c r="C105" s="460" t="s">
        <v>106</v>
      </c>
      <c r="D105" s="461" t="s">
        <v>300</v>
      </c>
      <c r="E105" s="461" t="s">
        <v>537</v>
      </c>
      <c r="F105" s="462" t="s">
        <v>120</v>
      </c>
      <c r="G105" s="463"/>
      <c r="H105" s="452">
        <v>1317.4</v>
      </c>
      <c r="I105" s="452" t="e">
        <f t="shared" si="2"/>
        <v>#DIV/0!</v>
      </c>
      <c r="J105" s="453">
        <f>SUM('[2]ведомствен.2015-2016'!G118)</f>
        <v>0</v>
      </c>
      <c r="K105" s="453">
        <f>SUM('[2]ведомствен.2015-2016'!H118)</f>
        <v>0</v>
      </c>
      <c r="L105" s="453"/>
      <c r="M105" s="463"/>
    </row>
    <row r="106" spans="1:13" ht="28.5">
      <c r="A106" s="161" t="s">
        <v>0</v>
      </c>
      <c r="B106" s="459"/>
      <c r="C106" s="460" t="s">
        <v>106</v>
      </c>
      <c r="D106" s="461" t="s">
        <v>300</v>
      </c>
      <c r="E106" s="461" t="s">
        <v>538</v>
      </c>
      <c r="F106" s="462"/>
      <c r="G106" s="463">
        <f>SUM(G107)</f>
        <v>2000</v>
      </c>
      <c r="H106" s="452"/>
      <c r="I106" s="452"/>
      <c r="J106" s="453"/>
      <c r="K106" s="453"/>
      <c r="L106" s="453"/>
      <c r="M106" s="463">
        <f>SUM(M107)</f>
        <v>2000</v>
      </c>
    </row>
    <row r="107" spans="1:13" ht="14.25">
      <c r="A107" s="161" t="s">
        <v>500</v>
      </c>
      <c r="B107" s="459"/>
      <c r="C107" s="460" t="s">
        <v>106</v>
      </c>
      <c r="D107" s="461" t="s">
        <v>300</v>
      </c>
      <c r="E107" s="461" t="s">
        <v>538</v>
      </c>
      <c r="F107" s="462" t="s">
        <v>120</v>
      </c>
      <c r="G107" s="463">
        <v>2000</v>
      </c>
      <c r="H107" s="452"/>
      <c r="I107" s="452"/>
      <c r="J107" s="453">
        <f>SUM('[2]ведомствен.2015-2016'!G120)</f>
        <v>2000</v>
      </c>
      <c r="K107" s="453">
        <f>SUM('[2]ведомствен.2015-2016'!H120)</f>
        <v>2000</v>
      </c>
      <c r="L107" s="453">
        <f aca="true" t="shared" si="3" ref="L107:L152">SUM(G107-J107)</f>
        <v>0</v>
      </c>
      <c r="M107" s="463">
        <v>2000</v>
      </c>
    </row>
    <row r="108" spans="1:13" ht="14.25" hidden="1">
      <c r="A108" s="161" t="s">
        <v>1</v>
      </c>
      <c r="B108" s="482"/>
      <c r="C108" s="483" t="s">
        <v>106</v>
      </c>
      <c r="D108" s="484" t="s">
        <v>300</v>
      </c>
      <c r="E108" s="484" t="s">
        <v>539</v>
      </c>
      <c r="F108" s="485"/>
      <c r="G108" s="463"/>
      <c r="H108" s="452"/>
      <c r="I108" s="452"/>
      <c r="J108" s="453"/>
      <c r="K108" s="453"/>
      <c r="L108" s="453">
        <f t="shared" si="3"/>
        <v>0</v>
      </c>
      <c r="M108" s="463"/>
    </row>
    <row r="109" spans="1:13" ht="28.5" hidden="1">
      <c r="A109" s="161" t="s">
        <v>2</v>
      </c>
      <c r="B109" s="482"/>
      <c r="C109" s="486" t="s">
        <v>106</v>
      </c>
      <c r="D109" s="487" t="s">
        <v>300</v>
      </c>
      <c r="E109" s="487" t="s">
        <v>540</v>
      </c>
      <c r="F109" s="488"/>
      <c r="G109" s="463"/>
      <c r="H109" s="452"/>
      <c r="I109" s="452"/>
      <c r="J109" s="453"/>
      <c r="K109" s="453"/>
      <c r="L109" s="453">
        <f t="shared" si="3"/>
        <v>0</v>
      </c>
      <c r="M109" s="463"/>
    </row>
    <row r="110" spans="1:13" ht="14.25" hidden="1">
      <c r="A110" s="161" t="s">
        <v>500</v>
      </c>
      <c r="B110" s="482"/>
      <c r="C110" s="486" t="s">
        <v>106</v>
      </c>
      <c r="D110" s="487" t="s">
        <v>300</v>
      </c>
      <c r="E110" s="487" t="s">
        <v>540</v>
      </c>
      <c r="F110" s="488" t="s">
        <v>120</v>
      </c>
      <c r="G110" s="463"/>
      <c r="H110" s="452"/>
      <c r="I110" s="452"/>
      <c r="J110" s="453">
        <f>SUM('[2]ведомствен.2015-2016'!G123)</f>
        <v>0</v>
      </c>
      <c r="K110" s="453">
        <f>SUM('[2]ведомствен.2015-2016'!H123)</f>
        <v>0</v>
      </c>
      <c r="L110" s="453">
        <f t="shared" si="3"/>
        <v>0</v>
      </c>
      <c r="M110" s="463"/>
    </row>
    <row r="111" spans="1:13" ht="28.5" hidden="1">
      <c r="A111" s="161" t="s">
        <v>518</v>
      </c>
      <c r="B111" s="482"/>
      <c r="C111" s="486" t="s">
        <v>106</v>
      </c>
      <c r="D111" s="487" t="s">
        <v>300</v>
      </c>
      <c r="E111" s="487" t="s">
        <v>540</v>
      </c>
      <c r="F111" s="488" t="s">
        <v>519</v>
      </c>
      <c r="G111" s="463"/>
      <c r="H111" s="452"/>
      <c r="I111" s="452"/>
      <c r="J111" s="453"/>
      <c r="K111" s="453"/>
      <c r="L111" s="453">
        <f t="shared" si="3"/>
        <v>0</v>
      </c>
      <c r="M111" s="463"/>
    </row>
    <row r="112" spans="1:13" ht="28.5" hidden="1">
      <c r="A112" s="161" t="s">
        <v>520</v>
      </c>
      <c r="B112" s="482"/>
      <c r="C112" s="486" t="s">
        <v>106</v>
      </c>
      <c r="D112" s="487" t="s">
        <v>300</v>
      </c>
      <c r="E112" s="487" t="s">
        <v>540</v>
      </c>
      <c r="F112" s="488" t="s">
        <v>521</v>
      </c>
      <c r="G112" s="463"/>
      <c r="H112" s="452"/>
      <c r="I112" s="452"/>
      <c r="J112" s="453"/>
      <c r="K112" s="453"/>
      <c r="L112" s="453">
        <f t="shared" si="3"/>
        <v>0</v>
      </c>
      <c r="M112" s="463"/>
    </row>
    <row r="113" spans="1:13" ht="14.25" hidden="1">
      <c r="A113" s="456" t="s">
        <v>551</v>
      </c>
      <c r="B113" s="482"/>
      <c r="C113" s="489" t="s">
        <v>106</v>
      </c>
      <c r="D113" s="490" t="s">
        <v>300</v>
      </c>
      <c r="E113" s="458" t="s">
        <v>129</v>
      </c>
      <c r="F113" s="491"/>
      <c r="G113" s="492">
        <f>SUM(G114)</f>
        <v>0</v>
      </c>
      <c r="H113" s="452"/>
      <c r="I113" s="452"/>
      <c r="J113" s="453"/>
      <c r="K113" s="453"/>
      <c r="L113" s="453">
        <f t="shared" si="3"/>
        <v>0</v>
      </c>
      <c r="M113" s="492">
        <f>SUM(M114)</f>
        <v>0</v>
      </c>
    </row>
    <row r="114" spans="1:13" ht="14.25" hidden="1">
      <c r="A114" s="161" t="s">
        <v>1043</v>
      </c>
      <c r="B114" s="448"/>
      <c r="C114" s="489" t="s">
        <v>106</v>
      </c>
      <c r="D114" s="490" t="s">
        <v>300</v>
      </c>
      <c r="E114" s="458" t="s">
        <v>138</v>
      </c>
      <c r="F114" s="454"/>
      <c r="G114" s="452">
        <f>SUM(G115)</f>
        <v>0</v>
      </c>
      <c r="H114" s="452">
        <f>SUM(H115)</f>
        <v>0</v>
      </c>
      <c r="I114" s="452" t="e">
        <f t="shared" si="2"/>
        <v>#DIV/0!</v>
      </c>
      <c r="J114" s="453"/>
      <c r="K114" s="453"/>
      <c r="L114" s="453">
        <f t="shared" si="3"/>
        <v>0</v>
      </c>
      <c r="M114" s="452">
        <f>SUM(M115)</f>
        <v>0</v>
      </c>
    </row>
    <row r="115" spans="1:13" ht="14.25" hidden="1">
      <c r="A115" s="161" t="s">
        <v>500</v>
      </c>
      <c r="B115" s="448"/>
      <c r="C115" s="489" t="s">
        <v>106</v>
      </c>
      <c r="D115" s="490" t="s">
        <v>300</v>
      </c>
      <c r="E115" s="458" t="s">
        <v>138</v>
      </c>
      <c r="F115" s="454" t="s">
        <v>120</v>
      </c>
      <c r="G115" s="452"/>
      <c r="H115" s="452">
        <f>SUM(H116+H117)</f>
        <v>0</v>
      </c>
      <c r="I115" s="452" t="e">
        <f t="shared" si="2"/>
        <v>#DIV/0!</v>
      </c>
      <c r="J115" s="453">
        <f>SUM('[2]ведомствен.2015-2016'!G128)</f>
        <v>0</v>
      </c>
      <c r="K115" s="453">
        <f>SUM('[2]ведомствен.2015-2016'!H128)</f>
        <v>0</v>
      </c>
      <c r="L115" s="453">
        <f t="shared" si="3"/>
        <v>0</v>
      </c>
      <c r="M115" s="452"/>
    </row>
    <row r="116" spans="1:13" ht="15">
      <c r="A116" s="468" t="s">
        <v>121</v>
      </c>
      <c r="B116" s="469"/>
      <c r="C116" s="493" t="s">
        <v>122</v>
      </c>
      <c r="D116" s="494"/>
      <c r="E116" s="494"/>
      <c r="F116" s="495"/>
      <c r="G116" s="473">
        <f>SUM(G117+G129+G135)</f>
        <v>156424.1</v>
      </c>
      <c r="H116" s="452"/>
      <c r="I116" s="452">
        <f t="shared" si="2"/>
        <v>0</v>
      </c>
      <c r="J116" s="453"/>
      <c r="K116" s="453"/>
      <c r="L116" s="453"/>
      <c r="M116" s="473">
        <f>SUM(M117+M129+M135)</f>
        <v>159687.69999999998</v>
      </c>
    </row>
    <row r="117" spans="1:13" ht="14.25">
      <c r="A117" s="161" t="s">
        <v>123</v>
      </c>
      <c r="B117" s="459"/>
      <c r="C117" s="460" t="s">
        <v>122</v>
      </c>
      <c r="D117" s="461" t="s">
        <v>124</v>
      </c>
      <c r="E117" s="461"/>
      <c r="F117" s="462"/>
      <c r="G117" s="463">
        <f>G118</f>
        <v>50300</v>
      </c>
      <c r="H117" s="452"/>
      <c r="I117" s="452">
        <f t="shared" si="2"/>
        <v>0</v>
      </c>
      <c r="J117" s="453"/>
      <c r="K117" s="453"/>
      <c r="L117" s="453"/>
      <c r="M117" s="463">
        <f>M118</f>
        <v>50300</v>
      </c>
    </row>
    <row r="118" spans="1:13" s="11" customFormat="1" ht="28.5">
      <c r="A118" s="161" t="s">
        <v>541</v>
      </c>
      <c r="B118" s="459"/>
      <c r="C118" s="460" t="s">
        <v>122</v>
      </c>
      <c r="D118" s="461" t="s">
        <v>124</v>
      </c>
      <c r="E118" s="461" t="s">
        <v>542</v>
      </c>
      <c r="F118" s="462"/>
      <c r="G118" s="463">
        <f>G119+G123</f>
        <v>50300</v>
      </c>
      <c r="H118" s="496">
        <f>SUM(H119+H146)+H169</f>
        <v>52801.7</v>
      </c>
      <c r="I118" s="496">
        <f t="shared" si="2"/>
        <v>104.97355864811134</v>
      </c>
      <c r="J118" s="446"/>
      <c r="K118" s="446"/>
      <c r="L118" s="453"/>
      <c r="M118" s="463">
        <f>M119+M123</f>
        <v>50300</v>
      </c>
    </row>
    <row r="119" spans="1:13" ht="14.25">
      <c r="A119" s="161" t="s">
        <v>543</v>
      </c>
      <c r="B119" s="459"/>
      <c r="C119" s="460" t="s">
        <v>122</v>
      </c>
      <c r="D119" s="461" t="s">
        <v>124</v>
      </c>
      <c r="E119" s="461" t="s">
        <v>544</v>
      </c>
      <c r="F119" s="462"/>
      <c r="G119" s="463">
        <f>G120</f>
        <v>19214.6</v>
      </c>
      <c r="H119" s="452">
        <f>SUM(H120)</f>
        <v>36922.5</v>
      </c>
      <c r="I119" s="452">
        <f t="shared" si="2"/>
        <v>192.15856692306895</v>
      </c>
      <c r="J119" s="453"/>
      <c r="K119" s="453"/>
      <c r="L119" s="453"/>
      <c r="M119" s="463">
        <f>M120</f>
        <v>19214.6</v>
      </c>
    </row>
    <row r="120" spans="1:13" ht="28.5">
      <c r="A120" s="161" t="s">
        <v>6</v>
      </c>
      <c r="B120" s="459"/>
      <c r="C120" s="460" t="s">
        <v>122</v>
      </c>
      <c r="D120" s="461" t="s">
        <v>124</v>
      </c>
      <c r="E120" s="461" t="s">
        <v>545</v>
      </c>
      <c r="F120" s="462"/>
      <c r="G120" s="463">
        <f>SUM(G121)</f>
        <v>19214.6</v>
      </c>
      <c r="H120" s="452">
        <f>SUM(H121+H138)</f>
        <v>36922.5</v>
      </c>
      <c r="I120" s="452">
        <f t="shared" si="2"/>
        <v>192.15856692306895</v>
      </c>
      <c r="J120" s="453"/>
      <c r="K120" s="453"/>
      <c r="L120" s="453"/>
      <c r="M120" s="463">
        <f>SUM(M121)</f>
        <v>19214.6</v>
      </c>
    </row>
    <row r="121" spans="1:13" ht="12.75" customHeight="1">
      <c r="A121" s="161" t="s">
        <v>501</v>
      </c>
      <c r="B121" s="459"/>
      <c r="C121" s="460" t="s">
        <v>122</v>
      </c>
      <c r="D121" s="461" t="s">
        <v>124</v>
      </c>
      <c r="E121" s="461" t="s">
        <v>545</v>
      </c>
      <c r="F121" s="462" t="s">
        <v>176</v>
      </c>
      <c r="G121" s="463">
        <v>19214.6</v>
      </c>
      <c r="H121" s="452">
        <f>SUM(H122+H124+H126+H128+H131+H136)</f>
        <v>36646.8</v>
      </c>
      <c r="I121" s="452">
        <f t="shared" si="2"/>
        <v>190.72372050419997</v>
      </c>
      <c r="J121" s="453">
        <f>SUM('[2]ведомствен.2015-2016'!G136)</f>
        <v>19214.6</v>
      </c>
      <c r="K121" s="453">
        <f>SUM('[2]ведомствен.2015-2016'!H136)</f>
        <v>19214.6</v>
      </c>
      <c r="L121" s="453">
        <f t="shared" si="3"/>
        <v>0</v>
      </c>
      <c r="M121" s="463">
        <v>19214.6</v>
      </c>
    </row>
    <row r="122" spans="1:13" ht="42.75" hidden="1">
      <c r="A122" s="161" t="s">
        <v>546</v>
      </c>
      <c r="B122" s="459"/>
      <c r="C122" s="460" t="s">
        <v>122</v>
      </c>
      <c r="D122" s="461" t="s">
        <v>124</v>
      </c>
      <c r="E122" s="461" t="s">
        <v>545</v>
      </c>
      <c r="F122" s="462" t="s">
        <v>209</v>
      </c>
      <c r="G122" s="463"/>
      <c r="H122" s="452">
        <f>SUM(H123)</f>
        <v>2461.2</v>
      </c>
      <c r="I122" s="452" t="e">
        <f t="shared" si="2"/>
        <v>#DIV/0!</v>
      </c>
      <c r="J122" s="453"/>
      <c r="K122" s="453"/>
      <c r="L122" s="453">
        <f t="shared" si="3"/>
        <v>0</v>
      </c>
      <c r="M122" s="463"/>
    </row>
    <row r="123" spans="1:13" ht="14.25">
      <c r="A123" s="161" t="s">
        <v>125</v>
      </c>
      <c r="B123" s="459"/>
      <c r="C123" s="460" t="s">
        <v>122</v>
      </c>
      <c r="D123" s="461" t="s">
        <v>124</v>
      </c>
      <c r="E123" s="461" t="s">
        <v>417</v>
      </c>
      <c r="F123" s="462"/>
      <c r="G123" s="463">
        <f>G124</f>
        <v>31085.4</v>
      </c>
      <c r="H123" s="452">
        <v>2461.2</v>
      </c>
      <c r="I123" s="452">
        <f t="shared" si="2"/>
        <v>7.917543283985406</v>
      </c>
      <c r="J123" s="453"/>
      <c r="K123" s="453"/>
      <c r="L123" s="453"/>
      <c r="M123" s="463">
        <f>M124</f>
        <v>31085.4</v>
      </c>
    </row>
    <row r="124" spans="1:13" ht="28.5">
      <c r="A124" s="161" t="s">
        <v>15</v>
      </c>
      <c r="B124" s="459"/>
      <c r="C124" s="460" t="s">
        <v>122</v>
      </c>
      <c r="D124" s="461" t="s">
        <v>124</v>
      </c>
      <c r="E124" s="461" t="s">
        <v>76</v>
      </c>
      <c r="F124" s="462"/>
      <c r="G124" s="463">
        <f>SUM(G125)</f>
        <v>31085.4</v>
      </c>
      <c r="H124" s="452">
        <f>SUM(H125)</f>
        <v>25107.2</v>
      </c>
      <c r="I124" s="452">
        <f t="shared" si="2"/>
        <v>80.76846365174649</v>
      </c>
      <c r="J124" s="453"/>
      <c r="K124" s="453"/>
      <c r="L124" s="453"/>
      <c r="M124" s="463">
        <f>SUM(M125)</f>
        <v>31085.4</v>
      </c>
    </row>
    <row r="125" spans="1:13" ht="28.5">
      <c r="A125" s="161" t="s">
        <v>205</v>
      </c>
      <c r="B125" s="459"/>
      <c r="C125" s="460" t="s">
        <v>122</v>
      </c>
      <c r="D125" s="461" t="s">
        <v>124</v>
      </c>
      <c r="E125" s="461" t="s">
        <v>77</v>
      </c>
      <c r="F125" s="462"/>
      <c r="G125" s="463">
        <f>SUM(G126)</f>
        <v>31085.4</v>
      </c>
      <c r="H125" s="452">
        <v>25107.2</v>
      </c>
      <c r="I125" s="452">
        <f t="shared" si="2"/>
        <v>80.76846365174649</v>
      </c>
      <c r="J125" s="453"/>
      <c r="K125" s="453"/>
      <c r="L125" s="453"/>
      <c r="M125" s="463">
        <f>SUM(M126)</f>
        <v>31085.4</v>
      </c>
    </row>
    <row r="126" spans="1:13" ht="28.5">
      <c r="A126" s="161" t="s">
        <v>524</v>
      </c>
      <c r="B126" s="459"/>
      <c r="C126" s="460" t="s">
        <v>122</v>
      </c>
      <c r="D126" s="461" t="s">
        <v>124</v>
      </c>
      <c r="E126" s="461" t="s">
        <v>77</v>
      </c>
      <c r="F126" s="462" t="s">
        <v>513</v>
      </c>
      <c r="G126" s="463">
        <v>31085.4</v>
      </c>
      <c r="H126" s="452">
        <f>SUM(H127)</f>
        <v>7951.2</v>
      </c>
      <c r="I126" s="452">
        <f t="shared" si="2"/>
        <v>25.578567430369237</v>
      </c>
      <c r="J126" s="453">
        <f>SUM('[2]ведомствен.2015-2016'!G141)</f>
        <v>31085.4</v>
      </c>
      <c r="K126" s="453">
        <f>SUM('[2]ведомствен.2015-2016'!H141)</f>
        <v>31085.4</v>
      </c>
      <c r="L126" s="453">
        <f t="shared" si="3"/>
        <v>0</v>
      </c>
      <c r="M126" s="463">
        <v>31085.4</v>
      </c>
    </row>
    <row r="127" spans="1:13" ht="14.25" hidden="1">
      <c r="A127" s="161" t="s">
        <v>525</v>
      </c>
      <c r="B127" s="459"/>
      <c r="C127" s="460" t="s">
        <v>122</v>
      </c>
      <c r="D127" s="461" t="s">
        <v>124</v>
      </c>
      <c r="E127" s="461" t="s">
        <v>77</v>
      </c>
      <c r="F127" s="462" t="s">
        <v>526</v>
      </c>
      <c r="G127" s="463"/>
      <c r="H127" s="452">
        <v>7951.2</v>
      </c>
      <c r="I127" s="452" t="e">
        <f t="shared" si="2"/>
        <v>#DIV/0!</v>
      </c>
      <c r="J127" s="453"/>
      <c r="K127" s="453"/>
      <c r="L127" s="453">
        <f t="shared" si="3"/>
        <v>0</v>
      </c>
      <c r="M127" s="463"/>
    </row>
    <row r="128" spans="1:13" ht="57" hidden="1">
      <c r="A128" s="475" t="s">
        <v>527</v>
      </c>
      <c r="B128" s="459"/>
      <c r="C128" s="460" t="s">
        <v>122</v>
      </c>
      <c r="D128" s="461" t="s">
        <v>124</v>
      </c>
      <c r="E128" s="461" t="s">
        <v>77</v>
      </c>
      <c r="F128" s="462" t="s">
        <v>58</v>
      </c>
      <c r="G128" s="463"/>
      <c r="H128" s="452">
        <f>SUM(H129)</f>
        <v>73.1</v>
      </c>
      <c r="I128" s="452" t="e">
        <f t="shared" si="2"/>
        <v>#DIV/0!</v>
      </c>
      <c r="J128" s="453"/>
      <c r="K128" s="453"/>
      <c r="L128" s="453">
        <f t="shared" si="3"/>
        <v>0</v>
      </c>
      <c r="M128" s="463"/>
    </row>
    <row r="129" spans="1:13" ht="14.25">
      <c r="A129" s="161" t="s">
        <v>147</v>
      </c>
      <c r="B129" s="459"/>
      <c r="C129" s="460" t="s">
        <v>122</v>
      </c>
      <c r="D129" s="461" t="s">
        <v>300</v>
      </c>
      <c r="E129" s="461"/>
      <c r="F129" s="462"/>
      <c r="G129" s="463">
        <f>G130</f>
        <v>92140.7</v>
      </c>
      <c r="H129" s="452">
        <f>SUM(H130)</f>
        <v>73.1</v>
      </c>
      <c r="I129" s="452">
        <f t="shared" si="2"/>
        <v>0.07933519063779632</v>
      </c>
      <c r="J129" s="453"/>
      <c r="K129" s="453"/>
      <c r="L129" s="453"/>
      <c r="M129" s="463">
        <f>M130</f>
        <v>95404.3</v>
      </c>
    </row>
    <row r="130" spans="1:13" ht="42.75">
      <c r="A130" s="161" t="s">
        <v>38</v>
      </c>
      <c r="B130" s="459"/>
      <c r="C130" s="460" t="s">
        <v>122</v>
      </c>
      <c r="D130" s="461" t="s">
        <v>300</v>
      </c>
      <c r="E130" s="461" t="s">
        <v>39</v>
      </c>
      <c r="F130" s="462"/>
      <c r="G130" s="463">
        <f>G131</f>
        <v>92140.7</v>
      </c>
      <c r="H130" s="452">
        <v>73.1</v>
      </c>
      <c r="I130" s="452">
        <f t="shared" si="2"/>
        <v>0.07933519063779632</v>
      </c>
      <c r="J130" s="453"/>
      <c r="K130" s="453"/>
      <c r="L130" s="453"/>
      <c r="M130" s="463">
        <f>M131</f>
        <v>95404.3</v>
      </c>
    </row>
    <row r="131" spans="1:13" ht="14.25">
      <c r="A131" s="161" t="s">
        <v>500</v>
      </c>
      <c r="B131" s="459"/>
      <c r="C131" s="460" t="s">
        <v>122</v>
      </c>
      <c r="D131" s="461" t="s">
        <v>300</v>
      </c>
      <c r="E131" s="461" t="s">
        <v>39</v>
      </c>
      <c r="F131" s="462" t="s">
        <v>120</v>
      </c>
      <c r="G131" s="463">
        <v>92140.7</v>
      </c>
      <c r="H131" s="452">
        <f>SUM(H132+H134)</f>
        <v>66.8</v>
      </c>
      <c r="I131" s="452">
        <f t="shared" si="2"/>
        <v>0.07249782126682346</v>
      </c>
      <c r="J131" s="453">
        <f>SUM('[2]ведомствен.2015-2016'!G146)</f>
        <v>92140.7</v>
      </c>
      <c r="K131" s="453">
        <f>SUM('[2]ведомствен.2015-2016'!H146)</f>
        <v>95404.3</v>
      </c>
      <c r="L131" s="453">
        <f t="shared" si="3"/>
        <v>0</v>
      </c>
      <c r="M131" s="463">
        <v>95404.3</v>
      </c>
    </row>
    <row r="132" spans="1:13" ht="28.5" hidden="1">
      <c r="A132" s="161" t="s">
        <v>518</v>
      </c>
      <c r="B132" s="459"/>
      <c r="C132" s="460" t="s">
        <v>122</v>
      </c>
      <c r="D132" s="461" t="s">
        <v>300</v>
      </c>
      <c r="E132" s="461" t="s">
        <v>39</v>
      </c>
      <c r="F132" s="462" t="s">
        <v>519</v>
      </c>
      <c r="G132" s="463"/>
      <c r="H132" s="452">
        <f>SUM(H133)</f>
        <v>0</v>
      </c>
      <c r="I132" s="452" t="e">
        <f t="shared" si="2"/>
        <v>#DIV/0!</v>
      </c>
      <c r="J132" s="453"/>
      <c r="K132" s="453"/>
      <c r="L132" s="453">
        <f t="shared" si="3"/>
        <v>0</v>
      </c>
      <c r="M132" s="463"/>
    </row>
    <row r="133" spans="1:13" ht="28.5" hidden="1">
      <c r="A133" s="161" t="s">
        <v>520</v>
      </c>
      <c r="B133" s="459"/>
      <c r="C133" s="460" t="s">
        <v>122</v>
      </c>
      <c r="D133" s="461" t="s">
        <v>300</v>
      </c>
      <c r="E133" s="461" t="s">
        <v>39</v>
      </c>
      <c r="F133" s="462" t="s">
        <v>521</v>
      </c>
      <c r="G133" s="463"/>
      <c r="H133" s="452"/>
      <c r="I133" s="452" t="e">
        <f t="shared" si="2"/>
        <v>#DIV/0!</v>
      </c>
      <c r="J133" s="453"/>
      <c r="K133" s="453"/>
      <c r="L133" s="453">
        <f t="shared" si="3"/>
        <v>0</v>
      </c>
      <c r="M133" s="463"/>
    </row>
    <row r="134" spans="1:13" ht="28.5" hidden="1">
      <c r="A134" s="161" t="s">
        <v>547</v>
      </c>
      <c r="B134" s="459"/>
      <c r="C134" s="460" t="s">
        <v>122</v>
      </c>
      <c r="D134" s="461" t="s">
        <v>300</v>
      </c>
      <c r="E134" s="461" t="s">
        <v>39</v>
      </c>
      <c r="F134" s="462" t="s">
        <v>521</v>
      </c>
      <c r="G134" s="463"/>
      <c r="H134" s="452">
        <f>SUM(H135)</f>
        <v>66.8</v>
      </c>
      <c r="I134" s="452" t="e">
        <f t="shared" si="2"/>
        <v>#DIV/0!</v>
      </c>
      <c r="J134" s="453"/>
      <c r="K134" s="453"/>
      <c r="L134" s="453">
        <f t="shared" si="3"/>
        <v>0</v>
      </c>
      <c r="M134" s="463"/>
    </row>
    <row r="135" spans="1:13" ht="14.25">
      <c r="A135" s="161" t="s">
        <v>418</v>
      </c>
      <c r="B135" s="459"/>
      <c r="C135" s="460" t="s">
        <v>122</v>
      </c>
      <c r="D135" s="461" t="s">
        <v>408</v>
      </c>
      <c r="E135" s="461"/>
      <c r="F135" s="462"/>
      <c r="G135" s="463">
        <f>SUM(G136+G146+G150)</f>
        <v>13983.400000000001</v>
      </c>
      <c r="H135" s="452">
        <v>66.8</v>
      </c>
      <c r="I135" s="452">
        <f t="shared" si="2"/>
        <v>0.4777092838651543</v>
      </c>
      <c r="J135" s="453"/>
      <c r="K135" s="453"/>
      <c r="L135" s="453"/>
      <c r="M135" s="463">
        <f>SUM(M136+M146+M150)</f>
        <v>13983.400000000001</v>
      </c>
    </row>
    <row r="136" spans="1:13" ht="28.5">
      <c r="A136" s="161" t="s">
        <v>541</v>
      </c>
      <c r="B136" s="459"/>
      <c r="C136" s="460" t="s">
        <v>122</v>
      </c>
      <c r="D136" s="461" t="s">
        <v>408</v>
      </c>
      <c r="E136" s="461" t="s">
        <v>542</v>
      </c>
      <c r="F136" s="462"/>
      <c r="G136" s="463">
        <f>SUM(G137)</f>
        <v>5584.1</v>
      </c>
      <c r="H136" s="452">
        <f>SUM(H137)</f>
        <v>987.3</v>
      </c>
      <c r="I136" s="452">
        <f t="shared" si="2"/>
        <v>17.680557296610015</v>
      </c>
      <c r="J136" s="453"/>
      <c r="K136" s="453"/>
      <c r="L136" s="453"/>
      <c r="M136" s="463">
        <f>SUM(M137)</f>
        <v>5584.1</v>
      </c>
    </row>
    <row r="137" spans="1:13" ht="14.25">
      <c r="A137" s="161" t="s">
        <v>423</v>
      </c>
      <c r="B137" s="459"/>
      <c r="C137" s="460" t="s">
        <v>122</v>
      </c>
      <c r="D137" s="461" t="s">
        <v>408</v>
      </c>
      <c r="E137" s="461" t="s">
        <v>548</v>
      </c>
      <c r="F137" s="462"/>
      <c r="G137" s="463">
        <f>SUM(G138,G142)</f>
        <v>5584.1</v>
      </c>
      <c r="H137" s="452">
        <v>987.3</v>
      </c>
      <c r="I137" s="452">
        <f t="shared" si="2"/>
        <v>17.680557296610015</v>
      </c>
      <c r="J137" s="453"/>
      <c r="K137" s="453"/>
      <c r="L137" s="453"/>
      <c r="M137" s="463">
        <f>SUM(M138,M142)</f>
        <v>5584.1</v>
      </c>
    </row>
    <row r="138" spans="1:13" ht="28.5">
      <c r="A138" s="161" t="s">
        <v>552</v>
      </c>
      <c r="B138" s="459"/>
      <c r="C138" s="460" t="s">
        <v>122</v>
      </c>
      <c r="D138" s="461" t="s">
        <v>408</v>
      </c>
      <c r="E138" s="487" t="s">
        <v>549</v>
      </c>
      <c r="F138" s="462"/>
      <c r="G138" s="463">
        <f>SUM(G139)</f>
        <v>1704.7</v>
      </c>
      <c r="H138" s="452">
        <f>SUM(H139)</f>
        <v>275.7</v>
      </c>
      <c r="I138" s="452">
        <f t="shared" si="2"/>
        <v>16.172933654015367</v>
      </c>
      <c r="J138" s="453"/>
      <c r="K138" s="453"/>
      <c r="L138" s="453"/>
      <c r="M138" s="463">
        <f>SUM(M139)</f>
        <v>1704.7</v>
      </c>
    </row>
    <row r="139" spans="1:13" ht="14.25">
      <c r="A139" s="161" t="s">
        <v>500</v>
      </c>
      <c r="B139" s="459"/>
      <c r="C139" s="460" t="s">
        <v>122</v>
      </c>
      <c r="D139" s="461" t="s">
        <v>408</v>
      </c>
      <c r="E139" s="487" t="s">
        <v>549</v>
      </c>
      <c r="F139" s="462" t="s">
        <v>120</v>
      </c>
      <c r="G139" s="463">
        <v>1704.7</v>
      </c>
      <c r="H139" s="452">
        <f>SUM(H140)</f>
        <v>275.7</v>
      </c>
      <c r="I139" s="452">
        <f t="shared" si="2"/>
        <v>16.172933654015367</v>
      </c>
      <c r="J139" s="453">
        <f>SUM('[2]ведомствен.2015-2016'!G154)</f>
        <v>1704.7</v>
      </c>
      <c r="K139" s="453">
        <f>SUM('[2]ведомствен.2015-2016'!H154)</f>
        <v>1704.7</v>
      </c>
      <c r="L139" s="453">
        <f t="shared" si="3"/>
        <v>0</v>
      </c>
      <c r="M139" s="463">
        <v>1704.7</v>
      </c>
    </row>
    <row r="140" spans="1:13" ht="28.5" hidden="1">
      <c r="A140" s="161" t="s">
        <v>518</v>
      </c>
      <c r="B140" s="459"/>
      <c r="C140" s="460" t="s">
        <v>122</v>
      </c>
      <c r="D140" s="461" t="s">
        <v>408</v>
      </c>
      <c r="E140" s="487" t="s">
        <v>549</v>
      </c>
      <c r="F140" s="462" t="s">
        <v>519</v>
      </c>
      <c r="G140" s="463"/>
      <c r="H140" s="452">
        <v>275.7</v>
      </c>
      <c r="I140" s="452" t="e">
        <f t="shared" si="2"/>
        <v>#DIV/0!</v>
      </c>
      <c r="J140" s="453"/>
      <c r="K140" s="453"/>
      <c r="L140" s="453">
        <f t="shared" si="3"/>
        <v>0</v>
      </c>
      <c r="M140" s="463"/>
    </row>
    <row r="141" spans="1:13" ht="28.5">
      <c r="A141" s="161" t="s">
        <v>15</v>
      </c>
      <c r="B141" s="459"/>
      <c r="C141" s="460" t="s">
        <v>122</v>
      </c>
      <c r="D141" s="461" t="s">
        <v>408</v>
      </c>
      <c r="E141" s="461" t="s">
        <v>553</v>
      </c>
      <c r="F141" s="462"/>
      <c r="G141" s="463">
        <f>SUM(G142)</f>
        <v>3879.4</v>
      </c>
      <c r="H141" s="452"/>
      <c r="I141" s="452">
        <f t="shared" si="2"/>
        <v>0</v>
      </c>
      <c r="J141" s="453"/>
      <c r="K141" s="453"/>
      <c r="L141" s="453"/>
      <c r="M141" s="463">
        <f>SUM(M142)</f>
        <v>3879.4</v>
      </c>
    </row>
    <row r="142" spans="1:13" s="14" customFormat="1" ht="28.5">
      <c r="A142" s="161" t="s">
        <v>205</v>
      </c>
      <c r="B142" s="459"/>
      <c r="C142" s="460" t="s">
        <v>122</v>
      </c>
      <c r="D142" s="461" t="s">
        <v>408</v>
      </c>
      <c r="E142" s="461" t="s">
        <v>550</v>
      </c>
      <c r="F142" s="462"/>
      <c r="G142" s="463">
        <f>G143</f>
        <v>3879.4</v>
      </c>
      <c r="H142" s="452">
        <f>SUM(H144)</f>
        <v>0</v>
      </c>
      <c r="I142" s="452">
        <f>SUM(H142/G142*100)</f>
        <v>0</v>
      </c>
      <c r="J142" s="497"/>
      <c r="K142" s="497"/>
      <c r="L142" s="453"/>
      <c r="M142" s="463">
        <f>M143</f>
        <v>3879.4</v>
      </c>
    </row>
    <row r="143" spans="1:13" s="14" customFormat="1" ht="28.5">
      <c r="A143" s="161" t="s">
        <v>524</v>
      </c>
      <c r="B143" s="459"/>
      <c r="C143" s="460" t="s">
        <v>122</v>
      </c>
      <c r="D143" s="461" t="s">
        <v>408</v>
      </c>
      <c r="E143" s="461" t="s">
        <v>550</v>
      </c>
      <c r="F143" s="462" t="s">
        <v>513</v>
      </c>
      <c r="G143" s="463">
        <v>3879.4</v>
      </c>
      <c r="H143" s="452"/>
      <c r="I143" s="452"/>
      <c r="J143" s="453">
        <f>SUM('[2]ведомствен.2015-2016'!G158)</f>
        <v>3879.4</v>
      </c>
      <c r="K143" s="453">
        <f>SUM('[2]ведомствен.2015-2016'!H158)</f>
        <v>3879.4</v>
      </c>
      <c r="L143" s="453">
        <f t="shared" si="3"/>
        <v>0</v>
      </c>
      <c r="M143" s="463">
        <v>3879.4</v>
      </c>
    </row>
    <row r="144" spans="1:13" s="14" customFormat="1" ht="14.25" hidden="1">
      <c r="A144" s="161" t="s">
        <v>525</v>
      </c>
      <c r="B144" s="459"/>
      <c r="C144" s="460" t="s">
        <v>122</v>
      </c>
      <c r="D144" s="461" t="s">
        <v>408</v>
      </c>
      <c r="E144" s="461" t="s">
        <v>550</v>
      </c>
      <c r="F144" s="462" t="s">
        <v>526</v>
      </c>
      <c r="G144" s="463"/>
      <c r="H144" s="452">
        <f>SUM(H145)</f>
        <v>0</v>
      </c>
      <c r="I144" s="452" t="e">
        <f>SUM(H144/G144*100)</f>
        <v>#DIV/0!</v>
      </c>
      <c r="J144" s="497"/>
      <c r="K144" s="497"/>
      <c r="L144" s="453">
        <f t="shared" si="3"/>
        <v>0</v>
      </c>
      <c r="M144" s="463"/>
    </row>
    <row r="145" spans="1:13" s="14" customFormat="1" ht="57" hidden="1">
      <c r="A145" s="475" t="s">
        <v>527</v>
      </c>
      <c r="B145" s="476"/>
      <c r="C145" s="477" t="s">
        <v>122</v>
      </c>
      <c r="D145" s="478" t="s">
        <v>408</v>
      </c>
      <c r="E145" s="478" t="s">
        <v>550</v>
      </c>
      <c r="F145" s="479" t="s">
        <v>58</v>
      </c>
      <c r="G145" s="480"/>
      <c r="H145" s="452"/>
      <c r="I145" s="452" t="e">
        <f>SUM(H145/G145*100)</f>
        <v>#DIV/0!</v>
      </c>
      <c r="J145" s="497"/>
      <c r="K145" s="497"/>
      <c r="L145" s="453">
        <f t="shared" si="3"/>
        <v>0</v>
      </c>
      <c r="M145" s="480"/>
    </row>
    <row r="146" spans="1:13" ht="28.5">
      <c r="A146" s="161" t="s">
        <v>420</v>
      </c>
      <c r="B146" s="448"/>
      <c r="C146" s="460" t="s">
        <v>122</v>
      </c>
      <c r="D146" s="461" t="s">
        <v>408</v>
      </c>
      <c r="E146" s="458" t="s">
        <v>421</v>
      </c>
      <c r="F146" s="454"/>
      <c r="G146" s="452">
        <f>SUM(G147)</f>
        <v>2715.8</v>
      </c>
      <c r="H146" s="452">
        <f>SUM(H150+H155+H158+H161)+H148</f>
        <v>15879.199999999997</v>
      </c>
      <c r="I146" s="452">
        <f t="shared" si="2"/>
        <v>584.6969585389203</v>
      </c>
      <c r="J146" s="453"/>
      <c r="K146" s="453"/>
      <c r="L146" s="453"/>
      <c r="M146" s="452">
        <f>SUM(M147)</f>
        <v>2715.8</v>
      </c>
    </row>
    <row r="147" spans="1:13" ht="28.5">
      <c r="A147" s="161" t="s">
        <v>15</v>
      </c>
      <c r="B147" s="459"/>
      <c r="C147" s="460" t="s">
        <v>122</v>
      </c>
      <c r="D147" s="461" t="s">
        <v>408</v>
      </c>
      <c r="E147" s="461" t="s">
        <v>617</v>
      </c>
      <c r="F147" s="462"/>
      <c r="G147" s="463">
        <f>SUM(G148)</f>
        <v>2715.8</v>
      </c>
      <c r="H147" s="452">
        <f>SUM(H148)</f>
        <v>0</v>
      </c>
      <c r="I147" s="452">
        <f t="shared" si="2"/>
        <v>0</v>
      </c>
      <c r="J147" s="453"/>
      <c r="K147" s="453"/>
      <c r="L147" s="453"/>
      <c r="M147" s="463">
        <f>SUM(M148)</f>
        <v>2715.8</v>
      </c>
    </row>
    <row r="148" spans="1:13" ht="28.5">
      <c r="A148" s="161" t="s">
        <v>205</v>
      </c>
      <c r="B148" s="459"/>
      <c r="C148" s="460" t="s">
        <v>122</v>
      </c>
      <c r="D148" s="461" t="s">
        <v>408</v>
      </c>
      <c r="E148" s="461" t="s">
        <v>618</v>
      </c>
      <c r="F148" s="462"/>
      <c r="G148" s="463">
        <f>G149</f>
        <v>2715.8</v>
      </c>
      <c r="H148" s="452">
        <f>SUM(H149)</f>
        <v>0</v>
      </c>
      <c r="I148" s="452">
        <f t="shared" si="2"/>
        <v>0</v>
      </c>
      <c r="J148" s="453"/>
      <c r="K148" s="453"/>
      <c r="L148" s="453"/>
      <c r="M148" s="463">
        <f>M149</f>
        <v>2715.8</v>
      </c>
    </row>
    <row r="149" spans="1:13" ht="28.5">
      <c r="A149" s="161" t="s">
        <v>524</v>
      </c>
      <c r="B149" s="459"/>
      <c r="C149" s="460" t="s">
        <v>122</v>
      </c>
      <c r="D149" s="461" t="s">
        <v>408</v>
      </c>
      <c r="E149" s="461" t="s">
        <v>618</v>
      </c>
      <c r="F149" s="462" t="s">
        <v>513</v>
      </c>
      <c r="G149" s="463">
        <v>2715.8</v>
      </c>
      <c r="H149" s="452"/>
      <c r="I149" s="452">
        <f t="shared" si="2"/>
        <v>0</v>
      </c>
      <c r="J149" s="453">
        <f>SUM('[2]ведомствен.2015-2016'!G318)</f>
        <v>2715.8</v>
      </c>
      <c r="K149" s="453">
        <f>SUM('[2]ведомствен.2015-2016'!H318)</f>
        <v>2715.8</v>
      </c>
      <c r="L149" s="453">
        <f t="shared" si="3"/>
        <v>0</v>
      </c>
      <c r="M149" s="463">
        <v>2715.8</v>
      </c>
    </row>
    <row r="150" spans="1:13" ht="14.25">
      <c r="A150" s="498" t="s">
        <v>551</v>
      </c>
      <c r="B150" s="476"/>
      <c r="C150" s="477" t="s">
        <v>122</v>
      </c>
      <c r="D150" s="478" t="s">
        <v>408</v>
      </c>
      <c r="E150" s="478" t="s">
        <v>129</v>
      </c>
      <c r="F150" s="479"/>
      <c r="G150" s="480">
        <f>G151</f>
        <v>5683.5</v>
      </c>
      <c r="H150" s="452">
        <f>SUM(H151)+H153</f>
        <v>10264.099999999999</v>
      </c>
      <c r="I150" s="452">
        <f t="shared" si="2"/>
        <v>180.59470396762555</v>
      </c>
      <c r="J150" s="453"/>
      <c r="K150" s="453"/>
      <c r="L150" s="453"/>
      <c r="M150" s="480">
        <f>M151</f>
        <v>5683.5</v>
      </c>
    </row>
    <row r="151" spans="1:13" ht="28.5">
      <c r="A151" s="498" t="s">
        <v>1044</v>
      </c>
      <c r="B151" s="476"/>
      <c r="C151" s="477" t="s">
        <v>122</v>
      </c>
      <c r="D151" s="478" t="s">
        <v>408</v>
      </c>
      <c r="E151" s="478" t="s">
        <v>54</v>
      </c>
      <c r="F151" s="479"/>
      <c r="G151" s="480">
        <f>SUM(G152)</f>
        <v>5683.5</v>
      </c>
      <c r="H151" s="452">
        <f>SUM(H152)</f>
        <v>438.8</v>
      </c>
      <c r="I151" s="452">
        <f t="shared" si="2"/>
        <v>7.720594703967626</v>
      </c>
      <c r="J151" s="453"/>
      <c r="K151" s="453"/>
      <c r="L151" s="453"/>
      <c r="M151" s="480">
        <f>SUM(M152)</f>
        <v>5683.5</v>
      </c>
    </row>
    <row r="152" spans="1:13" ht="28.5">
      <c r="A152" s="475" t="s">
        <v>524</v>
      </c>
      <c r="B152" s="476"/>
      <c r="C152" s="477" t="s">
        <v>122</v>
      </c>
      <c r="D152" s="478" t="s">
        <v>408</v>
      </c>
      <c r="E152" s="478" t="s">
        <v>54</v>
      </c>
      <c r="F152" s="479" t="s">
        <v>513</v>
      </c>
      <c r="G152" s="480">
        <v>5683.5</v>
      </c>
      <c r="H152" s="452">
        <v>438.8</v>
      </c>
      <c r="I152" s="452">
        <f t="shared" si="2"/>
        <v>7.720594703967626</v>
      </c>
      <c r="J152" s="453">
        <f>SUM('[2]ведомствен.2015-2016'!G163)</f>
        <v>5683.5</v>
      </c>
      <c r="K152" s="453">
        <f>SUM('[2]ведомствен.2015-2016'!H163)</f>
        <v>5683.5</v>
      </c>
      <c r="L152" s="453">
        <f t="shared" si="3"/>
        <v>0</v>
      </c>
      <c r="M152" s="480">
        <v>5683.5</v>
      </c>
    </row>
    <row r="153" spans="1:13" ht="15">
      <c r="A153" s="499" t="s">
        <v>424</v>
      </c>
      <c r="B153" s="500"/>
      <c r="C153" s="470" t="s">
        <v>131</v>
      </c>
      <c r="D153" s="471"/>
      <c r="E153" s="471"/>
      <c r="F153" s="501"/>
      <c r="G153" s="473">
        <f>SUM(G154+G206+G212+G224)</f>
        <v>58737.6</v>
      </c>
      <c r="H153" s="452">
        <f>SUM(H154)</f>
        <v>9825.3</v>
      </c>
      <c r="I153" s="452">
        <f t="shared" si="2"/>
        <v>16.727445452316744</v>
      </c>
      <c r="J153" s="453"/>
      <c r="K153" s="453"/>
      <c r="L153" s="453"/>
      <c r="M153" s="473">
        <f>SUM(M154+M206+M212+M224)</f>
        <v>49417.6</v>
      </c>
    </row>
    <row r="154" spans="1:13" ht="14.25" hidden="1">
      <c r="A154" s="447" t="s">
        <v>425</v>
      </c>
      <c r="B154" s="448"/>
      <c r="C154" s="449" t="s">
        <v>131</v>
      </c>
      <c r="D154" s="450" t="s">
        <v>460</v>
      </c>
      <c r="E154" s="450"/>
      <c r="F154" s="451"/>
      <c r="G154" s="452"/>
      <c r="H154" s="452">
        <v>9825.3</v>
      </c>
      <c r="I154" s="452" t="e">
        <f t="shared" si="2"/>
        <v>#DIV/0!</v>
      </c>
      <c r="J154" s="453">
        <f>SUM('[2]ведомствен.2015-2016'!G147)</f>
        <v>0</v>
      </c>
      <c r="K154" s="453">
        <f>SUM('[2]ведомствен.2015-2016'!H147)</f>
        <v>0</v>
      </c>
      <c r="L154" s="453"/>
      <c r="M154" s="452"/>
    </row>
    <row r="155" spans="1:13" ht="42.75" hidden="1">
      <c r="A155" s="161" t="s">
        <v>1045</v>
      </c>
      <c r="B155" s="448"/>
      <c r="C155" s="449" t="s">
        <v>131</v>
      </c>
      <c r="D155" s="450" t="s">
        <v>460</v>
      </c>
      <c r="E155" s="450" t="s">
        <v>426</v>
      </c>
      <c r="F155" s="451"/>
      <c r="G155" s="452">
        <f>SUM(G156+G163)</f>
        <v>0</v>
      </c>
      <c r="H155" s="452">
        <f>SUM(H156)</f>
        <v>227.3</v>
      </c>
      <c r="I155" s="452" t="e">
        <f t="shared" si="2"/>
        <v>#DIV/0!</v>
      </c>
      <c r="J155" s="453"/>
      <c r="K155" s="453"/>
      <c r="L155" s="453"/>
      <c r="M155" s="452">
        <f>SUM(M156+M163)</f>
        <v>0</v>
      </c>
    </row>
    <row r="156" spans="1:13" ht="71.25" hidden="1">
      <c r="A156" s="161" t="s">
        <v>427</v>
      </c>
      <c r="B156" s="448"/>
      <c r="C156" s="449" t="s">
        <v>131</v>
      </c>
      <c r="D156" s="450" t="s">
        <v>460</v>
      </c>
      <c r="E156" s="450" t="s">
        <v>428</v>
      </c>
      <c r="F156" s="451"/>
      <c r="G156" s="452">
        <f>SUM(G157+G159+G161)</f>
        <v>0</v>
      </c>
      <c r="H156" s="452">
        <f>SUM(H157)</f>
        <v>227.3</v>
      </c>
      <c r="I156" s="452" t="e">
        <f aca="true" t="shared" si="4" ref="I156:I163">SUM(H156/G156*100)</f>
        <v>#DIV/0!</v>
      </c>
      <c r="J156" s="453"/>
      <c r="K156" s="453"/>
      <c r="L156" s="453"/>
      <c r="M156" s="452">
        <f>SUM(M157+M159+M161)</f>
        <v>0</v>
      </c>
    </row>
    <row r="157" spans="1:13" ht="57" hidden="1">
      <c r="A157" s="161" t="s">
        <v>28</v>
      </c>
      <c r="B157" s="448"/>
      <c r="C157" s="449" t="s">
        <v>131</v>
      </c>
      <c r="D157" s="450" t="s">
        <v>460</v>
      </c>
      <c r="E157" s="450" t="s">
        <v>29</v>
      </c>
      <c r="F157" s="451"/>
      <c r="G157" s="452">
        <f>SUM(G158)</f>
        <v>0</v>
      </c>
      <c r="H157" s="452">
        <v>227.3</v>
      </c>
      <c r="I157" s="452" t="e">
        <f t="shared" si="4"/>
        <v>#DIV/0!</v>
      </c>
      <c r="J157" s="453"/>
      <c r="K157" s="453"/>
      <c r="L157" s="453"/>
      <c r="M157" s="452">
        <f>SUM(M158)</f>
        <v>0</v>
      </c>
    </row>
    <row r="158" spans="1:13" ht="14.25" hidden="1">
      <c r="A158" s="447" t="s">
        <v>7</v>
      </c>
      <c r="B158" s="448"/>
      <c r="C158" s="449" t="s">
        <v>131</v>
      </c>
      <c r="D158" s="450" t="s">
        <v>460</v>
      </c>
      <c r="E158" s="450" t="s">
        <v>29</v>
      </c>
      <c r="F158" s="451" t="s">
        <v>8</v>
      </c>
      <c r="G158" s="452"/>
      <c r="H158" s="452">
        <f>SUM(H159)</f>
        <v>5387.8</v>
      </c>
      <c r="I158" s="452" t="e">
        <f t="shared" si="4"/>
        <v>#DIV/0!</v>
      </c>
      <c r="J158" s="453"/>
      <c r="K158" s="453"/>
      <c r="L158" s="453"/>
      <c r="M158" s="452"/>
    </row>
    <row r="159" spans="1:13" ht="57" hidden="1">
      <c r="A159" s="161" t="s">
        <v>30</v>
      </c>
      <c r="B159" s="448"/>
      <c r="C159" s="449" t="s">
        <v>131</v>
      </c>
      <c r="D159" s="450" t="s">
        <v>460</v>
      </c>
      <c r="E159" s="450" t="s">
        <v>31</v>
      </c>
      <c r="F159" s="451"/>
      <c r="G159" s="452">
        <f>SUM(G160)</f>
        <v>0</v>
      </c>
      <c r="H159" s="452">
        <f>SUM(H160)</f>
        <v>5387.8</v>
      </c>
      <c r="I159" s="452" t="e">
        <f t="shared" si="4"/>
        <v>#DIV/0!</v>
      </c>
      <c r="J159" s="453"/>
      <c r="K159" s="453"/>
      <c r="L159" s="453"/>
      <c r="M159" s="452">
        <f>SUM(M160)</f>
        <v>0</v>
      </c>
    </row>
    <row r="160" spans="1:13" ht="14.25" hidden="1">
      <c r="A160" s="448" t="s">
        <v>134</v>
      </c>
      <c r="B160" s="448"/>
      <c r="C160" s="449" t="s">
        <v>131</v>
      </c>
      <c r="D160" s="450" t="s">
        <v>460</v>
      </c>
      <c r="E160" s="450" t="s">
        <v>31</v>
      </c>
      <c r="F160" s="451" t="s">
        <v>135</v>
      </c>
      <c r="G160" s="452"/>
      <c r="H160" s="452">
        <v>5387.8</v>
      </c>
      <c r="I160" s="452" t="e">
        <f t="shared" si="4"/>
        <v>#DIV/0!</v>
      </c>
      <c r="J160" s="453"/>
      <c r="K160" s="453"/>
      <c r="L160" s="453"/>
      <c r="M160" s="452"/>
    </row>
    <row r="161" spans="1:13" s="17" customFormat="1" ht="71.25" hidden="1">
      <c r="A161" s="161" t="s">
        <v>255</v>
      </c>
      <c r="B161" s="448"/>
      <c r="C161" s="449" t="s">
        <v>131</v>
      </c>
      <c r="D161" s="450" t="s">
        <v>460</v>
      </c>
      <c r="E161" s="450" t="s">
        <v>140</v>
      </c>
      <c r="F161" s="451"/>
      <c r="G161" s="452">
        <f>SUM(G162)</f>
        <v>0</v>
      </c>
      <c r="H161" s="452">
        <f>SUM(H163)</f>
        <v>0</v>
      </c>
      <c r="I161" s="452" t="e">
        <f t="shared" si="4"/>
        <v>#DIV/0!</v>
      </c>
      <c r="J161" s="497"/>
      <c r="K161" s="497"/>
      <c r="L161" s="453"/>
      <c r="M161" s="452">
        <f>SUM(M162)</f>
        <v>0</v>
      </c>
    </row>
    <row r="162" spans="1:13" s="17" customFormat="1" ht="14.25" hidden="1">
      <c r="A162" s="448" t="s">
        <v>134</v>
      </c>
      <c r="B162" s="448"/>
      <c r="C162" s="449" t="s">
        <v>131</v>
      </c>
      <c r="D162" s="450" t="s">
        <v>460</v>
      </c>
      <c r="E162" s="450" t="s">
        <v>140</v>
      </c>
      <c r="F162" s="451" t="s">
        <v>135</v>
      </c>
      <c r="G162" s="452"/>
      <c r="H162" s="452">
        <f>SUM(H163)</f>
        <v>0</v>
      </c>
      <c r="I162" s="452" t="e">
        <f t="shared" si="4"/>
        <v>#DIV/0!</v>
      </c>
      <c r="J162" s="497"/>
      <c r="K162" s="497"/>
      <c r="L162" s="453"/>
      <c r="M162" s="452"/>
    </row>
    <row r="163" spans="1:13" ht="42.75" hidden="1">
      <c r="A163" s="161" t="s">
        <v>429</v>
      </c>
      <c r="B163" s="448"/>
      <c r="C163" s="449" t="s">
        <v>131</v>
      </c>
      <c r="D163" s="450" t="s">
        <v>460</v>
      </c>
      <c r="E163" s="450" t="s">
        <v>430</v>
      </c>
      <c r="F163" s="451"/>
      <c r="G163" s="452">
        <f>SUM(G164)+G170+G173</f>
        <v>0</v>
      </c>
      <c r="H163" s="452"/>
      <c r="I163" s="452" t="e">
        <f t="shared" si="4"/>
        <v>#DIV/0!</v>
      </c>
      <c r="J163" s="453"/>
      <c r="K163" s="453"/>
      <c r="L163" s="453"/>
      <c r="M163" s="452">
        <f>SUM(M164)+M170+M173</f>
        <v>0</v>
      </c>
    </row>
    <row r="164" spans="1:13" ht="28.5" hidden="1">
      <c r="A164" s="161" t="s">
        <v>431</v>
      </c>
      <c r="B164" s="448"/>
      <c r="C164" s="449" t="s">
        <v>131</v>
      </c>
      <c r="D164" s="450" t="s">
        <v>460</v>
      </c>
      <c r="E164" s="450" t="s">
        <v>432</v>
      </c>
      <c r="F164" s="451"/>
      <c r="G164" s="452">
        <f>SUM(G165+G166)</f>
        <v>0</v>
      </c>
      <c r="H164" s="452"/>
      <c r="I164" s="452"/>
      <c r="J164" s="453"/>
      <c r="K164" s="453"/>
      <c r="L164" s="453"/>
      <c r="M164" s="452">
        <f>SUM(M165+M166)</f>
        <v>0</v>
      </c>
    </row>
    <row r="165" spans="1:13" ht="14.25" hidden="1">
      <c r="A165" s="161" t="s">
        <v>7</v>
      </c>
      <c r="B165" s="448"/>
      <c r="C165" s="449" t="s">
        <v>131</v>
      </c>
      <c r="D165" s="450" t="s">
        <v>460</v>
      </c>
      <c r="E165" s="450" t="s">
        <v>432</v>
      </c>
      <c r="F165" s="451" t="s">
        <v>8</v>
      </c>
      <c r="G165" s="452"/>
      <c r="H165" s="452"/>
      <c r="I165" s="452"/>
      <c r="J165" s="453"/>
      <c r="K165" s="453"/>
      <c r="L165" s="453"/>
      <c r="M165" s="452"/>
    </row>
    <row r="166" spans="1:13" ht="28.5" hidden="1">
      <c r="A166" s="161" t="s">
        <v>433</v>
      </c>
      <c r="B166" s="448"/>
      <c r="C166" s="449" t="s">
        <v>131</v>
      </c>
      <c r="D166" s="450" t="s">
        <v>460</v>
      </c>
      <c r="E166" s="450" t="s">
        <v>432</v>
      </c>
      <c r="F166" s="451" t="s">
        <v>434</v>
      </c>
      <c r="G166" s="452"/>
      <c r="H166" s="452"/>
      <c r="I166" s="452"/>
      <c r="J166" s="453"/>
      <c r="K166" s="453"/>
      <c r="L166" s="453"/>
      <c r="M166" s="452"/>
    </row>
    <row r="167" spans="1:13" ht="28.5" hidden="1">
      <c r="A167" s="161" t="s">
        <v>249</v>
      </c>
      <c r="B167" s="448"/>
      <c r="C167" s="449" t="s">
        <v>131</v>
      </c>
      <c r="D167" s="450" t="s">
        <v>460</v>
      </c>
      <c r="E167" s="450" t="s">
        <v>422</v>
      </c>
      <c r="F167" s="451"/>
      <c r="G167" s="452">
        <f>SUM(G168)</f>
        <v>0</v>
      </c>
      <c r="H167" s="452"/>
      <c r="I167" s="452"/>
      <c r="J167" s="453"/>
      <c r="K167" s="453"/>
      <c r="L167" s="453"/>
      <c r="M167" s="452">
        <f>SUM(M168)</f>
        <v>0</v>
      </c>
    </row>
    <row r="168" spans="1:13" ht="28.5" hidden="1">
      <c r="A168" s="161" t="s">
        <v>132</v>
      </c>
      <c r="B168" s="448"/>
      <c r="C168" s="449" t="s">
        <v>131</v>
      </c>
      <c r="D168" s="450" t="s">
        <v>460</v>
      </c>
      <c r="E168" s="450" t="s">
        <v>133</v>
      </c>
      <c r="F168" s="451"/>
      <c r="G168" s="452">
        <f>SUM(G169)</f>
        <v>0</v>
      </c>
      <c r="H168" s="452"/>
      <c r="I168" s="452"/>
      <c r="J168" s="453"/>
      <c r="K168" s="453"/>
      <c r="L168" s="453"/>
      <c r="M168" s="452">
        <f>SUM(M169)</f>
        <v>0</v>
      </c>
    </row>
    <row r="169" spans="1:13" ht="14.25" hidden="1">
      <c r="A169" s="161" t="s">
        <v>134</v>
      </c>
      <c r="B169" s="448"/>
      <c r="C169" s="449" t="s">
        <v>131</v>
      </c>
      <c r="D169" s="450" t="s">
        <v>460</v>
      </c>
      <c r="E169" s="450" t="s">
        <v>133</v>
      </c>
      <c r="F169" s="451" t="s">
        <v>135</v>
      </c>
      <c r="G169" s="452"/>
      <c r="H169" s="452">
        <f>SUM(H170+H173)</f>
        <v>0</v>
      </c>
      <c r="I169" s="452" t="e">
        <f aca="true" t="shared" si="5" ref="I169:I186">SUM(H169/G169*100)</f>
        <v>#DIV/0!</v>
      </c>
      <c r="J169" s="453"/>
      <c r="K169" s="453"/>
      <c r="L169" s="453"/>
      <c r="M169" s="452"/>
    </row>
    <row r="170" spans="1:13" ht="28.5" hidden="1">
      <c r="A170" s="161" t="s">
        <v>435</v>
      </c>
      <c r="B170" s="448"/>
      <c r="C170" s="449" t="s">
        <v>131</v>
      </c>
      <c r="D170" s="450" t="s">
        <v>460</v>
      </c>
      <c r="E170" s="450" t="s">
        <v>436</v>
      </c>
      <c r="F170" s="451"/>
      <c r="G170" s="452">
        <f>SUM(G171+G172)</f>
        <v>0</v>
      </c>
      <c r="H170" s="452">
        <f>SUM(H171)</f>
        <v>0</v>
      </c>
      <c r="I170" s="452" t="e">
        <f t="shared" si="5"/>
        <v>#DIV/0!</v>
      </c>
      <c r="J170" s="453"/>
      <c r="K170" s="453"/>
      <c r="L170" s="453"/>
      <c r="M170" s="452">
        <f>SUM(M171+M172)</f>
        <v>0</v>
      </c>
    </row>
    <row r="171" spans="1:13" ht="42.75" hidden="1">
      <c r="A171" s="447" t="s">
        <v>16</v>
      </c>
      <c r="B171" s="448"/>
      <c r="C171" s="449" t="s">
        <v>131</v>
      </c>
      <c r="D171" s="450" t="s">
        <v>460</v>
      </c>
      <c r="E171" s="450" t="s">
        <v>436</v>
      </c>
      <c r="F171" s="451" t="s">
        <v>58</v>
      </c>
      <c r="G171" s="452"/>
      <c r="H171" s="452">
        <f>SUM(H172)</f>
        <v>0</v>
      </c>
      <c r="I171" s="452" t="e">
        <f t="shared" si="5"/>
        <v>#DIV/0!</v>
      </c>
      <c r="J171" s="453"/>
      <c r="K171" s="453"/>
      <c r="L171" s="453"/>
      <c r="M171" s="452"/>
    </row>
    <row r="172" spans="1:13" ht="14.25" hidden="1">
      <c r="A172" s="448" t="s">
        <v>134</v>
      </c>
      <c r="B172" s="448"/>
      <c r="C172" s="449" t="s">
        <v>131</v>
      </c>
      <c r="D172" s="450" t="s">
        <v>460</v>
      </c>
      <c r="E172" s="450" t="s">
        <v>436</v>
      </c>
      <c r="F172" s="451" t="s">
        <v>135</v>
      </c>
      <c r="G172" s="452"/>
      <c r="H172" s="452"/>
      <c r="I172" s="452" t="e">
        <f t="shared" si="5"/>
        <v>#DIV/0!</v>
      </c>
      <c r="J172" s="453"/>
      <c r="K172" s="453"/>
      <c r="L172" s="453"/>
      <c r="M172" s="452"/>
    </row>
    <row r="173" spans="1:13" ht="57" hidden="1">
      <c r="A173" s="161" t="s">
        <v>439</v>
      </c>
      <c r="B173" s="448"/>
      <c r="C173" s="449" t="s">
        <v>131</v>
      </c>
      <c r="D173" s="450" t="s">
        <v>460</v>
      </c>
      <c r="E173" s="450" t="s">
        <v>440</v>
      </c>
      <c r="F173" s="451"/>
      <c r="G173" s="452">
        <f>SUM(G174)</f>
        <v>0</v>
      </c>
      <c r="H173" s="452">
        <f>SUM(H174)</f>
        <v>0</v>
      </c>
      <c r="I173" s="452" t="e">
        <f t="shared" si="5"/>
        <v>#DIV/0!</v>
      </c>
      <c r="J173" s="453"/>
      <c r="K173" s="453"/>
      <c r="L173" s="453"/>
      <c r="M173" s="452">
        <f>SUM(M174)</f>
        <v>0</v>
      </c>
    </row>
    <row r="174" spans="1:13" ht="14.25" hidden="1">
      <c r="A174" s="448" t="s">
        <v>134</v>
      </c>
      <c r="B174" s="448"/>
      <c r="C174" s="449" t="s">
        <v>131</v>
      </c>
      <c r="D174" s="450" t="s">
        <v>460</v>
      </c>
      <c r="E174" s="450" t="s">
        <v>440</v>
      </c>
      <c r="F174" s="451" t="s">
        <v>135</v>
      </c>
      <c r="G174" s="452"/>
      <c r="H174" s="452"/>
      <c r="I174" s="452" t="e">
        <f t="shared" si="5"/>
        <v>#DIV/0!</v>
      </c>
      <c r="J174" s="453"/>
      <c r="K174" s="453"/>
      <c r="L174" s="453"/>
      <c r="M174" s="452"/>
    </row>
    <row r="175" spans="1:13" ht="14.25" hidden="1">
      <c r="A175" s="447" t="s">
        <v>441</v>
      </c>
      <c r="B175" s="448"/>
      <c r="C175" s="449" t="s">
        <v>131</v>
      </c>
      <c r="D175" s="450" t="s">
        <v>460</v>
      </c>
      <c r="E175" s="450" t="s">
        <v>442</v>
      </c>
      <c r="F175" s="451"/>
      <c r="G175" s="452">
        <f>SUM(G176+G178)</f>
        <v>0</v>
      </c>
      <c r="H175" s="452" t="e">
        <f>SUM('[1]Ведомств.'!G141)</f>
        <v>#REF!</v>
      </c>
      <c r="I175" s="452" t="e">
        <f t="shared" si="5"/>
        <v>#REF!</v>
      </c>
      <c r="J175" s="453"/>
      <c r="K175" s="453"/>
      <c r="L175" s="453"/>
      <c r="M175" s="452">
        <f>SUM(M176+M178)</f>
        <v>0</v>
      </c>
    </row>
    <row r="176" spans="1:13" ht="42.75" hidden="1">
      <c r="A176" s="175" t="s">
        <v>443</v>
      </c>
      <c r="B176" s="448"/>
      <c r="C176" s="449" t="s">
        <v>131</v>
      </c>
      <c r="D176" s="450" t="s">
        <v>460</v>
      </c>
      <c r="E176" s="450" t="s">
        <v>444</v>
      </c>
      <c r="F176" s="451"/>
      <c r="G176" s="452">
        <f>SUM(G177)</f>
        <v>0</v>
      </c>
      <c r="H176" s="452"/>
      <c r="I176" s="452" t="e">
        <f t="shared" si="5"/>
        <v>#DIV/0!</v>
      </c>
      <c r="J176" s="453"/>
      <c r="K176" s="453"/>
      <c r="L176" s="453"/>
      <c r="M176" s="452">
        <f>SUM(M177)</f>
        <v>0</v>
      </c>
    </row>
    <row r="177" spans="1:13" s="11" customFormat="1" ht="15" hidden="1">
      <c r="A177" s="447" t="s">
        <v>7</v>
      </c>
      <c r="B177" s="448"/>
      <c r="C177" s="449" t="s">
        <v>131</v>
      </c>
      <c r="D177" s="450" t="s">
        <v>460</v>
      </c>
      <c r="E177" s="450" t="s">
        <v>444</v>
      </c>
      <c r="F177" s="451" t="s">
        <v>8</v>
      </c>
      <c r="G177" s="452"/>
      <c r="H177" s="496" t="e">
        <f>SUM(H178+H219)</f>
        <v>#REF!</v>
      </c>
      <c r="I177" s="496" t="e">
        <f t="shared" si="5"/>
        <v>#REF!</v>
      </c>
      <c r="J177" s="446"/>
      <c r="K177" s="446"/>
      <c r="L177" s="453"/>
      <c r="M177" s="452"/>
    </row>
    <row r="178" spans="1:13" ht="28.5" hidden="1">
      <c r="A178" s="175" t="s">
        <v>445</v>
      </c>
      <c r="B178" s="456"/>
      <c r="C178" s="449" t="s">
        <v>131</v>
      </c>
      <c r="D178" s="450" t="s">
        <v>460</v>
      </c>
      <c r="E178" s="450" t="s">
        <v>446</v>
      </c>
      <c r="F178" s="454"/>
      <c r="G178" s="452">
        <f>SUM(G179)</f>
        <v>0</v>
      </c>
      <c r="H178" s="452">
        <f>SUM(H186)+H181+H179</f>
        <v>55910.700000000004</v>
      </c>
      <c r="I178" s="452" t="e">
        <f t="shared" si="5"/>
        <v>#DIV/0!</v>
      </c>
      <c r="J178" s="453"/>
      <c r="K178" s="453"/>
      <c r="L178" s="453"/>
      <c r="M178" s="452">
        <f>SUM(M179)</f>
        <v>0</v>
      </c>
    </row>
    <row r="179" spans="1:13" ht="14.25" hidden="1">
      <c r="A179" s="447" t="s">
        <v>103</v>
      </c>
      <c r="B179" s="502"/>
      <c r="C179" s="449" t="s">
        <v>131</v>
      </c>
      <c r="D179" s="450" t="s">
        <v>460</v>
      </c>
      <c r="E179" s="450" t="s">
        <v>446</v>
      </c>
      <c r="F179" s="451" t="s">
        <v>104</v>
      </c>
      <c r="G179" s="452"/>
      <c r="H179" s="452">
        <f>SUM(H180)+H183+H184</f>
        <v>25204.300000000003</v>
      </c>
      <c r="I179" s="452" t="e">
        <f t="shared" si="5"/>
        <v>#DIV/0!</v>
      </c>
      <c r="J179" s="453"/>
      <c r="K179" s="453"/>
      <c r="L179" s="453"/>
      <c r="M179" s="452"/>
    </row>
    <row r="180" spans="1:13" ht="14.25" hidden="1">
      <c r="A180" s="175" t="s">
        <v>3</v>
      </c>
      <c r="B180" s="448"/>
      <c r="C180" s="449" t="s">
        <v>131</v>
      </c>
      <c r="D180" s="450" t="s">
        <v>460</v>
      </c>
      <c r="E180" s="450" t="s">
        <v>4</v>
      </c>
      <c r="F180" s="451"/>
      <c r="G180" s="452">
        <f>SUM(G183)+G188+G181</f>
        <v>0</v>
      </c>
      <c r="H180" s="452">
        <v>24333.9</v>
      </c>
      <c r="I180" s="452" t="e">
        <f t="shared" si="5"/>
        <v>#DIV/0!</v>
      </c>
      <c r="J180" s="453"/>
      <c r="K180" s="453"/>
      <c r="L180" s="453"/>
      <c r="M180" s="452">
        <f>SUM(M183)+M188+M181</f>
        <v>0</v>
      </c>
    </row>
    <row r="181" spans="1:13" ht="42.75" hidden="1">
      <c r="A181" s="175" t="s">
        <v>447</v>
      </c>
      <c r="B181" s="448"/>
      <c r="C181" s="449" t="s">
        <v>131</v>
      </c>
      <c r="D181" s="450" t="s">
        <v>460</v>
      </c>
      <c r="E181" s="450" t="s">
        <v>448</v>
      </c>
      <c r="F181" s="451"/>
      <c r="G181" s="452">
        <f>SUM(G182)</f>
        <v>0</v>
      </c>
      <c r="H181" s="452">
        <f>SUM(H182)</f>
        <v>0</v>
      </c>
      <c r="I181" s="452" t="e">
        <f t="shared" si="5"/>
        <v>#DIV/0!</v>
      </c>
      <c r="J181" s="453"/>
      <c r="K181" s="453"/>
      <c r="L181" s="453"/>
      <c r="M181" s="452">
        <f>SUM(M182)</f>
        <v>0</v>
      </c>
    </row>
    <row r="182" spans="1:13" ht="14.25" hidden="1">
      <c r="A182" s="175" t="s">
        <v>134</v>
      </c>
      <c r="B182" s="448"/>
      <c r="C182" s="449" t="s">
        <v>131</v>
      </c>
      <c r="D182" s="450" t="s">
        <v>460</v>
      </c>
      <c r="E182" s="450" t="s">
        <v>448</v>
      </c>
      <c r="F182" s="451" t="s">
        <v>135</v>
      </c>
      <c r="G182" s="452"/>
      <c r="H182" s="452"/>
      <c r="I182" s="452" t="e">
        <f t="shared" si="5"/>
        <v>#DIV/0!</v>
      </c>
      <c r="J182" s="453"/>
      <c r="K182" s="453"/>
      <c r="L182" s="453"/>
      <c r="M182" s="452"/>
    </row>
    <row r="183" spans="1:13" ht="42.75" hidden="1">
      <c r="A183" s="447" t="s">
        <v>449</v>
      </c>
      <c r="B183" s="448"/>
      <c r="C183" s="449" t="s">
        <v>131</v>
      </c>
      <c r="D183" s="450" t="s">
        <v>460</v>
      </c>
      <c r="E183" s="450" t="s">
        <v>450</v>
      </c>
      <c r="F183" s="451"/>
      <c r="G183" s="452">
        <f>SUM(G184+G186)</f>
        <v>0</v>
      </c>
      <c r="H183" s="452"/>
      <c r="I183" s="452" t="e">
        <f t="shared" si="5"/>
        <v>#DIV/0!</v>
      </c>
      <c r="J183" s="453"/>
      <c r="K183" s="453"/>
      <c r="L183" s="453"/>
      <c r="M183" s="452">
        <f>SUM(M184+M186)</f>
        <v>0</v>
      </c>
    </row>
    <row r="184" spans="1:13" ht="28.5" hidden="1">
      <c r="A184" s="175" t="s">
        <v>451</v>
      </c>
      <c r="B184" s="448"/>
      <c r="C184" s="449" t="s">
        <v>131</v>
      </c>
      <c r="D184" s="450" t="s">
        <v>460</v>
      </c>
      <c r="E184" s="450" t="s">
        <v>452</v>
      </c>
      <c r="F184" s="451"/>
      <c r="G184" s="452">
        <f>SUM(G185)</f>
        <v>0</v>
      </c>
      <c r="H184" s="452">
        <f>SUM(H185)</f>
        <v>870.4</v>
      </c>
      <c r="I184" s="452" t="e">
        <f t="shared" si="5"/>
        <v>#DIV/0!</v>
      </c>
      <c r="J184" s="453"/>
      <c r="K184" s="453"/>
      <c r="L184" s="453"/>
      <c r="M184" s="452">
        <f>SUM(M185)</f>
        <v>0</v>
      </c>
    </row>
    <row r="185" spans="1:13" ht="14.25" hidden="1">
      <c r="A185" s="161" t="s">
        <v>134</v>
      </c>
      <c r="B185" s="448"/>
      <c r="C185" s="449" t="s">
        <v>131</v>
      </c>
      <c r="D185" s="450" t="s">
        <v>460</v>
      </c>
      <c r="E185" s="450" t="s">
        <v>452</v>
      </c>
      <c r="F185" s="451" t="s">
        <v>135</v>
      </c>
      <c r="G185" s="452"/>
      <c r="H185" s="452">
        <v>870.4</v>
      </c>
      <c r="I185" s="452" t="e">
        <f t="shared" si="5"/>
        <v>#DIV/0!</v>
      </c>
      <c r="J185" s="453"/>
      <c r="K185" s="453"/>
      <c r="L185" s="453"/>
      <c r="M185" s="452"/>
    </row>
    <row r="186" spans="1:13" ht="14.25" hidden="1">
      <c r="A186" s="161" t="s">
        <v>453</v>
      </c>
      <c r="B186" s="448"/>
      <c r="C186" s="449" t="s">
        <v>131</v>
      </c>
      <c r="D186" s="450" t="s">
        <v>460</v>
      </c>
      <c r="E186" s="450" t="s">
        <v>454</v>
      </c>
      <c r="F186" s="451"/>
      <c r="G186" s="452">
        <f>SUM(G187)</f>
        <v>0</v>
      </c>
      <c r="H186" s="452">
        <f>SUM(H189)</f>
        <v>30706.4</v>
      </c>
      <c r="I186" s="452" t="e">
        <f t="shared" si="5"/>
        <v>#DIV/0!</v>
      </c>
      <c r="J186" s="453"/>
      <c r="K186" s="453"/>
      <c r="L186" s="453"/>
      <c r="M186" s="452">
        <f>SUM(M187)</f>
        <v>0</v>
      </c>
    </row>
    <row r="187" spans="1:13" ht="14.25" hidden="1">
      <c r="A187" s="447" t="s">
        <v>103</v>
      </c>
      <c r="B187" s="502"/>
      <c r="C187" s="449" t="s">
        <v>131</v>
      </c>
      <c r="D187" s="450" t="s">
        <v>460</v>
      </c>
      <c r="E187" s="450" t="s">
        <v>454</v>
      </c>
      <c r="F187" s="451" t="s">
        <v>104</v>
      </c>
      <c r="G187" s="452"/>
      <c r="H187" s="452"/>
      <c r="I187" s="452"/>
      <c r="J187" s="453"/>
      <c r="K187" s="453"/>
      <c r="L187" s="453"/>
      <c r="M187" s="452"/>
    </row>
    <row r="188" spans="1:13" ht="28.5" hidden="1">
      <c r="A188" s="447" t="s">
        <v>455</v>
      </c>
      <c r="B188" s="502"/>
      <c r="C188" s="449" t="s">
        <v>131</v>
      </c>
      <c r="D188" s="450" t="s">
        <v>460</v>
      </c>
      <c r="E188" s="450" t="s">
        <v>456</v>
      </c>
      <c r="F188" s="451"/>
      <c r="G188" s="452"/>
      <c r="H188" s="452"/>
      <c r="I188" s="452"/>
      <c r="J188" s="453"/>
      <c r="K188" s="453"/>
      <c r="L188" s="453"/>
      <c r="M188" s="452"/>
    </row>
    <row r="189" spans="1:13" ht="42.75" hidden="1">
      <c r="A189" s="447" t="s">
        <v>44</v>
      </c>
      <c r="B189" s="502"/>
      <c r="C189" s="449" t="s">
        <v>131</v>
      </c>
      <c r="D189" s="450" t="s">
        <v>460</v>
      </c>
      <c r="E189" s="450" t="s">
        <v>45</v>
      </c>
      <c r="F189" s="451"/>
      <c r="G189" s="452">
        <f>SUM(G190)</f>
        <v>0</v>
      </c>
      <c r="H189" s="452">
        <f>SUM(H190)+H191</f>
        <v>30706.4</v>
      </c>
      <c r="I189" s="452" t="e">
        <f>SUM(H189/G189*100)</f>
        <v>#DIV/0!</v>
      </c>
      <c r="J189" s="453"/>
      <c r="K189" s="453"/>
      <c r="L189" s="453"/>
      <c r="M189" s="452">
        <f>SUM(M190)</f>
        <v>0</v>
      </c>
    </row>
    <row r="190" spans="1:13" ht="14.25" hidden="1">
      <c r="A190" s="447" t="s">
        <v>7</v>
      </c>
      <c r="B190" s="502"/>
      <c r="C190" s="449" t="s">
        <v>131</v>
      </c>
      <c r="D190" s="450" t="s">
        <v>460</v>
      </c>
      <c r="E190" s="450" t="s">
        <v>45</v>
      </c>
      <c r="F190" s="451" t="s">
        <v>8</v>
      </c>
      <c r="G190" s="452"/>
      <c r="H190" s="452">
        <v>30706.4</v>
      </c>
      <c r="I190" s="452" t="e">
        <f>SUM(H190/G190*100)</f>
        <v>#DIV/0!</v>
      </c>
      <c r="J190" s="453"/>
      <c r="K190" s="453"/>
      <c r="L190" s="453"/>
      <c r="M190" s="452"/>
    </row>
    <row r="191" spans="1:13" ht="42.75" hidden="1">
      <c r="A191" s="447" t="s">
        <v>46</v>
      </c>
      <c r="B191" s="502"/>
      <c r="C191" s="449" t="s">
        <v>131</v>
      </c>
      <c r="D191" s="450" t="s">
        <v>460</v>
      </c>
      <c r="E191" s="450" t="s">
        <v>47</v>
      </c>
      <c r="F191" s="451"/>
      <c r="G191" s="452">
        <f>SUM(G192)</f>
        <v>0</v>
      </c>
      <c r="H191" s="452">
        <f>SUM(H192)</f>
        <v>0</v>
      </c>
      <c r="I191" s="452" t="e">
        <f>SUM(H191/G191*100)</f>
        <v>#DIV/0!</v>
      </c>
      <c r="J191" s="453"/>
      <c r="K191" s="453"/>
      <c r="L191" s="453"/>
      <c r="M191" s="452">
        <f>SUM(M192)</f>
        <v>0</v>
      </c>
    </row>
    <row r="192" spans="1:13" ht="14.25" hidden="1">
      <c r="A192" s="447" t="s">
        <v>7</v>
      </c>
      <c r="B192" s="502"/>
      <c r="C192" s="449" t="s">
        <v>131</v>
      </c>
      <c r="D192" s="450" t="s">
        <v>460</v>
      </c>
      <c r="E192" s="450" t="s">
        <v>47</v>
      </c>
      <c r="F192" s="451" t="s">
        <v>8</v>
      </c>
      <c r="G192" s="452"/>
      <c r="H192" s="452"/>
      <c r="I192" s="452" t="e">
        <f>SUM(H192/G192*100)</f>
        <v>#DIV/0!</v>
      </c>
      <c r="J192" s="453"/>
      <c r="K192" s="453"/>
      <c r="L192" s="453"/>
      <c r="M192" s="452"/>
    </row>
    <row r="193" spans="1:13" ht="14.25" hidden="1">
      <c r="A193" s="447" t="s">
        <v>441</v>
      </c>
      <c r="B193" s="502"/>
      <c r="C193" s="449" t="s">
        <v>131</v>
      </c>
      <c r="D193" s="450" t="s">
        <v>460</v>
      </c>
      <c r="E193" s="450" t="s">
        <v>442</v>
      </c>
      <c r="F193" s="451"/>
      <c r="G193" s="452">
        <f>SUM(G194)</f>
        <v>0</v>
      </c>
      <c r="H193" s="452"/>
      <c r="I193" s="452"/>
      <c r="J193" s="453"/>
      <c r="K193" s="453"/>
      <c r="L193" s="453"/>
      <c r="M193" s="452">
        <f>SUM(M194)</f>
        <v>0</v>
      </c>
    </row>
    <row r="194" spans="1:13" s="503" customFormat="1" ht="42.75" hidden="1">
      <c r="A194" s="447" t="s">
        <v>288</v>
      </c>
      <c r="B194" s="502"/>
      <c r="C194" s="449" t="s">
        <v>131</v>
      </c>
      <c r="D194" s="450" t="s">
        <v>460</v>
      </c>
      <c r="E194" s="450" t="s">
        <v>446</v>
      </c>
      <c r="F194" s="451"/>
      <c r="G194" s="452">
        <f>SUM(G195)</f>
        <v>0</v>
      </c>
      <c r="H194" s="452"/>
      <c r="I194" s="452"/>
      <c r="J194" s="453"/>
      <c r="K194" s="453"/>
      <c r="L194" s="453"/>
      <c r="M194" s="452">
        <f>SUM(M195)</f>
        <v>0</v>
      </c>
    </row>
    <row r="195" spans="1:13" s="503" customFormat="1" ht="14.25" hidden="1">
      <c r="A195" s="447" t="s">
        <v>103</v>
      </c>
      <c r="B195" s="502"/>
      <c r="C195" s="449" t="s">
        <v>131</v>
      </c>
      <c r="D195" s="450" t="s">
        <v>460</v>
      </c>
      <c r="E195" s="450" t="s">
        <v>446</v>
      </c>
      <c r="F195" s="451" t="s">
        <v>104</v>
      </c>
      <c r="G195" s="452"/>
      <c r="H195" s="452"/>
      <c r="I195" s="452"/>
      <c r="J195" s="453"/>
      <c r="K195" s="453"/>
      <c r="L195" s="453"/>
      <c r="M195" s="452"/>
    </row>
    <row r="196" spans="1:13" s="504" customFormat="1" ht="14.25" hidden="1">
      <c r="A196" s="448" t="s">
        <v>128</v>
      </c>
      <c r="B196" s="448"/>
      <c r="C196" s="449" t="s">
        <v>131</v>
      </c>
      <c r="D196" s="450" t="s">
        <v>460</v>
      </c>
      <c r="E196" s="450" t="s">
        <v>129</v>
      </c>
      <c r="F196" s="451"/>
      <c r="G196" s="452">
        <f>SUM(G197+G200)+G204</f>
        <v>0</v>
      </c>
      <c r="H196" s="452"/>
      <c r="I196" s="452"/>
      <c r="J196" s="497"/>
      <c r="K196" s="497"/>
      <c r="L196" s="453"/>
      <c r="M196" s="452">
        <f>SUM(M197+M200)+M204</f>
        <v>0</v>
      </c>
    </row>
    <row r="197" spans="1:13" s="505" customFormat="1" ht="42.75" hidden="1">
      <c r="A197" s="448" t="s">
        <v>492</v>
      </c>
      <c r="B197" s="448"/>
      <c r="C197" s="449" t="s">
        <v>131</v>
      </c>
      <c r="D197" s="450" t="s">
        <v>460</v>
      </c>
      <c r="E197" s="450" t="s">
        <v>298</v>
      </c>
      <c r="F197" s="451"/>
      <c r="G197" s="455">
        <f>SUM(G198)</f>
        <v>0</v>
      </c>
      <c r="H197" s="452"/>
      <c r="I197" s="452"/>
      <c r="J197" s="497"/>
      <c r="K197" s="497"/>
      <c r="L197" s="453"/>
      <c r="M197" s="455">
        <f>SUM(M198)</f>
        <v>0</v>
      </c>
    </row>
    <row r="198" spans="1:13" s="13" customFormat="1" ht="14.25" hidden="1">
      <c r="A198" s="161" t="s">
        <v>7</v>
      </c>
      <c r="B198" s="448"/>
      <c r="C198" s="449" t="s">
        <v>131</v>
      </c>
      <c r="D198" s="450" t="s">
        <v>460</v>
      </c>
      <c r="E198" s="450" t="s">
        <v>298</v>
      </c>
      <c r="F198" s="451" t="s">
        <v>8</v>
      </c>
      <c r="G198" s="455"/>
      <c r="H198" s="452"/>
      <c r="I198" s="452"/>
      <c r="J198" s="464"/>
      <c r="K198" s="464"/>
      <c r="L198" s="453"/>
      <c r="M198" s="455"/>
    </row>
    <row r="199" spans="1:13" s="13" customFormat="1" ht="14.25" hidden="1">
      <c r="A199" s="448" t="s">
        <v>48</v>
      </c>
      <c r="B199" s="448"/>
      <c r="C199" s="449" t="s">
        <v>131</v>
      </c>
      <c r="D199" s="450" t="s">
        <v>460</v>
      </c>
      <c r="E199" s="450" t="s">
        <v>49</v>
      </c>
      <c r="F199" s="451" t="s">
        <v>104</v>
      </c>
      <c r="G199" s="452"/>
      <c r="H199" s="452"/>
      <c r="I199" s="452"/>
      <c r="J199" s="464"/>
      <c r="K199" s="464"/>
      <c r="L199" s="453"/>
      <c r="M199" s="452"/>
    </row>
    <row r="200" spans="1:13" s="13" customFormat="1" ht="14.25" hidden="1">
      <c r="A200" s="448" t="s">
        <v>134</v>
      </c>
      <c r="B200" s="448"/>
      <c r="C200" s="449" t="s">
        <v>131</v>
      </c>
      <c r="D200" s="450" t="s">
        <v>460</v>
      </c>
      <c r="E200" s="450" t="s">
        <v>129</v>
      </c>
      <c r="F200" s="451" t="s">
        <v>135</v>
      </c>
      <c r="G200" s="452">
        <f>SUM(G201)</f>
        <v>0</v>
      </c>
      <c r="H200" s="452"/>
      <c r="I200" s="452"/>
      <c r="J200" s="464"/>
      <c r="K200" s="464"/>
      <c r="L200" s="453"/>
      <c r="M200" s="452">
        <f>SUM(M201)</f>
        <v>0</v>
      </c>
    </row>
    <row r="201" spans="1:13" s="13" customFormat="1" ht="28.5" hidden="1">
      <c r="A201" s="161" t="s">
        <v>50</v>
      </c>
      <c r="B201" s="448"/>
      <c r="C201" s="449" t="s">
        <v>131</v>
      </c>
      <c r="D201" s="450" t="s">
        <v>460</v>
      </c>
      <c r="E201" s="450" t="s">
        <v>51</v>
      </c>
      <c r="F201" s="451" t="s">
        <v>135</v>
      </c>
      <c r="G201" s="452">
        <f>SUM(G203)</f>
        <v>0</v>
      </c>
      <c r="H201" s="452"/>
      <c r="I201" s="452"/>
      <c r="J201" s="464"/>
      <c r="K201" s="464"/>
      <c r="L201" s="453"/>
      <c r="M201" s="452">
        <f>SUM(M203)</f>
        <v>0</v>
      </c>
    </row>
    <row r="202" spans="1:13" s="505" customFormat="1" ht="28.5" hidden="1">
      <c r="A202" s="161" t="s">
        <v>66</v>
      </c>
      <c r="B202" s="448"/>
      <c r="C202" s="449"/>
      <c r="D202" s="450"/>
      <c r="E202" s="450"/>
      <c r="F202" s="451"/>
      <c r="G202" s="452"/>
      <c r="H202" s="452"/>
      <c r="I202" s="452"/>
      <c r="J202" s="497"/>
      <c r="K202" s="497"/>
      <c r="L202" s="453"/>
      <c r="M202" s="452"/>
    </row>
    <row r="203" spans="1:13" s="505" customFormat="1" ht="28.5" hidden="1">
      <c r="A203" s="175" t="s">
        <v>451</v>
      </c>
      <c r="B203" s="448"/>
      <c r="C203" s="449" t="s">
        <v>131</v>
      </c>
      <c r="D203" s="450" t="s">
        <v>460</v>
      </c>
      <c r="E203" s="450" t="s">
        <v>52</v>
      </c>
      <c r="F203" s="451" t="s">
        <v>135</v>
      </c>
      <c r="G203" s="452"/>
      <c r="H203" s="452"/>
      <c r="I203" s="452"/>
      <c r="J203" s="497"/>
      <c r="K203" s="497"/>
      <c r="L203" s="453"/>
      <c r="M203" s="452"/>
    </row>
    <row r="204" spans="1:13" s="505" customFormat="1" ht="28.5" hidden="1">
      <c r="A204" s="447" t="s">
        <v>53</v>
      </c>
      <c r="B204" s="448"/>
      <c r="C204" s="449" t="s">
        <v>131</v>
      </c>
      <c r="D204" s="450" t="s">
        <v>460</v>
      </c>
      <c r="E204" s="450" t="s">
        <v>54</v>
      </c>
      <c r="F204" s="451"/>
      <c r="G204" s="452">
        <f>SUM(G205)</f>
        <v>0</v>
      </c>
      <c r="H204" s="452"/>
      <c r="I204" s="452"/>
      <c r="J204" s="497"/>
      <c r="K204" s="497"/>
      <c r="L204" s="453"/>
      <c r="M204" s="452">
        <f>SUM(M205)</f>
        <v>0</v>
      </c>
    </row>
    <row r="205" spans="1:13" s="505" customFormat="1" ht="14.25" hidden="1">
      <c r="A205" s="448" t="s">
        <v>134</v>
      </c>
      <c r="B205" s="448"/>
      <c r="C205" s="449" t="s">
        <v>131</v>
      </c>
      <c r="D205" s="450" t="s">
        <v>460</v>
      </c>
      <c r="E205" s="450" t="s">
        <v>54</v>
      </c>
      <c r="F205" s="451" t="s">
        <v>135</v>
      </c>
      <c r="G205" s="452"/>
      <c r="H205" s="452"/>
      <c r="I205" s="452"/>
      <c r="J205" s="497"/>
      <c r="K205" s="497"/>
      <c r="L205" s="453"/>
      <c r="M205" s="452"/>
    </row>
    <row r="206" spans="1:13" s="505" customFormat="1" ht="14.25">
      <c r="A206" s="161" t="s">
        <v>55</v>
      </c>
      <c r="B206" s="459"/>
      <c r="C206" s="460" t="s">
        <v>131</v>
      </c>
      <c r="D206" s="461" t="s">
        <v>462</v>
      </c>
      <c r="E206" s="461"/>
      <c r="F206" s="462"/>
      <c r="G206" s="463">
        <f>G207</f>
        <v>8374.9</v>
      </c>
      <c r="H206" s="452"/>
      <c r="I206" s="452"/>
      <c r="J206" s="497"/>
      <c r="K206" s="497"/>
      <c r="L206" s="453"/>
      <c r="M206" s="463">
        <f>M207</f>
        <v>2054.9</v>
      </c>
    </row>
    <row r="207" spans="1:13" s="505" customFormat="1" ht="14.25">
      <c r="A207" s="161" t="s">
        <v>295</v>
      </c>
      <c r="B207" s="459"/>
      <c r="C207" s="460" t="s">
        <v>131</v>
      </c>
      <c r="D207" s="461" t="s">
        <v>462</v>
      </c>
      <c r="E207" s="461" t="s">
        <v>554</v>
      </c>
      <c r="F207" s="462"/>
      <c r="G207" s="463">
        <f>G208</f>
        <v>8374.9</v>
      </c>
      <c r="H207" s="452"/>
      <c r="I207" s="452"/>
      <c r="J207" s="497"/>
      <c r="K207" s="497"/>
      <c r="L207" s="453"/>
      <c r="M207" s="463">
        <f>M208</f>
        <v>2054.9</v>
      </c>
    </row>
    <row r="208" spans="1:13" s="505" customFormat="1" ht="14.25">
      <c r="A208" s="161" t="s">
        <v>41</v>
      </c>
      <c r="B208" s="459"/>
      <c r="C208" s="460" t="s">
        <v>131</v>
      </c>
      <c r="D208" s="461" t="s">
        <v>462</v>
      </c>
      <c r="E208" s="461" t="s">
        <v>555</v>
      </c>
      <c r="F208" s="462"/>
      <c r="G208" s="463">
        <f>SUM(G209)</f>
        <v>8374.9</v>
      </c>
      <c r="H208" s="452"/>
      <c r="I208" s="452"/>
      <c r="J208" s="497"/>
      <c r="K208" s="497"/>
      <c r="L208" s="453"/>
      <c r="M208" s="463">
        <f>SUM(M209)</f>
        <v>2054.9</v>
      </c>
    </row>
    <row r="209" spans="1:13" s="505" customFormat="1" ht="14.25">
      <c r="A209" s="161" t="s">
        <v>500</v>
      </c>
      <c r="B209" s="459"/>
      <c r="C209" s="460" t="s">
        <v>131</v>
      </c>
      <c r="D209" s="461" t="s">
        <v>462</v>
      </c>
      <c r="E209" s="461" t="s">
        <v>555</v>
      </c>
      <c r="F209" s="462" t="s">
        <v>120</v>
      </c>
      <c r="G209" s="463">
        <v>8374.9</v>
      </c>
      <c r="H209" s="452"/>
      <c r="I209" s="452"/>
      <c r="J209" s="497">
        <f>SUM('[2]ведомствен.2015-2016'!G221)</f>
        <v>8374.9</v>
      </c>
      <c r="K209" s="497">
        <f>SUM('[2]ведомствен.2015-2016'!H221)</f>
        <v>2054.9</v>
      </c>
      <c r="L209" s="453">
        <f aca="true" t="shared" si="6" ref="L209:L272">SUM(G209-J209)</f>
        <v>0</v>
      </c>
      <c r="M209" s="463">
        <v>2054.9</v>
      </c>
    </row>
    <row r="210" spans="1:13" s="505" customFormat="1" ht="28.5" hidden="1">
      <c r="A210" s="161" t="s">
        <v>520</v>
      </c>
      <c r="B210" s="459"/>
      <c r="C210" s="460" t="s">
        <v>131</v>
      </c>
      <c r="D210" s="461" t="s">
        <v>462</v>
      </c>
      <c r="E210" s="461" t="s">
        <v>555</v>
      </c>
      <c r="F210" s="462" t="s">
        <v>521</v>
      </c>
      <c r="G210" s="463"/>
      <c r="H210" s="452"/>
      <c r="I210" s="452"/>
      <c r="J210" s="497"/>
      <c r="K210" s="497"/>
      <c r="L210" s="453">
        <f t="shared" si="6"/>
        <v>0</v>
      </c>
      <c r="M210" s="463"/>
    </row>
    <row r="211" spans="1:13" s="505" customFormat="1" ht="28.5" hidden="1">
      <c r="A211" s="161" t="s">
        <v>520</v>
      </c>
      <c r="B211" s="459"/>
      <c r="C211" s="460" t="s">
        <v>131</v>
      </c>
      <c r="D211" s="461" t="s">
        <v>462</v>
      </c>
      <c r="E211" s="461" t="s">
        <v>555</v>
      </c>
      <c r="F211" s="462" t="s">
        <v>521</v>
      </c>
      <c r="G211" s="463"/>
      <c r="H211" s="452"/>
      <c r="I211" s="452"/>
      <c r="J211" s="497"/>
      <c r="K211" s="497"/>
      <c r="L211" s="453">
        <f t="shared" si="6"/>
        <v>0</v>
      </c>
      <c r="M211" s="463"/>
    </row>
    <row r="212" spans="1:13" s="505" customFormat="1" ht="14.25">
      <c r="A212" s="161" t="s">
        <v>43</v>
      </c>
      <c r="B212" s="459"/>
      <c r="C212" s="460" t="s">
        <v>131</v>
      </c>
      <c r="D212" s="461" t="s">
        <v>106</v>
      </c>
      <c r="E212" s="461"/>
      <c r="F212" s="462"/>
      <c r="G212" s="463">
        <f>G213</f>
        <v>47362.7</v>
      </c>
      <c r="H212" s="452"/>
      <c r="I212" s="452"/>
      <c r="J212" s="497"/>
      <c r="K212" s="497"/>
      <c r="L212" s="453"/>
      <c r="M212" s="463">
        <f>M213</f>
        <v>47362.7</v>
      </c>
    </row>
    <row r="213" spans="1:13" s="505" customFormat="1" ht="14.25">
      <c r="A213" s="161" t="s">
        <v>43</v>
      </c>
      <c r="B213" s="482"/>
      <c r="C213" s="460" t="s">
        <v>131</v>
      </c>
      <c r="D213" s="461" t="s">
        <v>106</v>
      </c>
      <c r="E213" s="487" t="s">
        <v>71</v>
      </c>
      <c r="F213" s="488"/>
      <c r="G213" s="463">
        <f>G214+G218+G222</f>
        <v>47362.7</v>
      </c>
      <c r="H213" s="452"/>
      <c r="I213" s="452"/>
      <c r="J213" s="497"/>
      <c r="K213" s="497"/>
      <c r="L213" s="453"/>
      <c r="M213" s="463">
        <f>M214+M218+M222</f>
        <v>47362.7</v>
      </c>
    </row>
    <row r="214" spans="1:13" s="505" customFormat="1" ht="14.25">
      <c r="A214" s="456" t="s">
        <v>72</v>
      </c>
      <c r="B214" s="482"/>
      <c r="C214" s="460" t="s">
        <v>131</v>
      </c>
      <c r="D214" s="461" t="s">
        <v>106</v>
      </c>
      <c r="E214" s="487" t="s">
        <v>73</v>
      </c>
      <c r="F214" s="488"/>
      <c r="G214" s="463">
        <f>SUM(G215)</f>
        <v>39469.2</v>
      </c>
      <c r="H214" s="452"/>
      <c r="I214" s="452"/>
      <c r="J214" s="497"/>
      <c r="K214" s="497"/>
      <c r="L214" s="453"/>
      <c r="M214" s="463">
        <f>SUM(M215)</f>
        <v>39469.2</v>
      </c>
    </row>
    <row r="215" spans="1:13" s="504" customFormat="1" ht="14.25">
      <c r="A215" s="161" t="s">
        <v>500</v>
      </c>
      <c r="B215" s="482"/>
      <c r="C215" s="460" t="s">
        <v>131</v>
      </c>
      <c r="D215" s="461" t="s">
        <v>106</v>
      </c>
      <c r="E215" s="487" t="s">
        <v>73</v>
      </c>
      <c r="F215" s="488" t="s">
        <v>120</v>
      </c>
      <c r="G215" s="463">
        <v>39469.2</v>
      </c>
      <c r="H215" s="452"/>
      <c r="I215" s="452"/>
      <c r="J215" s="497">
        <f>SUM('[2]ведомствен.2015-2016'!G227)</f>
        <v>39469.2</v>
      </c>
      <c r="K215" s="497">
        <f>SUM('[2]ведомствен.2015-2016'!H227)</f>
        <v>39469.2</v>
      </c>
      <c r="L215" s="453">
        <f t="shared" si="6"/>
        <v>0</v>
      </c>
      <c r="M215" s="463">
        <v>39469.2</v>
      </c>
    </row>
    <row r="216" spans="1:13" s="504" customFormat="1" ht="28.5" hidden="1">
      <c r="A216" s="161" t="s">
        <v>518</v>
      </c>
      <c r="B216" s="482"/>
      <c r="C216" s="460" t="s">
        <v>131</v>
      </c>
      <c r="D216" s="461" t="s">
        <v>106</v>
      </c>
      <c r="E216" s="487" t="s">
        <v>73</v>
      </c>
      <c r="F216" s="488" t="s">
        <v>519</v>
      </c>
      <c r="G216" s="463"/>
      <c r="H216" s="452"/>
      <c r="I216" s="452"/>
      <c r="J216" s="497"/>
      <c r="K216" s="497"/>
      <c r="L216" s="453">
        <f t="shared" si="6"/>
        <v>0</v>
      </c>
      <c r="M216" s="463"/>
    </row>
    <row r="217" spans="1:13" s="504" customFormat="1" ht="28.5" hidden="1">
      <c r="A217" s="161" t="s">
        <v>520</v>
      </c>
      <c r="B217" s="482"/>
      <c r="C217" s="460" t="s">
        <v>131</v>
      </c>
      <c r="D217" s="461" t="s">
        <v>106</v>
      </c>
      <c r="E217" s="487" t="s">
        <v>73</v>
      </c>
      <c r="F217" s="488" t="s">
        <v>521</v>
      </c>
      <c r="G217" s="463"/>
      <c r="H217" s="452"/>
      <c r="I217" s="452"/>
      <c r="J217" s="497"/>
      <c r="K217" s="497"/>
      <c r="L217" s="453">
        <f t="shared" si="6"/>
        <v>0</v>
      </c>
      <c r="M217" s="463"/>
    </row>
    <row r="218" spans="1:13" s="503" customFormat="1" ht="28.5">
      <c r="A218" s="161" t="s">
        <v>605</v>
      </c>
      <c r="B218" s="482"/>
      <c r="C218" s="460" t="s">
        <v>131</v>
      </c>
      <c r="D218" s="461" t="s">
        <v>106</v>
      </c>
      <c r="E218" s="487" t="s">
        <v>40</v>
      </c>
      <c r="F218" s="488"/>
      <c r="G218" s="463">
        <f>G219</f>
        <v>7695.1</v>
      </c>
      <c r="H218" s="452"/>
      <c r="I218" s="452"/>
      <c r="J218" s="453"/>
      <c r="K218" s="453"/>
      <c r="L218" s="453"/>
      <c r="M218" s="463">
        <f>M219</f>
        <v>7695.1</v>
      </c>
    </row>
    <row r="219" spans="1:13" ht="13.5" customHeight="1">
      <c r="A219" s="161" t="s">
        <v>500</v>
      </c>
      <c r="B219" s="482"/>
      <c r="C219" s="460" t="s">
        <v>131</v>
      </c>
      <c r="D219" s="461" t="s">
        <v>106</v>
      </c>
      <c r="E219" s="487" t="s">
        <v>40</v>
      </c>
      <c r="F219" s="488" t="s">
        <v>120</v>
      </c>
      <c r="G219" s="463">
        <v>7695.1</v>
      </c>
      <c r="H219" s="452" t="e">
        <f>SUM(H220+H225+H232+#REF!)</f>
        <v>#REF!</v>
      </c>
      <c r="I219" s="452" t="e">
        <f aca="true" t="shared" si="7" ref="I219:I224">SUM(H219/G219*100)</f>
        <v>#REF!</v>
      </c>
      <c r="J219" s="497">
        <f>SUM('[2]ведомствен.2015-2016'!G231)</f>
        <v>7695.1</v>
      </c>
      <c r="K219" s="497">
        <f>SUM('[2]ведомствен.2015-2016'!H231)</f>
        <v>7695.1</v>
      </c>
      <c r="L219" s="453">
        <f t="shared" si="6"/>
        <v>0</v>
      </c>
      <c r="M219" s="463">
        <v>7695.1</v>
      </c>
    </row>
    <row r="220" spans="1:13" ht="28.5" hidden="1">
      <c r="A220" s="161" t="s">
        <v>518</v>
      </c>
      <c r="B220" s="482"/>
      <c r="C220" s="460" t="s">
        <v>131</v>
      </c>
      <c r="D220" s="461" t="s">
        <v>106</v>
      </c>
      <c r="E220" s="487" t="s">
        <v>40</v>
      </c>
      <c r="F220" s="488" t="s">
        <v>519</v>
      </c>
      <c r="G220" s="463"/>
      <c r="H220" s="452">
        <f>SUM(H221)</f>
        <v>0</v>
      </c>
      <c r="I220" s="452" t="e">
        <f t="shared" si="7"/>
        <v>#DIV/0!</v>
      </c>
      <c r="J220" s="453"/>
      <c r="K220" s="453"/>
      <c r="L220" s="453">
        <f t="shared" si="6"/>
        <v>0</v>
      </c>
      <c r="M220" s="463"/>
    </row>
    <row r="221" spans="1:13" ht="28.5" hidden="1">
      <c r="A221" s="161" t="s">
        <v>520</v>
      </c>
      <c r="B221" s="482"/>
      <c r="C221" s="460" t="s">
        <v>131</v>
      </c>
      <c r="D221" s="461" t="s">
        <v>106</v>
      </c>
      <c r="E221" s="487" t="s">
        <v>40</v>
      </c>
      <c r="F221" s="488" t="s">
        <v>521</v>
      </c>
      <c r="G221" s="463"/>
      <c r="H221" s="452"/>
      <c r="I221" s="452" t="e">
        <f t="shared" si="7"/>
        <v>#DIV/0!</v>
      </c>
      <c r="J221" s="453"/>
      <c r="K221" s="453"/>
      <c r="L221" s="453">
        <f t="shared" si="6"/>
        <v>0</v>
      </c>
      <c r="M221" s="463"/>
    </row>
    <row r="222" spans="1:13" s="17" customFormat="1" ht="57">
      <c r="A222" s="475" t="s">
        <v>603</v>
      </c>
      <c r="B222" s="476"/>
      <c r="C222" s="477" t="s">
        <v>131</v>
      </c>
      <c r="D222" s="478" t="s">
        <v>106</v>
      </c>
      <c r="E222" s="506" t="s">
        <v>604</v>
      </c>
      <c r="F222" s="479"/>
      <c r="G222" s="480">
        <f>SUM(G223)</f>
        <v>198.4</v>
      </c>
      <c r="H222" s="452">
        <f>SUM(H223)</f>
        <v>200</v>
      </c>
      <c r="I222" s="452">
        <f t="shared" si="7"/>
        <v>100.80645161290323</v>
      </c>
      <c r="J222" s="497"/>
      <c r="K222" s="497"/>
      <c r="L222" s="453"/>
      <c r="M222" s="480">
        <f>SUM(M223)</f>
        <v>198.4</v>
      </c>
    </row>
    <row r="223" spans="1:13" s="17" customFormat="1" ht="14.25">
      <c r="A223" s="161" t="s">
        <v>500</v>
      </c>
      <c r="B223" s="482"/>
      <c r="C223" s="460" t="s">
        <v>131</v>
      </c>
      <c r="D223" s="461" t="s">
        <v>106</v>
      </c>
      <c r="E223" s="506" t="s">
        <v>604</v>
      </c>
      <c r="F223" s="488" t="s">
        <v>120</v>
      </c>
      <c r="G223" s="463">
        <v>198.4</v>
      </c>
      <c r="H223" s="452">
        <f>SUM(H224)</f>
        <v>200</v>
      </c>
      <c r="I223" s="452">
        <f t="shared" si="7"/>
        <v>100.80645161290323</v>
      </c>
      <c r="J223" s="497">
        <f>SUM('[2]ведомствен.2015-2016'!G235)</f>
        <v>198.4</v>
      </c>
      <c r="K223" s="497">
        <f>SUM('[2]ведомствен.2015-2016'!H235)</f>
        <v>198.4</v>
      </c>
      <c r="L223" s="453">
        <f t="shared" si="6"/>
        <v>0</v>
      </c>
      <c r="M223" s="463">
        <v>198.4</v>
      </c>
    </row>
    <row r="224" spans="1:13" s="17" customFormat="1" ht="14.25">
      <c r="A224" s="161" t="s">
        <v>64</v>
      </c>
      <c r="B224" s="482"/>
      <c r="C224" s="460" t="s">
        <v>131</v>
      </c>
      <c r="D224" s="461" t="s">
        <v>131</v>
      </c>
      <c r="E224" s="487"/>
      <c r="F224" s="488"/>
      <c r="G224" s="463">
        <f>G225</f>
        <v>3000</v>
      </c>
      <c r="H224" s="452">
        <v>200</v>
      </c>
      <c r="I224" s="452">
        <f t="shared" si="7"/>
        <v>6.666666666666667</v>
      </c>
      <c r="J224" s="453"/>
      <c r="K224" s="453"/>
      <c r="L224" s="453">
        <f t="shared" si="6"/>
        <v>3000</v>
      </c>
      <c r="M224" s="463">
        <f>M225</f>
        <v>0</v>
      </c>
    </row>
    <row r="225" spans="1:13" ht="14.25">
      <c r="A225" s="161" t="s">
        <v>551</v>
      </c>
      <c r="B225" s="482"/>
      <c r="C225" s="460" t="s">
        <v>131</v>
      </c>
      <c r="D225" s="461" t="s">
        <v>131</v>
      </c>
      <c r="E225" s="487" t="s">
        <v>129</v>
      </c>
      <c r="F225" s="488"/>
      <c r="G225" s="463">
        <f>G226+G228+G230+G232</f>
        <v>3000</v>
      </c>
      <c r="H225" s="452">
        <f>SUM(H226)</f>
        <v>200</v>
      </c>
      <c r="I225" s="452">
        <f aca="true" t="shared" si="8" ref="I225:I295">SUM(H225/G225*100)</f>
        <v>6.666666666666667</v>
      </c>
      <c r="J225" s="453"/>
      <c r="K225" s="453"/>
      <c r="L225" s="453">
        <f t="shared" si="6"/>
        <v>3000</v>
      </c>
      <c r="M225" s="463">
        <f>M226+M228+M230+M232</f>
        <v>0</v>
      </c>
    </row>
    <row r="226" spans="1:13" ht="28.5" hidden="1">
      <c r="A226" s="456" t="s">
        <v>556</v>
      </c>
      <c r="B226" s="482"/>
      <c r="C226" s="460" t="s">
        <v>131</v>
      </c>
      <c r="D226" s="461" t="s">
        <v>131</v>
      </c>
      <c r="E226" s="487" t="s">
        <v>13</v>
      </c>
      <c r="F226" s="488"/>
      <c r="G226" s="463">
        <f>G227</f>
        <v>0</v>
      </c>
      <c r="H226" s="452">
        <f>SUM(H227)</f>
        <v>200</v>
      </c>
      <c r="I226" s="452" t="e">
        <f t="shared" si="8"/>
        <v>#DIV/0!</v>
      </c>
      <c r="J226" s="453"/>
      <c r="K226" s="453"/>
      <c r="L226" s="453">
        <f t="shared" si="6"/>
        <v>0</v>
      </c>
      <c r="M226" s="463">
        <f>M227</f>
        <v>0</v>
      </c>
    </row>
    <row r="227" spans="1:13" ht="28.5" hidden="1">
      <c r="A227" s="161" t="s">
        <v>524</v>
      </c>
      <c r="B227" s="482"/>
      <c r="C227" s="460" t="s">
        <v>131</v>
      </c>
      <c r="D227" s="461" t="s">
        <v>131</v>
      </c>
      <c r="E227" s="487" t="s">
        <v>13</v>
      </c>
      <c r="F227" s="488" t="s">
        <v>513</v>
      </c>
      <c r="G227" s="463"/>
      <c r="H227" s="452">
        <v>200</v>
      </c>
      <c r="I227" s="452" t="e">
        <f t="shared" si="8"/>
        <v>#DIV/0!</v>
      </c>
      <c r="J227" s="497">
        <f>SUM('[2]ведомствен.2015-2016'!G239)</f>
        <v>0</v>
      </c>
      <c r="K227" s="497">
        <f>SUM('[2]ведомствен.2015-2016'!H239)</f>
        <v>0</v>
      </c>
      <c r="L227" s="453">
        <f t="shared" si="6"/>
        <v>0</v>
      </c>
      <c r="M227" s="463"/>
    </row>
    <row r="228" spans="1:13" ht="42.75" hidden="1">
      <c r="A228" s="456" t="s">
        <v>557</v>
      </c>
      <c r="B228" s="482"/>
      <c r="C228" s="460" t="s">
        <v>558</v>
      </c>
      <c r="D228" s="461" t="s">
        <v>131</v>
      </c>
      <c r="E228" s="487" t="s">
        <v>14</v>
      </c>
      <c r="F228" s="488"/>
      <c r="G228" s="463">
        <f>G229</f>
        <v>0</v>
      </c>
      <c r="H228" s="452"/>
      <c r="I228" s="452"/>
      <c r="J228" s="453"/>
      <c r="K228" s="453"/>
      <c r="L228" s="453">
        <f t="shared" si="6"/>
        <v>0</v>
      </c>
      <c r="M228" s="463">
        <f>M229</f>
        <v>0</v>
      </c>
    </row>
    <row r="229" spans="1:13" ht="28.5" hidden="1">
      <c r="A229" s="161" t="s">
        <v>559</v>
      </c>
      <c r="B229" s="482"/>
      <c r="C229" s="460" t="s">
        <v>558</v>
      </c>
      <c r="D229" s="461" t="s">
        <v>131</v>
      </c>
      <c r="E229" s="487" t="s">
        <v>14</v>
      </c>
      <c r="F229" s="488" t="s">
        <v>560</v>
      </c>
      <c r="G229" s="463"/>
      <c r="H229" s="452"/>
      <c r="I229" s="452"/>
      <c r="J229" s="497">
        <f>SUM('[2]ведомствен.2015-2016'!G241)</f>
        <v>0</v>
      </c>
      <c r="K229" s="497">
        <f>SUM('[2]ведомствен.2015-2016'!H241)</f>
        <v>0</v>
      </c>
      <c r="L229" s="453">
        <f t="shared" si="6"/>
        <v>0</v>
      </c>
      <c r="M229" s="463"/>
    </row>
    <row r="230" spans="1:13" ht="57" hidden="1">
      <c r="A230" s="161" t="s">
        <v>1046</v>
      </c>
      <c r="B230" s="482"/>
      <c r="C230" s="460" t="s">
        <v>131</v>
      </c>
      <c r="D230" s="461" t="s">
        <v>131</v>
      </c>
      <c r="E230" s="487" t="s">
        <v>42</v>
      </c>
      <c r="F230" s="488"/>
      <c r="G230" s="463">
        <f>G231</f>
        <v>0</v>
      </c>
      <c r="H230" s="452">
        <f>SUM(H231)</f>
        <v>0</v>
      </c>
      <c r="I230" s="452" t="e">
        <f t="shared" si="8"/>
        <v>#DIV/0!</v>
      </c>
      <c r="J230" s="453"/>
      <c r="K230" s="453"/>
      <c r="L230" s="453">
        <f t="shared" si="6"/>
        <v>0</v>
      </c>
      <c r="M230" s="463">
        <f>M231</f>
        <v>0</v>
      </c>
    </row>
    <row r="231" spans="1:13" ht="28.5" hidden="1">
      <c r="A231" s="161" t="s">
        <v>559</v>
      </c>
      <c r="B231" s="482"/>
      <c r="C231" s="460" t="s">
        <v>131</v>
      </c>
      <c r="D231" s="461" t="s">
        <v>131</v>
      </c>
      <c r="E231" s="487" t="s">
        <v>42</v>
      </c>
      <c r="F231" s="488" t="s">
        <v>560</v>
      </c>
      <c r="G231" s="463"/>
      <c r="H231" s="452"/>
      <c r="I231" s="452" t="e">
        <f t="shared" si="8"/>
        <v>#DIV/0!</v>
      </c>
      <c r="J231" s="497">
        <f>SUM('[2]ведомствен.2015-2016'!G243)</f>
        <v>0</v>
      </c>
      <c r="K231" s="497">
        <f>SUM('[2]ведомствен.2015-2016'!H243)</f>
        <v>0</v>
      </c>
      <c r="L231" s="453">
        <f t="shared" si="6"/>
        <v>0</v>
      </c>
      <c r="M231" s="463"/>
    </row>
    <row r="232" spans="1:13" ht="28.5">
      <c r="A232" s="456" t="s">
        <v>1044</v>
      </c>
      <c r="B232" s="482"/>
      <c r="C232" s="460" t="s">
        <v>131</v>
      </c>
      <c r="D232" s="461" t="s">
        <v>131</v>
      </c>
      <c r="E232" s="487" t="s">
        <v>54</v>
      </c>
      <c r="F232" s="488"/>
      <c r="G232" s="463">
        <f>G233</f>
        <v>3000</v>
      </c>
      <c r="H232" s="452">
        <f>SUM(H233)</f>
        <v>0</v>
      </c>
      <c r="I232" s="452">
        <f t="shared" si="8"/>
        <v>0</v>
      </c>
      <c r="J232" s="453"/>
      <c r="K232" s="453"/>
      <c r="L232" s="453">
        <f t="shared" si="6"/>
        <v>3000</v>
      </c>
      <c r="M232" s="463">
        <f>M233</f>
        <v>0</v>
      </c>
    </row>
    <row r="233" spans="1:13" ht="28.5">
      <c r="A233" s="161" t="s">
        <v>559</v>
      </c>
      <c r="B233" s="482"/>
      <c r="C233" s="460" t="s">
        <v>131</v>
      </c>
      <c r="D233" s="461" t="s">
        <v>131</v>
      </c>
      <c r="E233" s="487" t="s">
        <v>54</v>
      </c>
      <c r="F233" s="488" t="s">
        <v>560</v>
      </c>
      <c r="G233" s="463">
        <v>3000</v>
      </c>
      <c r="H233" s="452">
        <f>SUM(H234)</f>
        <v>0</v>
      </c>
      <c r="I233" s="452">
        <f t="shared" si="8"/>
        <v>0</v>
      </c>
      <c r="J233" s="497">
        <f>SUM('[2]ведомствен.2015-2016'!G245)</f>
        <v>3000</v>
      </c>
      <c r="K233" s="497">
        <f>SUM('[2]ведомствен.2015-2016'!H245)</f>
        <v>0</v>
      </c>
      <c r="L233" s="453">
        <f t="shared" si="6"/>
        <v>0</v>
      </c>
      <c r="M233" s="463"/>
    </row>
    <row r="234" spans="1:13" ht="15">
      <c r="A234" s="468" t="s">
        <v>67</v>
      </c>
      <c r="B234" s="469"/>
      <c r="C234" s="493" t="s">
        <v>391</v>
      </c>
      <c r="D234" s="494"/>
      <c r="E234" s="494"/>
      <c r="F234" s="495"/>
      <c r="G234" s="473">
        <f>SUM(G235)</f>
        <v>4649.1</v>
      </c>
      <c r="H234" s="452"/>
      <c r="I234" s="452">
        <f t="shared" si="8"/>
        <v>0</v>
      </c>
      <c r="J234" s="453"/>
      <c r="K234" s="453"/>
      <c r="L234" s="453"/>
      <c r="M234" s="473">
        <f>SUM(M235)</f>
        <v>4649.1</v>
      </c>
    </row>
    <row r="235" spans="1:13" s="17" customFormat="1" ht="14.25">
      <c r="A235" s="447" t="s">
        <v>67</v>
      </c>
      <c r="B235" s="448"/>
      <c r="C235" s="449" t="s">
        <v>391</v>
      </c>
      <c r="D235" s="450"/>
      <c r="E235" s="450"/>
      <c r="F235" s="451"/>
      <c r="G235" s="452">
        <f>SUM(G236)+G241</f>
        <v>4649.1</v>
      </c>
      <c r="H235" s="452"/>
      <c r="I235" s="452"/>
      <c r="J235" s="497"/>
      <c r="K235" s="497"/>
      <c r="L235" s="453"/>
      <c r="M235" s="452">
        <f>SUM(M236)+M241</f>
        <v>4649.1</v>
      </c>
    </row>
    <row r="236" spans="1:13" s="17" customFormat="1" ht="14.25">
      <c r="A236" s="161" t="s">
        <v>68</v>
      </c>
      <c r="B236" s="459"/>
      <c r="C236" s="460" t="s">
        <v>391</v>
      </c>
      <c r="D236" s="461" t="s">
        <v>106</v>
      </c>
      <c r="E236" s="461" t="s">
        <v>561</v>
      </c>
      <c r="F236" s="462"/>
      <c r="G236" s="463">
        <f>SUM(G237)</f>
        <v>4649.1</v>
      </c>
      <c r="H236" s="452"/>
      <c r="I236" s="452"/>
      <c r="J236" s="497"/>
      <c r="K236" s="497"/>
      <c r="L236" s="453"/>
      <c r="M236" s="463">
        <f>SUM(M237)</f>
        <v>4649.1</v>
      </c>
    </row>
    <row r="237" spans="1:13" s="17" customFormat="1" ht="28.5">
      <c r="A237" s="161" t="s">
        <v>56</v>
      </c>
      <c r="B237" s="459"/>
      <c r="C237" s="460" t="s">
        <v>391</v>
      </c>
      <c r="D237" s="461" t="s">
        <v>106</v>
      </c>
      <c r="E237" s="461" t="s">
        <v>562</v>
      </c>
      <c r="F237" s="462"/>
      <c r="G237" s="463">
        <f>SUM(G238:G240)</f>
        <v>4649.1</v>
      </c>
      <c r="H237" s="452"/>
      <c r="I237" s="452">
        <f>SUM(H237/G237*100)</f>
        <v>0</v>
      </c>
      <c r="J237" s="497"/>
      <c r="K237" s="497"/>
      <c r="L237" s="453"/>
      <c r="M237" s="463">
        <f>SUM(M238:M240)</f>
        <v>4649.1</v>
      </c>
    </row>
    <row r="238" spans="1:13" s="17" customFormat="1" ht="42.75">
      <c r="A238" s="161" t="s">
        <v>495</v>
      </c>
      <c r="B238" s="459"/>
      <c r="C238" s="460" t="s">
        <v>391</v>
      </c>
      <c r="D238" s="461" t="s">
        <v>106</v>
      </c>
      <c r="E238" s="461" t="s">
        <v>562</v>
      </c>
      <c r="F238" s="462" t="s">
        <v>496</v>
      </c>
      <c r="G238" s="463">
        <v>3995.1</v>
      </c>
      <c r="H238" s="452"/>
      <c r="I238" s="452">
        <f>SUM(H238/G238*100)</f>
        <v>0</v>
      </c>
      <c r="J238" s="497">
        <f>SUM('[2]ведомствен.2015-2016'!G250)</f>
        <v>3995.1</v>
      </c>
      <c r="K238" s="497">
        <f>SUM('[2]ведомствен.2015-2016'!H250)</f>
        <v>3995.1</v>
      </c>
      <c r="L238" s="453">
        <f t="shared" si="6"/>
        <v>0</v>
      </c>
      <c r="M238" s="463">
        <v>3995.1</v>
      </c>
    </row>
    <row r="239" spans="1:13" s="17" customFormat="1" ht="14.25">
      <c r="A239" s="161" t="s">
        <v>500</v>
      </c>
      <c r="B239" s="459"/>
      <c r="C239" s="460" t="s">
        <v>391</v>
      </c>
      <c r="D239" s="461" t="s">
        <v>106</v>
      </c>
      <c r="E239" s="461" t="s">
        <v>562</v>
      </c>
      <c r="F239" s="462" t="s">
        <v>120</v>
      </c>
      <c r="G239" s="463">
        <v>573.9</v>
      </c>
      <c r="H239" s="452"/>
      <c r="I239" s="452">
        <f>SUM(H239/G239*100)</f>
        <v>0</v>
      </c>
      <c r="J239" s="497">
        <f>SUM('[2]ведомствен.2015-2016'!G251)</f>
        <v>573.9</v>
      </c>
      <c r="K239" s="497">
        <f>SUM('[2]ведомствен.2015-2016'!H251)</f>
        <v>573.9</v>
      </c>
      <c r="L239" s="453">
        <f t="shared" si="6"/>
        <v>0</v>
      </c>
      <c r="M239" s="463">
        <v>573.9</v>
      </c>
    </row>
    <row r="240" spans="1:13" ht="14.25">
      <c r="A240" s="161" t="s">
        <v>501</v>
      </c>
      <c r="B240" s="459"/>
      <c r="C240" s="460" t="s">
        <v>391</v>
      </c>
      <c r="D240" s="461" t="s">
        <v>106</v>
      </c>
      <c r="E240" s="461" t="s">
        <v>562</v>
      </c>
      <c r="F240" s="462" t="s">
        <v>176</v>
      </c>
      <c r="G240" s="463">
        <v>80.1</v>
      </c>
      <c r="H240" s="452"/>
      <c r="I240" s="452"/>
      <c r="J240" s="497">
        <f>SUM('[2]ведомствен.2015-2016'!G252)</f>
        <v>80.1</v>
      </c>
      <c r="K240" s="497">
        <f>SUM('[2]ведомствен.2015-2016'!H252)</f>
        <v>80.1</v>
      </c>
      <c r="L240" s="453">
        <f t="shared" si="6"/>
        <v>0</v>
      </c>
      <c r="M240" s="463">
        <v>80.1</v>
      </c>
    </row>
    <row r="241" spans="1:13" ht="14.25" hidden="1">
      <c r="A241" s="161" t="s">
        <v>69</v>
      </c>
      <c r="B241" s="459"/>
      <c r="C241" s="460" t="s">
        <v>391</v>
      </c>
      <c r="D241" s="461" t="s">
        <v>131</v>
      </c>
      <c r="E241" s="507"/>
      <c r="F241" s="462"/>
      <c r="G241" s="463">
        <f>G243</f>
        <v>0</v>
      </c>
      <c r="H241" s="452"/>
      <c r="I241" s="452" t="e">
        <f>SUM(H241/G241*100)</f>
        <v>#DIV/0!</v>
      </c>
      <c r="J241" s="453"/>
      <c r="K241" s="453"/>
      <c r="L241" s="453">
        <f t="shared" si="6"/>
        <v>0</v>
      </c>
      <c r="M241" s="463">
        <f>M243</f>
        <v>0</v>
      </c>
    </row>
    <row r="242" spans="1:13" s="11" customFormat="1" ht="15" hidden="1">
      <c r="A242" s="161" t="s">
        <v>551</v>
      </c>
      <c r="B242" s="459"/>
      <c r="C242" s="460" t="s">
        <v>391</v>
      </c>
      <c r="D242" s="461" t="s">
        <v>131</v>
      </c>
      <c r="E242" s="487" t="s">
        <v>129</v>
      </c>
      <c r="F242" s="462"/>
      <c r="G242" s="463">
        <f>SUM(G243)</f>
        <v>0</v>
      </c>
      <c r="H242" s="496" t="e">
        <f>SUM(H243+H295+H331+H367)</f>
        <v>#REF!</v>
      </c>
      <c r="I242" s="496" t="e">
        <f t="shared" si="8"/>
        <v>#REF!</v>
      </c>
      <c r="J242" s="446"/>
      <c r="K242" s="446"/>
      <c r="L242" s="453">
        <f t="shared" si="6"/>
        <v>0</v>
      </c>
      <c r="M242" s="463">
        <f>SUM(M243)</f>
        <v>0</v>
      </c>
    </row>
    <row r="243" spans="1:13" ht="15" hidden="1">
      <c r="A243" s="161" t="s">
        <v>1047</v>
      </c>
      <c r="B243" s="481"/>
      <c r="C243" s="460" t="s">
        <v>391</v>
      </c>
      <c r="D243" s="461" t="s">
        <v>131</v>
      </c>
      <c r="E243" s="461" t="s">
        <v>70</v>
      </c>
      <c r="F243" s="462"/>
      <c r="G243" s="463">
        <f>G244</f>
        <v>0</v>
      </c>
      <c r="H243" s="452" t="e">
        <f>SUM(H265+H288+H256+H270+H244)</f>
        <v>#REF!</v>
      </c>
      <c r="I243" s="452" t="e">
        <f t="shared" si="8"/>
        <v>#REF!</v>
      </c>
      <c r="J243" s="453"/>
      <c r="K243" s="453"/>
      <c r="L243" s="453">
        <f t="shared" si="6"/>
        <v>0</v>
      </c>
      <c r="M243" s="463">
        <f>M244</f>
        <v>0</v>
      </c>
    </row>
    <row r="244" spans="1:13" ht="14.25" hidden="1">
      <c r="A244" s="161" t="s">
        <v>500</v>
      </c>
      <c r="B244" s="459"/>
      <c r="C244" s="460" t="s">
        <v>391</v>
      </c>
      <c r="D244" s="461" t="s">
        <v>131</v>
      </c>
      <c r="E244" s="461" t="s">
        <v>70</v>
      </c>
      <c r="F244" s="462" t="s">
        <v>120</v>
      </c>
      <c r="G244" s="463"/>
      <c r="H244" s="452">
        <f>SUM(H245+H252)</f>
        <v>23798.300000000003</v>
      </c>
      <c r="I244" s="452" t="e">
        <f t="shared" si="8"/>
        <v>#DIV/0!</v>
      </c>
      <c r="J244" s="497">
        <f>SUM('[2]ведомствен.2015-2016'!G256)</f>
        <v>0</v>
      </c>
      <c r="K244" s="497">
        <f>SUM('[2]ведомствен.2015-2016'!H256)</f>
        <v>0</v>
      </c>
      <c r="L244" s="453">
        <f t="shared" si="6"/>
        <v>0</v>
      </c>
      <c r="M244" s="463"/>
    </row>
    <row r="245" spans="1:13" ht="15">
      <c r="A245" s="468" t="s">
        <v>116</v>
      </c>
      <c r="B245" s="469"/>
      <c r="C245" s="470" t="s">
        <v>117</v>
      </c>
      <c r="D245" s="471"/>
      <c r="E245" s="471"/>
      <c r="F245" s="472"/>
      <c r="G245" s="473">
        <f>SUM(G246+G263+G300+G320)</f>
        <v>1640728.7</v>
      </c>
      <c r="H245" s="452">
        <f>SUM(H246)+H248+H250</f>
        <v>20414.4</v>
      </c>
      <c r="I245" s="452">
        <f t="shared" si="8"/>
        <v>1.244227641047542</v>
      </c>
      <c r="J245" s="453"/>
      <c r="K245" s="453"/>
      <c r="L245" s="453"/>
      <c r="M245" s="473">
        <f>SUM(M246+M263+M300+M320)</f>
        <v>1641250.7</v>
      </c>
    </row>
    <row r="246" spans="1:13" ht="15">
      <c r="A246" s="475" t="s">
        <v>338</v>
      </c>
      <c r="B246" s="508"/>
      <c r="C246" s="489" t="s">
        <v>117</v>
      </c>
      <c r="D246" s="490" t="s">
        <v>460</v>
      </c>
      <c r="E246" s="490"/>
      <c r="F246" s="509"/>
      <c r="G246" s="510">
        <f>SUM(G247+G261)</f>
        <v>625369.2000000001</v>
      </c>
      <c r="H246" s="452">
        <f>SUM(H247)</f>
        <v>15652.8</v>
      </c>
      <c r="I246" s="452">
        <f t="shared" si="8"/>
        <v>2.5029694458889242</v>
      </c>
      <c r="J246" s="453"/>
      <c r="K246" s="453"/>
      <c r="L246" s="453"/>
      <c r="M246" s="510">
        <f>SUM(M247+M261)</f>
        <v>625369.2000000001</v>
      </c>
    </row>
    <row r="247" spans="1:13" ht="15">
      <c r="A247" s="475" t="s">
        <v>339</v>
      </c>
      <c r="B247" s="508"/>
      <c r="C247" s="489" t="s">
        <v>117</v>
      </c>
      <c r="D247" s="490" t="s">
        <v>460</v>
      </c>
      <c r="E247" s="490" t="s">
        <v>340</v>
      </c>
      <c r="F247" s="509"/>
      <c r="G247" s="510">
        <f>SUM(G248+G253+G257)</f>
        <v>625369.2000000001</v>
      </c>
      <c r="H247" s="452">
        <v>15652.8</v>
      </c>
      <c r="I247" s="452">
        <f t="shared" si="8"/>
        <v>2.5029694458889242</v>
      </c>
      <c r="J247" s="453"/>
      <c r="K247" s="453"/>
      <c r="L247" s="453"/>
      <c r="M247" s="510">
        <f>SUM(M248+M253+M257)</f>
        <v>625369.2000000001</v>
      </c>
    </row>
    <row r="248" spans="1:13" ht="28.5">
      <c r="A248" s="475" t="s">
        <v>606</v>
      </c>
      <c r="B248" s="508"/>
      <c r="C248" s="489" t="s">
        <v>117</v>
      </c>
      <c r="D248" s="490" t="s">
        <v>460</v>
      </c>
      <c r="E248" s="490" t="s">
        <v>85</v>
      </c>
      <c r="F248" s="509"/>
      <c r="G248" s="510">
        <f>SUM(G249+G251)</f>
        <v>538531.5</v>
      </c>
      <c r="H248" s="452">
        <f>SUM(H249)</f>
        <v>0</v>
      </c>
      <c r="I248" s="452">
        <f t="shared" si="8"/>
        <v>0</v>
      </c>
      <c r="J248" s="453"/>
      <c r="K248" s="453"/>
      <c r="L248" s="453"/>
      <c r="M248" s="510">
        <f>SUM(M249+M251)</f>
        <v>538531.5</v>
      </c>
    </row>
    <row r="249" spans="1:13" ht="28.5">
      <c r="A249" s="475" t="s">
        <v>205</v>
      </c>
      <c r="B249" s="508"/>
      <c r="C249" s="489" t="s">
        <v>117</v>
      </c>
      <c r="D249" s="490" t="s">
        <v>460</v>
      </c>
      <c r="E249" s="490" t="s">
        <v>86</v>
      </c>
      <c r="F249" s="509"/>
      <c r="G249" s="510">
        <f>SUM(G250)</f>
        <v>140853</v>
      </c>
      <c r="H249" s="452"/>
      <c r="I249" s="452">
        <f t="shared" si="8"/>
        <v>0</v>
      </c>
      <c r="J249" s="453">
        <f>SUM('[2]ведомствен.2015-2016'!G216)</f>
        <v>0</v>
      </c>
      <c r="K249" s="453">
        <f>SUM('[2]ведомствен.2015-2016'!H216)</f>
        <v>0</v>
      </c>
      <c r="L249" s="453"/>
      <c r="M249" s="510">
        <f>SUM(M250)</f>
        <v>140853</v>
      </c>
    </row>
    <row r="250" spans="1:13" ht="28.5">
      <c r="A250" s="475" t="s">
        <v>524</v>
      </c>
      <c r="B250" s="508"/>
      <c r="C250" s="489" t="s">
        <v>117</v>
      </c>
      <c r="D250" s="490" t="s">
        <v>460</v>
      </c>
      <c r="E250" s="490" t="s">
        <v>86</v>
      </c>
      <c r="F250" s="509" t="s">
        <v>513</v>
      </c>
      <c r="G250" s="510">
        <v>140853</v>
      </c>
      <c r="H250" s="452">
        <f>SUM(H251)</f>
        <v>4761.6</v>
      </c>
      <c r="I250" s="452">
        <f t="shared" si="8"/>
        <v>3.3805456752784817</v>
      </c>
      <c r="J250" s="453">
        <f>SUM('[2]ведомствен.2015-2016'!G515)</f>
        <v>140853</v>
      </c>
      <c r="K250" s="453">
        <f>SUM('[2]ведомствен.2015-2016'!H515)</f>
        <v>140853</v>
      </c>
      <c r="L250" s="453">
        <f t="shared" si="6"/>
        <v>0</v>
      </c>
      <c r="M250" s="510">
        <v>140853</v>
      </c>
    </row>
    <row r="251" spans="1:13" ht="85.5">
      <c r="A251" s="475" t="s">
        <v>607</v>
      </c>
      <c r="B251" s="508"/>
      <c r="C251" s="489" t="s">
        <v>117</v>
      </c>
      <c r="D251" s="490" t="s">
        <v>460</v>
      </c>
      <c r="E251" s="490" t="s">
        <v>212</v>
      </c>
      <c r="F251" s="509"/>
      <c r="G251" s="510">
        <f>G252</f>
        <v>397678.5</v>
      </c>
      <c r="H251" s="452">
        <v>4761.6</v>
      </c>
      <c r="I251" s="452">
        <f t="shared" si="8"/>
        <v>1.1973491149257505</v>
      </c>
      <c r="J251" s="453"/>
      <c r="K251" s="453"/>
      <c r="L251" s="453"/>
      <c r="M251" s="510">
        <f>M252</f>
        <v>397678.5</v>
      </c>
    </row>
    <row r="252" spans="1:13" ht="28.5">
      <c r="A252" s="475" t="s">
        <v>524</v>
      </c>
      <c r="B252" s="508"/>
      <c r="C252" s="489" t="s">
        <v>117</v>
      </c>
      <c r="D252" s="490" t="s">
        <v>460</v>
      </c>
      <c r="E252" s="490" t="s">
        <v>212</v>
      </c>
      <c r="F252" s="509" t="s">
        <v>513</v>
      </c>
      <c r="G252" s="510">
        <v>397678.5</v>
      </c>
      <c r="H252" s="452">
        <f>SUM(H253)+H263+H259</f>
        <v>3383.9</v>
      </c>
      <c r="I252" s="452">
        <f t="shared" si="8"/>
        <v>0.8509134891627282</v>
      </c>
      <c r="J252" s="453">
        <f>SUM('[2]ведомствен.2015-2016'!G517)</f>
        <v>397678.5</v>
      </c>
      <c r="K252" s="453">
        <f>SUM('[2]ведомствен.2015-2016'!H517)</f>
        <v>397678.5</v>
      </c>
      <c r="L252" s="453">
        <f t="shared" si="6"/>
        <v>0</v>
      </c>
      <c r="M252" s="510">
        <v>397678.5</v>
      </c>
    </row>
    <row r="253" spans="1:13" ht="28.5">
      <c r="A253" s="475" t="s">
        <v>56</v>
      </c>
      <c r="B253" s="508"/>
      <c r="C253" s="489" t="s">
        <v>117</v>
      </c>
      <c r="D253" s="490" t="s">
        <v>460</v>
      </c>
      <c r="E253" s="490" t="s">
        <v>341</v>
      </c>
      <c r="F253" s="509"/>
      <c r="G253" s="510">
        <f>SUM(G254+G255+G256)</f>
        <v>28051.300000000003</v>
      </c>
      <c r="H253" s="452">
        <f>SUM(H254+H255)</f>
        <v>1562</v>
      </c>
      <c r="I253" s="452">
        <f t="shared" si="8"/>
        <v>5.568369380385222</v>
      </c>
      <c r="J253" s="453"/>
      <c r="K253" s="453"/>
      <c r="L253" s="453"/>
      <c r="M253" s="510">
        <f>SUM(M254+M255+M256)</f>
        <v>28051.300000000003</v>
      </c>
    </row>
    <row r="254" spans="1:13" ht="42.75">
      <c r="A254" s="475" t="s">
        <v>495</v>
      </c>
      <c r="B254" s="508"/>
      <c r="C254" s="489" t="s">
        <v>117</v>
      </c>
      <c r="D254" s="490" t="s">
        <v>460</v>
      </c>
      <c r="E254" s="490" t="s">
        <v>341</v>
      </c>
      <c r="F254" s="509" t="s">
        <v>496</v>
      </c>
      <c r="G254" s="510">
        <v>4486.7</v>
      </c>
      <c r="H254" s="452">
        <v>233.9</v>
      </c>
      <c r="I254" s="452">
        <f t="shared" si="8"/>
        <v>5.213185637550985</v>
      </c>
      <c r="J254" s="453">
        <f>SUM('[2]ведомствен.2015-2016'!G519)</f>
        <v>4486.7</v>
      </c>
      <c r="K254" s="453">
        <f>SUM('[2]ведомствен.2015-2016'!H519)</f>
        <v>4486.7</v>
      </c>
      <c r="L254" s="453">
        <f t="shared" si="6"/>
        <v>0</v>
      </c>
      <c r="M254" s="510">
        <v>4486.7</v>
      </c>
    </row>
    <row r="255" spans="1:13" ht="14.25">
      <c r="A255" s="475" t="s">
        <v>500</v>
      </c>
      <c r="B255" s="498"/>
      <c r="C255" s="489" t="s">
        <v>117</v>
      </c>
      <c r="D255" s="490" t="s">
        <v>460</v>
      </c>
      <c r="E255" s="490" t="s">
        <v>341</v>
      </c>
      <c r="F255" s="509" t="s">
        <v>120</v>
      </c>
      <c r="G255" s="510">
        <v>21261.2</v>
      </c>
      <c r="H255" s="452">
        <v>1328.1</v>
      </c>
      <c r="I255" s="452">
        <f t="shared" si="8"/>
        <v>6.246590032547551</v>
      </c>
      <c r="J255" s="453">
        <f>SUM('[2]ведомствен.2015-2016'!G520)</f>
        <v>21261.2</v>
      </c>
      <c r="K255" s="453">
        <f>SUM('[2]ведомствен.2015-2016'!H520)</f>
        <v>21261.2</v>
      </c>
      <c r="L255" s="453">
        <f t="shared" si="6"/>
        <v>0</v>
      </c>
      <c r="M255" s="510">
        <v>21261.2</v>
      </c>
    </row>
    <row r="256" spans="1:13" ht="15">
      <c r="A256" s="475" t="s">
        <v>501</v>
      </c>
      <c r="B256" s="508"/>
      <c r="C256" s="489" t="s">
        <v>117</v>
      </c>
      <c r="D256" s="490" t="s">
        <v>460</v>
      </c>
      <c r="E256" s="490" t="s">
        <v>341</v>
      </c>
      <c r="F256" s="509" t="s">
        <v>176</v>
      </c>
      <c r="G256" s="510">
        <v>2303.4</v>
      </c>
      <c r="H256" s="452">
        <f>SUM(H257)</f>
        <v>0</v>
      </c>
      <c r="I256" s="452">
        <f t="shared" si="8"/>
        <v>0</v>
      </c>
      <c r="J256" s="453">
        <f>SUM('[2]ведомствен.2015-2016'!G521)</f>
        <v>2303.4</v>
      </c>
      <c r="K256" s="453">
        <f>SUM('[2]ведомствен.2015-2016'!H521)</f>
        <v>2303.4</v>
      </c>
      <c r="L256" s="453">
        <f t="shared" si="6"/>
        <v>0</v>
      </c>
      <c r="M256" s="510">
        <v>2303.4</v>
      </c>
    </row>
    <row r="257" spans="1:13" ht="15">
      <c r="A257" s="511" t="s">
        <v>608</v>
      </c>
      <c r="B257" s="508"/>
      <c r="C257" s="489" t="s">
        <v>117</v>
      </c>
      <c r="D257" s="490" t="s">
        <v>460</v>
      </c>
      <c r="E257" s="490" t="s">
        <v>342</v>
      </c>
      <c r="F257" s="509"/>
      <c r="G257" s="510">
        <f>SUM(G258+G259)</f>
        <v>58786.4</v>
      </c>
      <c r="H257" s="452">
        <f>SUM(H258)</f>
        <v>0</v>
      </c>
      <c r="I257" s="452">
        <f t="shared" si="8"/>
        <v>0</v>
      </c>
      <c r="J257" s="453"/>
      <c r="K257" s="453"/>
      <c r="L257" s="453"/>
      <c r="M257" s="510">
        <f>SUM(M258+M259)</f>
        <v>58786.4</v>
      </c>
    </row>
    <row r="258" spans="1:13" ht="42.75">
      <c r="A258" s="475" t="s">
        <v>495</v>
      </c>
      <c r="B258" s="508"/>
      <c r="C258" s="489" t="s">
        <v>117</v>
      </c>
      <c r="D258" s="490" t="s">
        <v>460</v>
      </c>
      <c r="E258" s="490" t="s">
        <v>342</v>
      </c>
      <c r="F258" s="509" t="s">
        <v>496</v>
      </c>
      <c r="G258" s="510">
        <v>57493</v>
      </c>
      <c r="H258" s="452"/>
      <c r="I258" s="452">
        <f t="shared" si="8"/>
        <v>0</v>
      </c>
      <c r="J258" s="453">
        <f>SUM('[2]ведомствен.2015-2016'!G523)</f>
        <v>57493</v>
      </c>
      <c r="K258" s="453">
        <f>SUM('[2]ведомствен.2015-2016'!H523)</f>
        <v>57493</v>
      </c>
      <c r="L258" s="453">
        <f t="shared" si="6"/>
        <v>0</v>
      </c>
      <c r="M258" s="510">
        <v>57493</v>
      </c>
    </row>
    <row r="259" spans="1:13" ht="15">
      <c r="A259" s="475" t="s">
        <v>500</v>
      </c>
      <c r="B259" s="508"/>
      <c r="C259" s="489" t="s">
        <v>117</v>
      </c>
      <c r="D259" s="490" t="s">
        <v>460</v>
      </c>
      <c r="E259" s="490" t="s">
        <v>342</v>
      </c>
      <c r="F259" s="509" t="s">
        <v>120</v>
      </c>
      <c r="G259" s="510">
        <v>1293.4</v>
      </c>
      <c r="H259" s="452">
        <f>SUM(H261+H262)</f>
        <v>0</v>
      </c>
      <c r="I259" s="452">
        <f t="shared" si="8"/>
        <v>0</v>
      </c>
      <c r="J259" s="453">
        <f>SUM('[2]ведомствен.2015-2016'!G524)</f>
        <v>1293.4</v>
      </c>
      <c r="K259" s="453">
        <f>SUM('[2]ведомствен.2015-2016'!H524)</f>
        <v>1293.4</v>
      </c>
      <c r="L259" s="453">
        <f t="shared" si="6"/>
        <v>0</v>
      </c>
      <c r="M259" s="510">
        <v>1293.4</v>
      </c>
    </row>
    <row r="260" spans="1:13" s="14" customFormat="1" ht="14.25" hidden="1">
      <c r="A260" s="475" t="s">
        <v>594</v>
      </c>
      <c r="B260" s="512"/>
      <c r="C260" s="489" t="s">
        <v>117</v>
      </c>
      <c r="D260" s="490" t="s">
        <v>460</v>
      </c>
      <c r="E260" s="490" t="s">
        <v>129</v>
      </c>
      <c r="F260" s="509"/>
      <c r="G260" s="510">
        <f>G261</f>
        <v>0</v>
      </c>
      <c r="H260" s="452">
        <v>1821.9</v>
      </c>
      <c r="I260" s="452" t="e">
        <f>SUM(H260/G260*100)</f>
        <v>#DIV/0!</v>
      </c>
      <c r="J260" s="497"/>
      <c r="K260" s="497"/>
      <c r="L260" s="453">
        <f t="shared" si="6"/>
        <v>0</v>
      </c>
      <c r="M260" s="510">
        <f>M261</f>
        <v>0</v>
      </c>
    </row>
    <row r="261" spans="1:13" ht="28.5" hidden="1">
      <c r="A261" s="475" t="s">
        <v>609</v>
      </c>
      <c r="B261" s="508"/>
      <c r="C261" s="489" t="s">
        <v>117</v>
      </c>
      <c r="D261" s="490" t="s">
        <v>460</v>
      </c>
      <c r="E261" s="490" t="s">
        <v>366</v>
      </c>
      <c r="F261" s="509"/>
      <c r="G261" s="510">
        <f>G262</f>
        <v>0</v>
      </c>
      <c r="H261" s="452"/>
      <c r="I261" s="452" t="e">
        <f t="shared" si="8"/>
        <v>#DIV/0!</v>
      </c>
      <c r="J261" s="453"/>
      <c r="K261" s="453"/>
      <c r="L261" s="453">
        <f t="shared" si="6"/>
        <v>0</v>
      </c>
      <c r="M261" s="510">
        <f>M262</f>
        <v>0</v>
      </c>
    </row>
    <row r="262" spans="1:13" ht="14.25" hidden="1">
      <c r="A262" s="498" t="s">
        <v>505</v>
      </c>
      <c r="B262" s="513"/>
      <c r="C262" s="489" t="s">
        <v>117</v>
      </c>
      <c r="D262" s="490" t="s">
        <v>460</v>
      </c>
      <c r="E262" s="490" t="s">
        <v>366</v>
      </c>
      <c r="F262" s="509" t="s">
        <v>506</v>
      </c>
      <c r="G262" s="510"/>
      <c r="H262" s="452"/>
      <c r="I262" s="452" t="e">
        <f t="shared" si="8"/>
        <v>#DIV/0!</v>
      </c>
      <c r="J262" s="453">
        <f>SUM('[2]ведомствен.2015-2016'!G527)</f>
        <v>0</v>
      </c>
      <c r="K262" s="453">
        <f>SUM('[2]ведомствен.2015-2016'!H527)</f>
        <v>0</v>
      </c>
      <c r="L262" s="453">
        <f t="shared" si="6"/>
        <v>0</v>
      </c>
      <c r="M262" s="510"/>
    </row>
    <row r="263" spans="1:13" ht="15">
      <c r="A263" s="475" t="s">
        <v>343</v>
      </c>
      <c r="B263" s="508"/>
      <c r="C263" s="489" t="s">
        <v>117</v>
      </c>
      <c r="D263" s="490" t="s">
        <v>462</v>
      </c>
      <c r="E263" s="490"/>
      <c r="F263" s="509"/>
      <c r="G263" s="510">
        <f>SUM(G264+G277+G288+G296+G283)</f>
        <v>990839.2000000001</v>
      </c>
      <c r="H263" s="452">
        <f>SUM(H264)</f>
        <v>1821.9</v>
      </c>
      <c r="I263" s="452">
        <f t="shared" si="8"/>
        <v>0.1838744369419377</v>
      </c>
      <c r="J263" s="453"/>
      <c r="K263" s="453"/>
      <c r="L263" s="453"/>
      <c r="M263" s="510">
        <f>SUM(M264+M277+M288+M296+M283)</f>
        <v>991361.2000000001</v>
      </c>
    </row>
    <row r="264" spans="1:13" ht="28.5">
      <c r="A264" s="475" t="s">
        <v>344</v>
      </c>
      <c r="B264" s="508"/>
      <c r="C264" s="489" t="s">
        <v>117</v>
      </c>
      <c r="D264" s="490" t="s">
        <v>462</v>
      </c>
      <c r="E264" s="490" t="s">
        <v>345</v>
      </c>
      <c r="F264" s="509"/>
      <c r="G264" s="510">
        <f>G265+G270</f>
        <v>735918.5</v>
      </c>
      <c r="H264" s="452">
        <v>1821.9</v>
      </c>
      <c r="I264" s="452">
        <f t="shared" si="8"/>
        <v>0.24756817500850978</v>
      </c>
      <c r="J264" s="453"/>
      <c r="K264" s="453"/>
      <c r="L264" s="453"/>
      <c r="M264" s="510">
        <f>M265+M270</f>
        <v>735918.5</v>
      </c>
    </row>
    <row r="265" spans="1:13" ht="28.5">
      <c r="A265" s="475" t="s">
        <v>15</v>
      </c>
      <c r="B265" s="508"/>
      <c r="C265" s="489" t="s">
        <v>117</v>
      </c>
      <c r="D265" s="490" t="s">
        <v>462</v>
      </c>
      <c r="E265" s="490" t="s">
        <v>87</v>
      </c>
      <c r="F265" s="509"/>
      <c r="G265" s="510">
        <f>G266+G268</f>
        <v>347011.4</v>
      </c>
      <c r="H265" s="452">
        <f>SUM(H266+H268)</f>
        <v>0</v>
      </c>
      <c r="I265" s="452">
        <f t="shared" si="8"/>
        <v>0</v>
      </c>
      <c r="J265" s="453"/>
      <c r="K265" s="453"/>
      <c r="L265" s="453"/>
      <c r="M265" s="510">
        <f>M266+M268</f>
        <v>347011.4</v>
      </c>
    </row>
    <row r="266" spans="1:13" ht="28.5">
      <c r="A266" s="475" t="s">
        <v>205</v>
      </c>
      <c r="B266" s="508"/>
      <c r="C266" s="489" t="s">
        <v>117</v>
      </c>
      <c r="D266" s="490" t="s">
        <v>462</v>
      </c>
      <c r="E266" s="490" t="s">
        <v>88</v>
      </c>
      <c r="F266" s="509"/>
      <c r="G266" s="510">
        <f>SUM(G267)</f>
        <v>75912.6</v>
      </c>
      <c r="H266" s="452">
        <f>SUM(H267)</f>
        <v>0</v>
      </c>
      <c r="I266" s="452">
        <f t="shared" si="8"/>
        <v>0</v>
      </c>
      <c r="J266" s="453"/>
      <c r="K266" s="453"/>
      <c r="L266" s="453"/>
      <c r="M266" s="510">
        <f>SUM(M267)</f>
        <v>75912.6</v>
      </c>
    </row>
    <row r="267" spans="1:13" ht="28.5">
      <c r="A267" s="475" t="s">
        <v>517</v>
      </c>
      <c r="B267" s="508"/>
      <c r="C267" s="489" t="s">
        <v>117</v>
      </c>
      <c r="D267" s="490" t="s">
        <v>462</v>
      </c>
      <c r="E267" s="490" t="s">
        <v>88</v>
      </c>
      <c r="F267" s="509" t="s">
        <v>513</v>
      </c>
      <c r="G267" s="510">
        <v>75912.6</v>
      </c>
      <c r="H267" s="452"/>
      <c r="I267" s="452">
        <f t="shared" si="8"/>
        <v>0</v>
      </c>
      <c r="J267" s="453">
        <f>SUM('[2]ведомствен.2015-2016'!G532)</f>
        <v>75912.6</v>
      </c>
      <c r="K267" s="453">
        <f>SUM('[2]ведомствен.2015-2016'!H532)</f>
        <v>75912.6</v>
      </c>
      <c r="L267" s="453">
        <f t="shared" si="6"/>
        <v>0</v>
      </c>
      <c r="M267" s="510">
        <v>75912.6</v>
      </c>
    </row>
    <row r="268" spans="1:13" s="14" customFormat="1" ht="85.5">
      <c r="A268" s="475" t="s">
        <v>610</v>
      </c>
      <c r="B268" s="508"/>
      <c r="C268" s="489" t="s">
        <v>117</v>
      </c>
      <c r="D268" s="490" t="s">
        <v>462</v>
      </c>
      <c r="E268" s="490" t="s">
        <v>89</v>
      </c>
      <c r="F268" s="509"/>
      <c r="G268" s="510">
        <f>SUM(G269)</f>
        <v>271098.8</v>
      </c>
      <c r="H268" s="452">
        <f>SUM(H269)</f>
        <v>0</v>
      </c>
      <c r="I268" s="452">
        <f t="shared" si="8"/>
        <v>0</v>
      </c>
      <c r="J268" s="497"/>
      <c r="K268" s="497"/>
      <c r="L268" s="453"/>
      <c r="M268" s="510">
        <f>SUM(M269)</f>
        <v>271098.8</v>
      </c>
    </row>
    <row r="269" spans="1:13" s="18" customFormat="1" ht="28.5">
      <c r="A269" s="475" t="s">
        <v>517</v>
      </c>
      <c r="B269" s="508"/>
      <c r="C269" s="489" t="s">
        <v>117</v>
      </c>
      <c r="D269" s="490" t="s">
        <v>462</v>
      </c>
      <c r="E269" s="490" t="s">
        <v>89</v>
      </c>
      <c r="F269" s="509" t="s">
        <v>513</v>
      </c>
      <c r="G269" s="510">
        <v>271098.8</v>
      </c>
      <c r="H269" s="452"/>
      <c r="I269" s="452">
        <f t="shared" si="8"/>
        <v>0</v>
      </c>
      <c r="J269" s="453">
        <f>SUM('[2]ведомствен.2015-2016'!G534)</f>
        <v>271098.8</v>
      </c>
      <c r="K269" s="453">
        <f>SUM('[2]ведомствен.2015-2016'!H534)</f>
        <v>271098.8</v>
      </c>
      <c r="L269" s="453">
        <f t="shared" si="6"/>
        <v>0</v>
      </c>
      <c r="M269" s="510">
        <v>271098.8</v>
      </c>
    </row>
    <row r="270" spans="1:13" s="17" customFormat="1" ht="28.5">
      <c r="A270" s="475" t="s">
        <v>56</v>
      </c>
      <c r="B270" s="508"/>
      <c r="C270" s="489" t="s">
        <v>117</v>
      </c>
      <c r="D270" s="490" t="s">
        <v>462</v>
      </c>
      <c r="E270" s="490" t="s">
        <v>346</v>
      </c>
      <c r="F270" s="509"/>
      <c r="G270" s="510">
        <f>SUM(G271+G272+G273+G274)</f>
        <v>388907.1</v>
      </c>
      <c r="H270" s="452" t="e">
        <f>SUM(H273)+H278+H271</f>
        <v>#REF!</v>
      </c>
      <c r="I270" s="452" t="e">
        <f t="shared" si="8"/>
        <v>#REF!</v>
      </c>
      <c r="J270" s="497"/>
      <c r="K270" s="497"/>
      <c r="L270" s="453"/>
      <c r="M270" s="510">
        <f>SUM(M271+M272+M273+M274)</f>
        <v>388907.1</v>
      </c>
    </row>
    <row r="271" spans="1:13" s="17" customFormat="1" ht="42.75">
      <c r="A271" s="475" t="s">
        <v>495</v>
      </c>
      <c r="B271" s="508"/>
      <c r="C271" s="489" t="s">
        <v>117</v>
      </c>
      <c r="D271" s="490" t="s">
        <v>462</v>
      </c>
      <c r="E271" s="490" t="s">
        <v>346</v>
      </c>
      <c r="F271" s="509" t="s">
        <v>496</v>
      </c>
      <c r="G271" s="510">
        <v>23395.1</v>
      </c>
      <c r="H271" s="452">
        <f>SUM(H272)</f>
        <v>0</v>
      </c>
      <c r="I271" s="452">
        <f t="shared" si="8"/>
        <v>0</v>
      </c>
      <c r="J271" s="453">
        <f>SUM('[2]ведомствен.2015-2016'!G536)</f>
        <v>23395.100000000002</v>
      </c>
      <c r="K271" s="453">
        <f>SUM('[2]ведомствен.2015-2016'!H536)</f>
        <v>23395.100000000002</v>
      </c>
      <c r="L271" s="453">
        <f t="shared" si="6"/>
        <v>-3.637978807091713E-12</v>
      </c>
      <c r="M271" s="510">
        <v>23395.1</v>
      </c>
    </row>
    <row r="272" spans="1:13" s="17" customFormat="1" ht="15">
      <c r="A272" s="475" t="s">
        <v>500</v>
      </c>
      <c r="B272" s="508"/>
      <c r="C272" s="489" t="s">
        <v>117</v>
      </c>
      <c r="D272" s="490" t="s">
        <v>462</v>
      </c>
      <c r="E272" s="490" t="s">
        <v>346</v>
      </c>
      <c r="F272" s="509" t="s">
        <v>120</v>
      </c>
      <c r="G272" s="510">
        <v>44954.4</v>
      </c>
      <c r="H272" s="452"/>
      <c r="I272" s="452">
        <f t="shared" si="8"/>
        <v>0</v>
      </c>
      <c r="J272" s="453">
        <f>SUM('[2]ведомствен.2015-2016'!G537)</f>
        <v>44954.4</v>
      </c>
      <c r="K272" s="453">
        <f>SUM('[2]ведомствен.2015-2016'!H537)</f>
        <v>44954.4</v>
      </c>
      <c r="L272" s="453">
        <f t="shared" si="6"/>
        <v>0</v>
      </c>
      <c r="M272" s="510">
        <v>44954.4</v>
      </c>
    </row>
    <row r="273" spans="1:13" s="17" customFormat="1" ht="14.25">
      <c r="A273" s="514" t="s">
        <v>501</v>
      </c>
      <c r="B273" s="513"/>
      <c r="C273" s="489" t="s">
        <v>117</v>
      </c>
      <c r="D273" s="490" t="s">
        <v>462</v>
      </c>
      <c r="E273" s="490" t="s">
        <v>346</v>
      </c>
      <c r="F273" s="515">
        <v>800</v>
      </c>
      <c r="G273" s="510">
        <v>15533.3</v>
      </c>
      <c r="H273" s="452" t="e">
        <f>SUM(H274+H276)</f>
        <v>#REF!</v>
      </c>
      <c r="I273" s="452" t="e">
        <f t="shared" si="8"/>
        <v>#REF!</v>
      </c>
      <c r="J273" s="453">
        <f>SUM('[2]ведомствен.2015-2016'!G538)</f>
        <v>15533.3</v>
      </c>
      <c r="K273" s="453">
        <f>SUM('[2]ведомствен.2015-2016'!H538)</f>
        <v>15533.3</v>
      </c>
      <c r="L273" s="453">
        <f aca="true" t="shared" si="9" ref="L273:L336">SUM(G273-J273)</f>
        <v>0</v>
      </c>
      <c r="M273" s="510">
        <v>15533.3</v>
      </c>
    </row>
    <row r="274" spans="1:13" s="17" customFormat="1" ht="85.5">
      <c r="A274" s="516" t="s">
        <v>610</v>
      </c>
      <c r="B274" s="508"/>
      <c r="C274" s="489" t="s">
        <v>117</v>
      </c>
      <c r="D274" s="490" t="s">
        <v>462</v>
      </c>
      <c r="E274" s="490" t="s">
        <v>319</v>
      </c>
      <c r="F274" s="509"/>
      <c r="G274" s="510">
        <f>SUM(G275+G276)</f>
        <v>305024.3</v>
      </c>
      <c r="H274" s="452">
        <f>SUM(H275)</f>
        <v>0</v>
      </c>
      <c r="I274" s="452">
        <f t="shared" si="8"/>
        <v>0</v>
      </c>
      <c r="J274" s="497"/>
      <c r="K274" s="497"/>
      <c r="L274" s="453"/>
      <c r="M274" s="510">
        <f>SUM(M275+M276)</f>
        <v>305024.3</v>
      </c>
    </row>
    <row r="275" spans="1:13" s="17" customFormat="1" ht="42.75">
      <c r="A275" s="475" t="s">
        <v>495</v>
      </c>
      <c r="B275" s="508"/>
      <c r="C275" s="489" t="s">
        <v>117</v>
      </c>
      <c r="D275" s="490" t="s">
        <v>462</v>
      </c>
      <c r="E275" s="490" t="s">
        <v>319</v>
      </c>
      <c r="F275" s="509" t="s">
        <v>496</v>
      </c>
      <c r="G275" s="510">
        <v>301204.5</v>
      </c>
      <c r="H275" s="452">
        <v>0</v>
      </c>
      <c r="I275" s="452">
        <f t="shared" si="8"/>
        <v>0</v>
      </c>
      <c r="J275" s="453">
        <f>SUM('[2]ведомствен.2015-2016'!G540)</f>
        <v>301204.5</v>
      </c>
      <c r="K275" s="453">
        <f>SUM('[2]ведомствен.2015-2016'!H540)</f>
        <v>301204.5</v>
      </c>
      <c r="L275" s="453">
        <f t="shared" si="9"/>
        <v>0</v>
      </c>
      <c r="M275" s="510">
        <v>301204.5</v>
      </c>
    </row>
    <row r="276" spans="1:13" s="17" customFormat="1" ht="15">
      <c r="A276" s="475" t="s">
        <v>500</v>
      </c>
      <c r="B276" s="508"/>
      <c r="C276" s="489" t="s">
        <v>117</v>
      </c>
      <c r="D276" s="490" t="s">
        <v>462</v>
      </c>
      <c r="E276" s="490" t="s">
        <v>319</v>
      </c>
      <c r="F276" s="509" t="s">
        <v>120</v>
      </c>
      <c r="G276" s="510">
        <v>3819.8</v>
      </c>
      <c r="H276" s="452" t="e">
        <f>SUM(H277)</f>
        <v>#REF!</v>
      </c>
      <c r="I276" s="452" t="e">
        <f t="shared" si="8"/>
        <v>#REF!</v>
      </c>
      <c r="J276" s="453">
        <f>SUM('[2]ведомствен.2015-2016'!G541)</f>
        <v>3819.8</v>
      </c>
      <c r="K276" s="453">
        <f>SUM('[2]ведомствен.2015-2016'!H541)</f>
        <v>3819.8</v>
      </c>
      <c r="L276" s="453">
        <f t="shared" si="9"/>
        <v>0</v>
      </c>
      <c r="M276" s="510">
        <v>3819.8</v>
      </c>
    </row>
    <row r="277" spans="1:13" s="17" customFormat="1" ht="14.25">
      <c r="A277" s="475" t="s">
        <v>634</v>
      </c>
      <c r="B277" s="498"/>
      <c r="C277" s="489" t="s">
        <v>117</v>
      </c>
      <c r="D277" s="490" t="s">
        <v>462</v>
      </c>
      <c r="E277" s="490" t="s">
        <v>321</v>
      </c>
      <c r="F277" s="509"/>
      <c r="G277" s="510">
        <f>SUM(G278)</f>
        <v>134246.9</v>
      </c>
      <c r="H277" s="452" t="e">
        <f>SUM('[1]Ведомств.'!G180)</f>
        <v>#REF!</v>
      </c>
      <c r="I277" s="452" t="e">
        <f t="shared" si="8"/>
        <v>#REF!</v>
      </c>
      <c r="J277" s="497"/>
      <c r="K277" s="497"/>
      <c r="L277" s="453"/>
      <c r="M277" s="510">
        <f>SUM(M278)</f>
        <v>134246.9</v>
      </c>
    </row>
    <row r="278" spans="1:13" s="17" customFormat="1" ht="28.5">
      <c r="A278" s="475" t="s">
        <v>606</v>
      </c>
      <c r="B278" s="508"/>
      <c r="C278" s="489" t="s">
        <v>117</v>
      </c>
      <c r="D278" s="490" t="s">
        <v>462</v>
      </c>
      <c r="E278" s="490" t="s">
        <v>78</v>
      </c>
      <c r="F278" s="509"/>
      <c r="G278" s="510">
        <f>SUM(G281)</f>
        <v>134246.9</v>
      </c>
      <c r="H278" s="452">
        <f>SUM(H279)+H281</f>
        <v>0</v>
      </c>
      <c r="I278" s="452">
        <f t="shared" si="8"/>
        <v>0</v>
      </c>
      <c r="J278" s="497"/>
      <c r="K278" s="497"/>
      <c r="L278" s="453"/>
      <c r="M278" s="510">
        <f>SUM(M281)</f>
        <v>134246.9</v>
      </c>
    </row>
    <row r="279" spans="1:13" s="17" customFormat="1" ht="57" hidden="1">
      <c r="A279" s="475" t="s">
        <v>211</v>
      </c>
      <c r="B279" s="508"/>
      <c r="C279" s="489" t="s">
        <v>117</v>
      </c>
      <c r="D279" s="490" t="s">
        <v>462</v>
      </c>
      <c r="E279" s="490" t="s">
        <v>213</v>
      </c>
      <c r="F279" s="509"/>
      <c r="G279" s="510">
        <f>SUM(G280)</f>
        <v>0</v>
      </c>
      <c r="H279" s="452">
        <f>SUM(H280)</f>
        <v>0</v>
      </c>
      <c r="I279" s="452" t="e">
        <f t="shared" si="8"/>
        <v>#DIV/0!</v>
      </c>
      <c r="J279" s="497"/>
      <c r="K279" s="497"/>
      <c r="L279" s="453"/>
      <c r="M279" s="510">
        <f>SUM(M280)</f>
        <v>0</v>
      </c>
    </row>
    <row r="280" spans="1:13" s="17" customFormat="1" ht="28.5" hidden="1">
      <c r="A280" s="475" t="s">
        <v>157</v>
      </c>
      <c r="B280" s="508"/>
      <c r="C280" s="489" t="s">
        <v>117</v>
      </c>
      <c r="D280" s="490" t="s">
        <v>462</v>
      </c>
      <c r="E280" s="490" t="s">
        <v>213</v>
      </c>
      <c r="F280" s="509" t="s">
        <v>83</v>
      </c>
      <c r="G280" s="510"/>
      <c r="H280" s="452"/>
      <c r="I280" s="452" t="e">
        <f t="shared" si="8"/>
        <v>#DIV/0!</v>
      </c>
      <c r="J280" s="497"/>
      <c r="K280" s="497"/>
      <c r="L280" s="453"/>
      <c r="M280" s="510"/>
    </row>
    <row r="281" spans="1:13" s="17" customFormat="1" ht="28.5">
      <c r="A281" s="475" t="s">
        <v>94</v>
      </c>
      <c r="B281" s="508"/>
      <c r="C281" s="489" t="s">
        <v>117</v>
      </c>
      <c r="D281" s="490" t="s">
        <v>462</v>
      </c>
      <c r="E281" s="490" t="s">
        <v>79</v>
      </c>
      <c r="F281" s="509"/>
      <c r="G281" s="510">
        <f>SUM(G282)</f>
        <v>134246.9</v>
      </c>
      <c r="H281" s="452">
        <f>SUM(H282)</f>
        <v>0</v>
      </c>
      <c r="I281" s="452">
        <f t="shared" si="8"/>
        <v>0</v>
      </c>
      <c r="J281" s="497"/>
      <c r="K281" s="497"/>
      <c r="L281" s="453"/>
      <c r="M281" s="510">
        <f>SUM(M282)</f>
        <v>134246.9</v>
      </c>
    </row>
    <row r="282" spans="1:13" s="17" customFormat="1" ht="28.5">
      <c r="A282" s="475" t="s">
        <v>517</v>
      </c>
      <c r="B282" s="508"/>
      <c r="C282" s="489" t="s">
        <v>117</v>
      </c>
      <c r="D282" s="490" t="s">
        <v>462</v>
      </c>
      <c r="E282" s="490" t="s">
        <v>79</v>
      </c>
      <c r="F282" s="509" t="s">
        <v>513</v>
      </c>
      <c r="G282" s="510">
        <v>134246.9</v>
      </c>
      <c r="H282" s="452"/>
      <c r="I282" s="452">
        <f t="shared" si="8"/>
        <v>0</v>
      </c>
      <c r="J282" s="497">
        <f>SUM('[2]ведомствен.2015-2016'!G476+'[2]ведомствен.2015-2016'!G547+'[2]ведомствен.2015-2016'!G601)</f>
        <v>134246.9</v>
      </c>
      <c r="K282" s="497">
        <f>SUM('[2]ведомствен.2015-2016'!H476+'[2]ведомствен.2015-2016'!H547+'[2]ведомствен.2015-2016'!H601)</f>
        <v>134246.9</v>
      </c>
      <c r="L282" s="453">
        <f t="shared" si="9"/>
        <v>0</v>
      </c>
      <c r="M282" s="510">
        <v>134246.9</v>
      </c>
    </row>
    <row r="283" spans="1:13" s="14" customFormat="1" ht="14.25">
      <c r="A283" s="447" t="s">
        <v>323</v>
      </c>
      <c r="B283" s="448"/>
      <c r="C283" s="457" t="s">
        <v>117</v>
      </c>
      <c r="D283" s="458" t="s">
        <v>462</v>
      </c>
      <c r="E283" s="458" t="s">
        <v>324</v>
      </c>
      <c r="F283" s="451"/>
      <c r="G283" s="452">
        <f>SUM(G284)</f>
        <v>63402.5</v>
      </c>
      <c r="H283" s="452"/>
      <c r="I283" s="452"/>
      <c r="J283" s="497"/>
      <c r="K283" s="497"/>
      <c r="L283" s="453"/>
      <c r="M283" s="452">
        <f>SUM(M284)</f>
        <v>63924.5</v>
      </c>
    </row>
    <row r="284" spans="1:13" s="14" customFormat="1" ht="71.25">
      <c r="A284" s="447" t="s">
        <v>467</v>
      </c>
      <c r="B284" s="448"/>
      <c r="C284" s="457" t="s">
        <v>117</v>
      </c>
      <c r="D284" s="458" t="s">
        <v>462</v>
      </c>
      <c r="E284" s="458" t="s">
        <v>329</v>
      </c>
      <c r="F284" s="451"/>
      <c r="G284" s="452">
        <f>SUM(G285:G287)</f>
        <v>63402.5</v>
      </c>
      <c r="H284" s="452"/>
      <c r="I284" s="452"/>
      <c r="J284" s="497"/>
      <c r="K284" s="497"/>
      <c r="L284" s="453"/>
      <c r="M284" s="452">
        <f>SUM(M285:M287)</f>
        <v>63924.5</v>
      </c>
    </row>
    <row r="285" spans="1:13" s="14" customFormat="1" ht="42.75">
      <c r="A285" s="447" t="s">
        <v>495</v>
      </c>
      <c r="B285" s="448"/>
      <c r="C285" s="457" t="s">
        <v>117</v>
      </c>
      <c r="D285" s="458" t="s">
        <v>462</v>
      </c>
      <c r="E285" s="458" t="s">
        <v>329</v>
      </c>
      <c r="F285" s="451" t="s">
        <v>496</v>
      </c>
      <c r="G285" s="452">
        <v>43100.8</v>
      </c>
      <c r="H285" s="452"/>
      <c r="I285" s="452"/>
      <c r="J285" s="497">
        <f>SUM('[2]ведомствен.2015-2016'!G333)</f>
        <v>43005</v>
      </c>
      <c r="K285" s="497">
        <f>SUM('[2]ведомствен.2015-2016'!H333)</f>
        <v>43005</v>
      </c>
      <c r="L285" s="453">
        <f t="shared" si="9"/>
        <v>95.80000000000291</v>
      </c>
      <c r="M285" s="452">
        <v>43100.8</v>
      </c>
    </row>
    <row r="286" spans="1:13" ht="14.25">
      <c r="A286" s="447" t="s">
        <v>500</v>
      </c>
      <c r="B286" s="448"/>
      <c r="C286" s="457" t="s">
        <v>117</v>
      </c>
      <c r="D286" s="458" t="s">
        <v>462</v>
      </c>
      <c r="E286" s="458" t="s">
        <v>329</v>
      </c>
      <c r="F286" s="451" t="s">
        <v>120</v>
      </c>
      <c r="G286" s="452">
        <v>19624.7</v>
      </c>
      <c r="H286" s="452"/>
      <c r="I286" s="452"/>
      <c r="J286" s="497">
        <f>SUM('[2]ведомствен.2015-2016'!G334)</f>
        <v>19720.5</v>
      </c>
      <c r="K286" s="497">
        <f>SUM('[2]ведомствен.2015-2016'!H334)</f>
        <v>20242.5</v>
      </c>
      <c r="L286" s="453">
        <f t="shared" si="9"/>
        <v>-95.79999999999927</v>
      </c>
      <c r="M286" s="452">
        <v>20146.7</v>
      </c>
    </row>
    <row r="287" spans="1:13" ht="14.25">
      <c r="A287" s="447" t="s">
        <v>501</v>
      </c>
      <c r="B287" s="448"/>
      <c r="C287" s="457" t="s">
        <v>117</v>
      </c>
      <c r="D287" s="458" t="s">
        <v>462</v>
      </c>
      <c r="E287" s="458" t="s">
        <v>329</v>
      </c>
      <c r="F287" s="451" t="s">
        <v>176</v>
      </c>
      <c r="G287" s="452">
        <v>677</v>
      </c>
      <c r="H287" s="452"/>
      <c r="I287" s="452"/>
      <c r="J287" s="497">
        <f>SUM('[2]ведомствен.2015-2016'!G335)</f>
        <v>677</v>
      </c>
      <c r="K287" s="497">
        <f>SUM('[2]ведомствен.2015-2016'!H335)</f>
        <v>677</v>
      </c>
      <c r="L287" s="453">
        <f t="shared" si="9"/>
        <v>0</v>
      </c>
      <c r="M287" s="452">
        <v>677</v>
      </c>
    </row>
    <row r="288" spans="1:13" s="17" customFormat="1" ht="14.25">
      <c r="A288" s="475" t="s">
        <v>330</v>
      </c>
      <c r="B288" s="498"/>
      <c r="C288" s="489" t="s">
        <v>117</v>
      </c>
      <c r="D288" s="490" t="s">
        <v>462</v>
      </c>
      <c r="E288" s="490" t="s">
        <v>331</v>
      </c>
      <c r="F288" s="509"/>
      <c r="G288" s="510">
        <f>SUM(G289)</f>
        <v>51090</v>
      </c>
      <c r="H288" s="452" t="e">
        <f>SUM(#REF!+#REF!)+H293</f>
        <v>#REF!</v>
      </c>
      <c r="I288" s="452" t="e">
        <f t="shared" si="8"/>
        <v>#REF!</v>
      </c>
      <c r="J288" s="497"/>
      <c r="K288" s="497"/>
      <c r="L288" s="453"/>
      <c r="M288" s="510">
        <f>SUM(M289)</f>
        <v>51090</v>
      </c>
    </row>
    <row r="289" spans="1:13" s="17" customFormat="1" ht="28.5">
      <c r="A289" s="475" t="s">
        <v>56</v>
      </c>
      <c r="B289" s="508"/>
      <c r="C289" s="489" t="s">
        <v>117</v>
      </c>
      <c r="D289" s="490" t="s">
        <v>462</v>
      </c>
      <c r="E289" s="490" t="s">
        <v>332</v>
      </c>
      <c r="F289" s="509"/>
      <c r="G289" s="510">
        <f>SUM(G290+G291+G292+G293)</f>
        <v>51090</v>
      </c>
      <c r="H289" s="452" t="e">
        <f>SUM('[1]Ведомств.'!G188)</f>
        <v>#REF!</v>
      </c>
      <c r="I289" s="452" t="e">
        <f t="shared" si="8"/>
        <v>#REF!</v>
      </c>
      <c r="J289" s="497"/>
      <c r="K289" s="497"/>
      <c r="L289" s="453"/>
      <c r="M289" s="510">
        <f>SUM(M290+M291+M292+M293)</f>
        <v>51090</v>
      </c>
    </row>
    <row r="290" spans="1:13" s="17" customFormat="1" ht="42.75">
      <c r="A290" s="475" t="s">
        <v>495</v>
      </c>
      <c r="B290" s="508"/>
      <c r="C290" s="489" t="s">
        <v>117</v>
      </c>
      <c r="D290" s="490" t="s">
        <v>462</v>
      </c>
      <c r="E290" s="490" t="s">
        <v>264</v>
      </c>
      <c r="F290" s="509" t="s">
        <v>496</v>
      </c>
      <c r="G290" s="510">
        <v>1915.1</v>
      </c>
      <c r="H290" s="452"/>
      <c r="I290" s="452">
        <f t="shared" si="8"/>
        <v>0</v>
      </c>
      <c r="J290" s="497">
        <f>SUM('[2]ведомствен.2015-2016'!G550)</f>
        <v>1915.1</v>
      </c>
      <c r="K290" s="497">
        <f>SUM('[2]ведомствен.2015-2016'!H550)</f>
        <v>1915.1</v>
      </c>
      <c r="L290" s="453">
        <f t="shared" si="9"/>
        <v>0</v>
      </c>
      <c r="M290" s="510">
        <v>1915.1</v>
      </c>
    </row>
    <row r="291" spans="1:13" s="17" customFormat="1" ht="15">
      <c r="A291" s="475" t="s">
        <v>500</v>
      </c>
      <c r="B291" s="508"/>
      <c r="C291" s="489" t="s">
        <v>117</v>
      </c>
      <c r="D291" s="490" t="s">
        <v>462</v>
      </c>
      <c r="E291" s="490" t="s">
        <v>264</v>
      </c>
      <c r="F291" s="509" t="s">
        <v>120</v>
      </c>
      <c r="G291" s="510">
        <v>2429.5</v>
      </c>
      <c r="H291" s="452">
        <f>SUM(H292)</f>
        <v>167.7</v>
      </c>
      <c r="I291" s="452">
        <f t="shared" si="8"/>
        <v>6.902654867256637</v>
      </c>
      <c r="J291" s="497">
        <f>SUM('[2]ведомствен.2015-2016'!G551)</f>
        <v>2429.5</v>
      </c>
      <c r="K291" s="497">
        <f>SUM('[2]ведомствен.2015-2016'!H551)</f>
        <v>2429.5</v>
      </c>
      <c r="L291" s="453">
        <f t="shared" si="9"/>
        <v>0</v>
      </c>
      <c r="M291" s="510">
        <v>2429.5</v>
      </c>
    </row>
    <row r="292" spans="1:13" s="17" customFormat="1" ht="15">
      <c r="A292" s="475" t="s">
        <v>501</v>
      </c>
      <c r="B292" s="508"/>
      <c r="C292" s="489" t="s">
        <v>117</v>
      </c>
      <c r="D292" s="490" t="s">
        <v>462</v>
      </c>
      <c r="E292" s="490" t="s">
        <v>264</v>
      </c>
      <c r="F292" s="509" t="s">
        <v>176</v>
      </c>
      <c r="G292" s="510">
        <v>1218</v>
      </c>
      <c r="H292" s="452">
        <v>167.7</v>
      </c>
      <c r="I292" s="452">
        <f t="shared" si="8"/>
        <v>13.76847290640394</v>
      </c>
      <c r="J292" s="497">
        <f>SUM('[2]ведомствен.2015-2016'!G552)</f>
        <v>1218</v>
      </c>
      <c r="K292" s="497">
        <f>SUM('[2]ведомствен.2015-2016'!H552)</f>
        <v>1218</v>
      </c>
      <c r="L292" s="453">
        <f t="shared" si="9"/>
        <v>0</v>
      </c>
      <c r="M292" s="510">
        <v>1218</v>
      </c>
    </row>
    <row r="293" spans="1:13" s="17" customFormat="1" ht="85.5">
      <c r="A293" s="475" t="s">
        <v>612</v>
      </c>
      <c r="B293" s="508"/>
      <c r="C293" s="489" t="s">
        <v>117</v>
      </c>
      <c r="D293" s="490" t="s">
        <v>462</v>
      </c>
      <c r="E293" s="490" t="s">
        <v>333</v>
      </c>
      <c r="F293" s="509"/>
      <c r="G293" s="510">
        <f>SUM(G294+G295)</f>
        <v>45527.4</v>
      </c>
      <c r="H293" s="452">
        <f>SUM(H294)</f>
        <v>110.4</v>
      </c>
      <c r="I293" s="452">
        <f t="shared" si="8"/>
        <v>0.24249133488844082</v>
      </c>
      <c r="J293" s="497"/>
      <c r="K293" s="497"/>
      <c r="L293" s="453"/>
      <c r="M293" s="510">
        <f>SUM(M294+M295)</f>
        <v>45527.4</v>
      </c>
    </row>
    <row r="294" spans="1:13" s="17" customFormat="1" ht="42.75">
      <c r="A294" s="475" t="s">
        <v>495</v>
      </c>
      <c r="B294" s="508"/>
      <c r="C294" s="489" t="s">
        <v>117</v>
      </c>
      <c r="D294" s="490" t="s">
        <v>462</v>
      </c>
      <c r="E294" s="490" t="s">
        <v>333</v>
      </c>
      <c r="F294" s="509" t="s">
        <v>496</v>
      </c>
      <c r="G294" s="510">
        <v>33584</v>
      </c>
      <c r="H294" s="452">
        <v>110.4</v>
      </c>
      <c r="I294" s="452">
        <f t="shared" si="8"/>
        <v>0.32872796569795143</v>
      </c>
      <c r="J294" s="497">
        <f>SUM('[2]ведомствен.2015-2016'!G554)</f>
        <v>33584</v>
      </c>
      <c r="K294" s="497">
        <f>SUM('[2]ведомствен.2015-2016'!H554)</f>
        <v>33584</v>
      </c>
      <c r="L294" s="453">
        <f t="shared" si="9"/>
        <v>0</v>
      </c>
      <c r="M294" s="510">
        <v>33584</v>
      </c>
    </row>
    <row r="295" spans="1:13" s="14" customFormat="1" ht="15">
      <c r="A295" s="475" t="s">
        <v>500</v>
      </c>
      <c r="B295" s="508"/>
      <c r="C295" s="489" t="s">
        <v>117</v>
      </c>
      <c r="D295" s="490" t="s">
        <v>462</v>
      </c>
      <c r="E295" s="490" t="s">
        <v>333</v>
      </c>
      <c r="F295" s="509" t="s">
        <v>120</v>
      </c>
      <c r="G295" s="510">
        <v>11943.4</v>
      </c>
      <c r="H295" s="452">
        <f>SUM(H303+H315)+H298+H311+H300</f>
        <v>24530.6</v>
      </c>
      <c r="I295" s="452">
        <f t="shared" si="8"/>
        <v>205.39042483714854</v>
      </c>
      <c r="J295" s="497">
        <f>SUM('[2]ведомствен.2015-2016'!G555)</f>
        <v>11943.4</v>
      </c>
      <c r="K295" s="497">
        <f>SUM('[2]ведомствен.2015-2016'!H555)</f>
        <v>11943.4</v>
      </c>
      <c r="L295" s="453">
        <f t="shared" si="9"/>
        <v>0</v>
      </c>
      <c r="M295" s="510">
        <v>11943.4</v>
      </c>
    </row>
    <row r="296" spans="1:13" s="14" customFormat="1" ht="14.25">
      <c r="A296" s="475" t="s">
        <v>334</v>
      </c>
      <c r="B296" s="498"/>
      <c r="C296" s="489" t="s">
        <v>117</v>
      </c>
      <c r="D296" s="490" t="s">
        <v>462</v>
      </c>
      <c r="E296" s="490" t="s">
        <v>335</v>
      </c>
      <c r="F296" s="509"/>
      <c r="G296" s="510">
        <f>G297</f>
        <v>6181.3</v>
      </c>
      <c r="H296" s="452"/>
      <c r="I296" s="452">
        <f aca="true" t="shared" si="10" ref="I296:I369">SUM(H296/G296*100)</f>
        <v>0</v>
      </c>
      <c r="J296" s="497"/>
      <c r="K296" s="497"/>
      <c r="L296" s="453"/>
      <c r="M296" s="510">
        <f>M297</f>
        <v>6181.3</v>
      </c>
    </row>
    <row r="297" spans="1:13" s="14" customFormat="1" ht="14.25">
      <c r="A297" s="475" t="s">
        <v>232</v>
      </c>
      <c r="B297" s="498"/>
      <c r="C297" s="489" t="s">
        <v>117</v>
      </c>
      <c r="D297" s="490" t="s">
        <v>462</v>
      </c>
      <c r="E297" s="490" t="s">
        <v>294</v>
      </c>
      <c r="F297" s="509"/>
      <c r="G297" s="510">
        <f>G298</f>
        <v>6181.3</v>
      </c>
      <c r="H297" s="452"/>
      <c r="I297" s="452">
        <f t="shared" si="10"/>
        <v>0</v>
      </c>
      <c r="J297" s="497"/>
      <c r="K297" s="497"/>
      <c r="L297" s="453"/>
      <c r="M297" s="510">
        <f>M298</f>
        <v>6181.3</v>
      </c>
    </row>
    <row r="298" spans="1:13" s="14" customFormat="1" ht="57">
      <c r="A298" s="475" t="s">
        <v>613</v>
      </c>
      <c r="B298" s="498"/>
      <c r="C298" s="489" t="s">
        <v>117</v>
      </c>
      <c r="D298" s="490" t="s">
        <v>462</v>
      </c>
      <c r="E298" s="490" t="s">
        <v>290</v>
      </c>
      <c r="F298" s="509"/>
      <c r="G298" s="510">
        <f>G299</f>
        <v>6181.3</v>
      </c>
      <c r="H298" s="452">
        <f>SUM(H299)</f>
        <v>0</v>
      </c>
      <c r="I298" s="452">
        <f t="shared" si="10"/>
        <v>0</v>
      </c>
      <c r="J298" s="497"/>
      <c r="K298" s="497"/>
      <c r="L298" s="453"/>
      <c r="M298" s="510">
        <f>M299</f>
        <v>6181.3</v>
      </c>
    </row>
    <row r="299" spans="1:13" s="14" customFormat="1" ht="28.5">
      <c r="A299" s="475" t="s">
        <v>517</v>
      </c>
      <c r="B299" s="498"/>
      <c r="C299" s="489" t="s">
        <v>117</v>
      </c>
      <c r="D299" s="490" t="s">
        <v>462</v>
      </c>
      <c r="E299" s="490" t="s">
        <v>290</v>
      </c>
      <c r="F299" s="509" t="s">
        <v>513</v>
      </c>
      <c r="G299" s="510">
        <v>6181.3</v>
      </c>
      <c r="H299" s="452"/>
      <c r="I299" s="452">
        <f t="shared" si="10"/>
        <v>0</v>
      </c>
      <c r="J299" s="497">
        <f>SUM('[2]ведомствен.2015-2016'!G559)</f>
        <v>6181.3</v>
      </c>
      <c r="K299" s="497">
        <f>SUM('[2]ведомствен.2015-2016'!H559)</f>
        <v>6181.3</v>
      </c>
      <c r="L299" s="453">
        <f t="shared" si="9"/>
        <v>0</v>
      </c>
      <c r="M299" s="510">
        <v>6181.3</v>
      </c>
    </row>
    <row r="300" spans="1:13" s="14" customFormat="1" ht="14.25">
      <c r="A300" s="475" t="s">
        <v>118</v>
      </c>
      <c r="B300" s="498"/>
      <c r="C300" s="489" t="s">
        <v>117</v>
      </c>
      <c r="D300" s="490" t="s">
        <v>117</v>
      </c>
      <c r="E300" s="490"/>
      <c r="F300" s="509"/>
      <c r="G300" s="510">
        <f>SUM(G305+G312+G301+G317)</f>
        <v>1203.8999999999999</v>
      </c>
      <c r="H300" s="452">
        <f>SUM(H301)</f>
        <v>9483.6</v>
      </c>
      <c r="I300" s="452">
        <f t="shared" si="10"/>
        <v>787.7398455021182</v>
      </c>
      <c r="J300" s="497"/>
      <c r="K300" s="497"/>
      <c r="L300" s="453"/>
      <c r="M300" s="510">
        <f>SUM(M305+M312+M301+M317)</f>
        <v>1203.8999999999999</v>
      </c>
    </row>
    <row r="301" spans="1:13" s="14" customFormat="1" ht="14.25" hidden="1">
      <c r="A301" s="475" t="s">
        <v>407</v>
      </c>
      <c r="B301" s="498"/>
      <c r="C301" s="489" t="s">
        <v>117</v>
      </c>
      <c r="D301" s="490" t="s">
        <v>117</v>
      </c>
      <c r="E301" s="490" t="s">
        <v>409</v>
      </c>
      <c r="F301" s="509"/>
      <c r="G301" s="510">
        <f>SUM(G302)</f>
        <v>0</v>
      </c>
      <c r="H301" s="452">
        <f>SUM(H302)</f>
        <v>9483.6</v>
      </c>
      <c r="I301" s="452" t="e">
        <f t="shared" si="10"/>
        <v>#DIV/0!</v>
      </c>
      <c r="J301" s="497"/>
      <c r="K301" s="497"/>
      <c r="L301" s="453"/>
      <c r="M301" s="510">
        <f>SUM(M302)</f>
        <v>0</v>
      </c>
    </row>
    <row r="302" spans="1:13" s="14" customFormat="1" ht="14.25" hidden="1">
      <c r="A302" s="475" t="s">
        <v>387</v>
      </c>
      <c r="B302" s="498"/>
      <c r="C302" s="489" t="s">
        <v>117</v>
      </c>
      <c r="D302" s="490" t="s">
        <v>117</v>
      </c>
      <c r="E302" s="490" t="s">
        <v>388</v>
      </c>
      <c r="F302" s="509"/>
      <c r="G302" s="510">
        <f>SUM(G303+G304)</f>
        <v>0</v>
      </c>
      <c r="H302" s="452">
        <v>9483.6</v>
      </c>
      <c r="I302" s="452" t="e">
        <f t="shared" si="10"/>
        <v>#DIV/0!</v>
      </c>
      <c r="J302" s="497"/>
      <c r="K302" s="497"/>
      <c r="L302" s="453"/>
      <c r="M302" s="510">
        <f>SUM(M303+M304)</f>
        <v>0</v>
      </c>
    </row>
    <row r="303" spans="1:13" s="14" customFormat="1" ht="14.25" hidden="1">
      <c r="A303" s="475" t="s">
        <v>246</v>
      </c>
      <c r="B303" s="498"/>
      <c r="C303" s="489" t="s">
        <v>117</v>
      </c>
      <c r="D303" s="490" t="s">
        <v>117</v>
      </c>
      <c r="E303" s="490" t="s">
        <v>388</v>
      </c>
      <c r="F303" s="509" t="s">
        <v>247</v>
      </c>
      <c r="G303" s="510"/>
      <c r="H303" s="452">
        <f>SUM(H304+H306+H308)</f>
        <v>15047</v>
      </c>
      <c r="I303" s="452" t="e">
        <f t="shared" si="10"/>
        <v>#DIV/0!</v>
      </c>
      <c r="J303" s="497"/>
      <c r="K303" s="497"/>
      <c r="L303" s="453"/>
      <c r="M303" s="510"/>
    </row>
    <row r="304" spans="1:13" s="14" customFormat="1" ht="14.25" hidden="1">
      <c r="A304" s="475" t="s">
        <v>223</v>
      </c>
      <c r="B304" s="498"/>
      <c r="C304" s="489" t="s">
        <v>117</v>
      </c>
      <c r="D304" s="490" t="s">
        <v>117</v>
      </c>
      <c r="E304" s="490" t="s">
        <v>388</v>
      </c>
      <c r="F304" s="509" t="s">
        <v>224</v>
      </c>
      <c r="G304" s="510"/>
      <c r="H304" s="452">
        <f>SUM(H305)</f>
        <v>0</v>
      </c>
      <c r="I304" s="452" t="e">
        <f t="shared" si="10"/>
        <v>#DIV/0!</v>
      </c>
      <c r="J304" s="497"/>
      <c r="K304" s="497"/>
      <c r="L304" s="453"/>
      <c r="M304" s="510"/>
    </row>
    <row r="305" spans="1:13" s="14" customFormat="1" ht="14.25">
      <c r="A305" s="475" t="s">
        <v>225</v>
      </c>
      <c r="B305" s="498"/>
      <c r="C305" s="489" t="s">
        <v>117</v>
      </c>
      <c r="D305" s="490" t="s">
        <v>117</v>
      </c>
      <c r="E305" s="490" t="s">
        <v>226</v>
      </c>
      <c r="F305" s="509"/>
      <c r="G305" s="510">
        <f>SUM(G308+G306)</f>
        <v>1203.8999999999999</v>
      </c>
      <c r="H305" s="452"/>
      <c r="I305" s="452">
        <f t="shared" si="10"/>
        <v>0</v>
      </c>
      <c r="J305" s="497"/>
      <c r="K305" s="497"/>
      <c r="L305" s="453"/>
      <c r="M305" s="510">
        <f>SUM(M308+M306)</f>
        <v>1203.8999999999999</v>
      </c>
    </row>
    <row r="306" spans="1:13" s="14" customFormat="1" ht="28.5" hidden="1">
      <c r="A306" s="475" t="s">
        <v>257</v>
      </c>
      <c r="B306" s="498"/>
      <c r="C306" s="489" t="s">
        <v>117</v>
      </c>
      <c r="D306" s="490" t="s">
        <v>117</v>
      </c>
      <c r="E306" s="490" t="s">
        <v>214</v>
      </c>
      <c r="F306" s="509"/>
      <c r="G306" s="510"/>
      <c r="H306" s="452">
        <f>SUM(H307)</f>
        <v>0</v>
      </c>
      <c r="I306" s="452" t="e">
        <f t="shared" si="10"/>
        <v>#DIV/0!</v>
      </c>
      <c r="J306" s="497"/>
      <c r="K306" s="497"/>
      <c r="L306" s="453"/>
      <c r="M306" s="510"/>
    </row>
    <row r="307" spans="1:13" s="14" customFormat="1" ht="14.25" hidden="1">
      <c r="A307" s="475" t="s">
        <v>57</v>
      </c>
      <c r="B307" s="498"/>
      <c r="C307" s="489" t="s">
        <v>117</v>
      </c>
      <c r="D307" s="490" t="s">
        <v>117</v>
      </c>
      <c r="E307" s="490" t="s">
        <v>214</v>
      </c>
      <c r="F307" s="509"/>
      <c r="G307" s="510"/>
      <c r="H307" s="452"/>
      <c r="I307" s="452" t="e">
        <f t="shared" si="10"/>
        <v>#DIV/0!</v>
      </c>
      <c r="J307" s="497"/>
      <c r="K307" s="497"/>
      <c r="L307" s="453"/>
      <c r="M307" s="510"/>
    </row>
    <row r="308" spans="1:13" s="14" customFormat="1" ht="28.5">
      <c r="A308" s="475" t="s">
        <v>56</v>
      </c>
      <c r="B308" s="498"/>
      <c r="C308" s="489" t="s">
        <v>117</v>
      </c>
      <c r="D308" s="490" t="s">
        <v>117</v>
      </c>
      <c r="E308" s="490" t="s">
        <v>229</v>
      </c>
      <c r="F308" s="509"/>
      <c r="G308" s="510">
        <f>SUM(G309+G310+G311)</f>
        <v>1203.8999999999999</v>
      </c>
      <c r="H308" s="452">
        <f>SUM(H309)+H310</f>
        <v>15047</v>
      </c>
      <c r="I308" s="452">
        <f t="shared" si="10"/>
        <v>1249.8546390896256</v>
      </c>
      <c r="J308" s="497"/>
      <c r="K308" s="497"/>
      <c r="L308" s="453"/>
      <c r="M308" s="510">
        <f>SUM(M309+M310+M311)</f>
        <v>1203.8999999999999</v>
      </c>
    </row>
    <row r="309" spans="1:13" s="14" customFormat="1" ht="42.75">
      <c r="A309" s="475" t="s">
        <v>495</v>
      </c>
      <c r="B309" s="498"/>
      <c r="C309" s="489" t="s">
        <v>117</v>
      </c>
      <c r="D309" s="490" t="s">
        <v>117</v>
      </c>
      <c r="E309" s="490" t="s">
        <v>229</v>
      </c>
      <c r="F309" s="509" t="s">
        <v>496</v>
      </c>
      <c r="G309" s="510">
        <v>1089.6</v>
      </c>
      <c r="H309" s="452">
        <f>878+4272.1+2990.6</f>
        <v>8140.700000000001</v>
      </c>
      <c r="I309" s="452">
        <f t="shared" si="10"/>
        <v>747.1273861967695</v>
      </c>
      <c r="J309" s="497">
        <f>SUM('[2]ведомствен.2015-2016'!G569)</f>
        <v>1089.6</v>
      </c>
      <c r="K309" s="497">
        <f>SUM('[2]ведомствен.2015-2016'!H569)</f>
        <v>1089.6</v>
      </c>
      <c r="L309" s="453">
        <f t="shared" si="9"/>
        <v>0</v>
      </c>
      <c r="M309" s="510">
        <v>1089.6</v>
      </c>
    </row>
    <row r="310" spans="1:13" s="14" customFormat="1" ht="14.25">
      <c r="A310" s="475" t="s">
        <v>500</v>
      </c>
      <c r="B310" s="498"/>
      <c r="C310" s="489" t="s">
        <v>117</v>
      </c>
      <c r="D310" s="490" t="s">
        <v>117</v>
      </c>
      <c r="E310" s="490" t="s">
        <v>229</v>
      </c>
      <c r="F310" s="509" t="s">
        <v>120</v>
      </c>
      <c r="G310" s="510">
        <v>102.5</v>
      </c>
      <c r="H310" s="452">
        <v>6906.3</v>
      </c>
      <c r="I310" s="452">
        <f t="shared" si="10"/>
        <v>6737.8536585365855</v>
      </c>
      <c r="J310" s="497">
        <f>SUM('[2]ведомствен.2015-2016'!G570)</f>
        <v>102.5</v>
      </c>
      <c r="K310" s="497">
        <f>SUM('[2]ведомствен.2015-2016'!H570)</f>
        <v>102.5</v>
      </c>
      <c r="L310" s="453">
        <f t="shared" si="9"/>
        <v>0</v>
      </c>
      <c r="M310" s="510">
        <v>102.5</v>
      </c>
    </row>
    <row r="311" spans="1:13" s="14" customFormat="1" ht="14.25">
      <c r="A311" s="475" t="s">
        <v>501</v>
      </c>
      <c r="B311" s="498"/>
      <c r="C311" s="489" t="s">
        <v>117</v>
      </c>
      <c r="D311" s="490" t="s">
        <v>117</v>
      </c>
      <c r="E311" s="490" t="s">
        <v>229</v>
      </c>
      <c r="F311" s="509" t="s">
        <v>176</v>
      </c>
      <c r="G311" s="510">
        <v>11.8</v>
      </c>
      <c r="H311" s="452">
        <f>SUM(H312)</f>
        <v>0</v>
      </c>
      <c r="I311" s="452">
        <f t="shared" si="10"/>
        <v>0</v>
      </c>
      <c r="J311" s="497">
        <f>SUM('[2]ведомствен.2015-2016'!G571)</f>
        <v>11.8</v>
      </c>
      <c r="K311" s="497">
        <f>SUM('[2]ведомствен.2015-2016'!H571)</f>
        <v>11.8</v>
      </c>
      <c r="L311" s="453">
        <f t="shared" si="9"/>
        <v>0</v>
      </c>
      <c r="M311" s="510">
        <v>11.8</v>
      </c>
    </row>
    <row r="312" spans="1:13" s="14" customFormat="1" ht="14.25" hidden="1">
      <c r="A312" s="517" t="s">
        <v>230</v>
      </c>
      <c r="B312" s="498"/>
      <c r="C312" s="489" t="s">
        <v>117</v>
      </c>
      <c r="D312" s="490" t="s">
        <v>117</v>
      </c>
      <c r="E312" s="490" t="s">
        <v>119</v>
      </c>
      <c r="F312" s="509"/>
      <c r="G312" s="510">
        <f>SUM(G313)</f>
        <v>0</v>
      </c>
      <c r="H312" s="452">
        <f>SUM(H313)</f>
        <v>0</v>
      </c>
      <c r="I312" s="452" t="e">
        <f t="shared" si="10"/>
        <v>#DIV/0!</v>
      </c>
      <c r="J312" s="497"/>
      <c r="K312" s="497"/>
      <c r="L312" s="453">
        <f t="shared" si="9"/>
        <v>0</v>
      </c>
      <c r="M312" s="510">
        <f>SUM(M313)</f>
        <v>0</v>
      </c>
    </row>
    <row r="313" spans="1:13" s="14" customFormat="1" ht="42.75" hidden="1">
      <c r="A313" s="517" t="s">
        <v>90</v>
      </c>
      <c r="B313" s="498"/>
      <c r="C313" s="489" t="s">
        <v>117</v>
      </c>
      <c r="D313" s="490" t="s">
        <v>117</v>
      </c>
      <c r="E313" s="490" t="s">
        <v>91</v>
      </c>
      <c r="F313" s="509"/>
      <c r="G313" s="510">
        <f>SUM(G314)</f>
        <v>0</v>
      </c>
      <c r="H313" s="452">
        <f>SUM(H314)</f>
        <v>0</v>
      </c>
      <c r="I313" s="452" t="e">
        <f t="shared" si="10"/>
        <v>#DIV/0!</v>
      </c>
      <c r="J313" s="497"/>
      <c r="K313" s="497"/>
      <c r="L313" s="453">
        <f t="shared" si="9"/>
        <v>0</v>
      </c>
      <c r="M313" s="510">
        <f>SUM(M314)</f>
        <v>0</v>
      </c>
    </row>
    <row r="314" spans="1:13" s="14" customFormat="1" ht="42.75" hidden="1">
      <c r="A314" s="517" t="s">
        <v>92</v>
      </c>
      <c r="B314" s="498"/>
      <c r="C314" s="489" t="s">
        <v>117</v>
      </c>
      <c r="D314" s="490" t="s">
        <v>117</v>
      </c>
      <c r="E314" s="490" t="s">
        <v>93</v>
      </c>
      <c r="F314" s="509"/>
      <c r="G314" s="510">
        <f>SUM(G315:G316)</f>
        <v>0</v>
      </c>
      <c r="H314" s="452"/>
      <c r="I314" s="452" t="e">
        <f t="shared" si="10"/>
        <v>#DIV/0!</v>
      </c>
      <c r="J314" s="497"/>
      <c r="K314" s="497"/>
      <c r="L314" s="453">
        <f t="shared" si="9"/>
        <v>0</v>
      </c>
      <c r="M314" s="510">
        <f>SUM(M315:M316)</f>
        <v>0</v>
      </c>
    </row>
    <row r="315" spans="1:13" s="14" customFormat="1" ht="14.25" hidden="1">
      <c r="A315" s="475" t="s">
        <v>57</v>
      </c>
      <c r="B315" s="498"/>
      <c r="C315" s="489" t="s">
        <v>117</v>
      </c>
      <c r="D315" s="490" t="s">
        <v>117</v>
      </c>
      <c r="E315" s="490" t="s">
        <v>93</v>
      </c>
      <c r="F315" s="509"/>
      <c r="G315" s="510"/>
      <c r="H315" s="452">
        <f>SUM(H316)</f>
        <v>0</v>
      </c>
      <c r="I315" s="452" t="e">
        <f t="shared" si="10"/>
        <v>#DIV/0!</v>
      </c>
      <c r="J315" s="497"/>
      <c r="K315" s="497"/>
      <c r="L315" s="453">
        <f t="shared" si="9"/>
        <v>0</v>
      </c>
      <c r="M315" s="510"/>
    </row>
    <row r="316" spans="1:13" s="14" customFormat="1" ht="14.25" hidden="1">
      <c r="A316" s="475" t="s">
        <v>500</v>
      </c>
      <c r="B316" s="498"/>
      <c r="C316" s="489" t="s">
        <v>117</v>
      </c>
      <c r="D316" s="490" t="s">
        <v>117</v>
      </c>
      <c r="E316" s="490" t="s">
        <v>93</v>
      </c>
      <c r="F316" s="509" t="s">
        <v>120</v>
      </c>
      <c r="G316" s="510"/>
      <c r="H316" s="452">
        <f>SUM(H317:H320)</f>
        <v>0</v>
      </c>
      <c r="I316" s="452" t="e">
        <f t="shared" si="10"/>
        <v>#DIV/0!</v>
      </c>
      <c r="J316" s="497">
        <f>SUM('[2]ведомствен.2015-2016'!G576)</f>
        <v>0</v>
      </c>
      <c r="K316" s="497">
        <f>SUM('[2]ведомствен.2015-2016'!H576)</f>
        <v>0</v>
      </c>
      <c r="L316" s="453">
        <f t="shared" si="9"/>
        <v>0</v>
      </c>
      <c r="M316" s="510"/>
    </row>
    <row r="317" spans="1:13" s="14" customFormat="1" ht="14.25" hidden="1">
      <c r="A317" s="475" t="s">
        <v>594</v>
      </c>
      <c r="B317" s="512"/>
      <c r="C317" s="489" t="s">
        <v>117</v>
      </c>
      <c r="D317" s="490" t="s">
        <v>117</v>
      </c>
      <c r="E317" s="490" t="s">
        <v>129</v>
      </c>
      <c r="F317" s="509"/>
      <c r="G317" s="510">
        <f>SUM(G318)</f>
        <v>0</v>
      </c>
      <c r="H317" s="452"/>
      <c r="I317" s="452" t="e">
        <f t="shared" si="10"/>
        <v>#DIV/0!</v>
      </c>
      <c r="J317" s="497"/>
      <c r="K317" s="497"/>
      <c r="L317" s="453">
        <f t="shared" si="9"/>
        <v>0</v>
      </c>
      <c r="M317" s="510">
        <f>SUM(M318)</f>
        <v>0</v>
      </c>
    </row>
    <row r="318" spans="1:13" s="14" customFormat="1" ht="14.25" hidden="1">
      <c r="A318" s="511" t="s">
        <v>614</v>
      </c>
      <c r="B318" s="512"/>
      <c r="C318" s="489" t="s">
        <v>117</v>
      </c>
      <c r="D318" s="490" t="s">
        <v>117</v>
      </c>
      <c r="E318" s="490" t="s">
        <v>97</v>
      </c>
      <c r="F318" s="509"/>
      <c r="G318" s="518">
        <f>SUM(G319)</f>
        <v>0</v>
      </c>
      <c r="H318" s="452"/>
      <c r="I318" s="452" t="e">
        <f t="shared" si="10"/>
        <v>#DIV/0!</v>
      </c>
      <c r="J318" s="497"/>
      <c r="K318" s="497"/>
      <c r="L318" s="453">
        <f t="shared" si="9"/>
        <v>0</v>
      </c>
      <c r="M318" s="518">
        <f>SUM(M319)</f>
        <v>0</v>
      </c>
    </row>
    <row r="319" spans="1:13" s="14" customFormat="1" ht="14.25" hidden="1">
      <c r="A319" s="475" t="s">
        <v>500</v>
      </c>
      <c r="B319" s="512"/>
      <c r="C319" s="489" t="s">
        <v>117</v>
      </c>
      <c r="D319" s="490" t="s">
        <v>117</v>
      </c>
      <c r="E319" s="490" t="s">
        <v>97</v>
      </c>
      <c r="F319" s="509" t="s">
        <v>120</v>
      </c>
      <c r="G319" s="518"/>
      <c r="H319" s="452"/>
      <c r="I319" s="452" t="e">
        <f t="shared" si="10"/>
        <v>#DIV/0!</v>
      </c>
      <c r="J319" s="497">
        <f>SUM('[2]ведомствен.2015-2016'!G579)</f>
        <v>0</v>
      </c>
      <c r="K319" s="497">
        <f>SUM('[2]ведомствен.2015-2016'!H579)</f>
        <v>0</v>
      </c>
      <c r="L319" s="453">
        <f t="shared" si="9"/>
        <v>0</v>
      </c>
      <c r="M319" s="518"/>
    </row>
    <row r="320" spans="1:13" s="14" customFormat="1" ht="14.25">
      <c r="A320" s="475" t="s">
        <v>231</v>
      </c>
      <c r="B320" s="498"/>
      <c r="C320" s="489" t="s">
        <v>117</v>
      </c>
      <c r="D320" s="490" t="s">
        <v>300</v>
      </c>
      <c r="E320" s="490"/>
      <c r="F320" s="509"/>
      <c r="G320" s="510">
        <f>G321+G326</f>
        <v>23316.4</v>
      </c>
      <c r="H320" s="452">
        <f>SUM(H321)</f>
        <v>0</v>
      </c>
      <c r="I320" s="452">
        <f t="shared" si="10"/>
        <v>0</v>
      </c>
      <c r="J320" s="497"/>
      <c r="K320" s="497"/>
      <c r="L320" s="453"/>
      <c r="M320" s="510">
        <f>M321+M326</f>
        <v>23316.4</v>
      </c>
    </row>
    <row r="321" spans="1:13" s="14" customFormat="1" ht="57">
      <c r="A321" s="517" t="s">
        <v>291</v>
      </c>
      <c r="B321" s="498"/>
      <c r="C321" s="489" t="s">
        <v>117</v>
      </c>
      <c r="D321" s="490" t="s">
        <v>300</v>
      </c>
      <c r="E321" s="490" t="s">
        <v>292</v>
      </c>
      <c r="F321" s="509"/>
      <c r="G321" s="510">
        <f>SUM(G322)</f>
        <v>23316.4</v>
      </c>
      <c r="H321" s="452">
        <f>SUM(H322)</f>
        <v>0</v>
      </c>
      <c r="I321" s="452">
        <f t="shared" si="10"/>
        <v>0</v>
      </c>
      <c r="J321" s="497"/>
      <c r="K321" s="497"/>
      <c r="L321" s="453"/>
      <c r="M321" s="510">
        <f>SUM(M322)</f>
        <v>23316.4</v>
      </c>
    </row>
    <row r="322" spans="1:13" s="14" customFormat="1" ht="28.5">
      <c r="A322" s="475" t="s">
        <v>56</v>
      </c>
      <c r="B322" s="498"/>
      <c r="C322" s="489" t="s">
        <v>117</v>
      </c>
      <c r="D322" s="490" t="s">
        <v>300</v>
      </c>
      <c r="E322" s="490" t="s">
        <v>293</v>
      </c>
      <c r="F322" s="509"/>
      <c r="G322" s="510">
        <f>SUM(G323+G324+G325)</f>
        <v>23316.4</v>
      </c>
      <c r="H322" s="452"/>
      <c r="I322" s="452">
        <f t="shared" si="10"/>
        <v>0</v>
      </c>
      <c r="J322" s="497"/>
      <c r="K322" s="497"/>
      <c r="L322" s="453"/>
      <c r="M322" s="510">
        <f>SUM(M323+M324+M325)</f>
        <v>23316.4</v>
      </c>
    </row>
    <row r="323" spans="1:13" ht="42.75">
      <c r="A323" s="475" t="s">
        <v>495</v>
      </c>
      <c r="B323" s="498"/>
      <c r="C323" s="489" t="s">
        <v>117</v>
      </c>
      <c r="D323" s="490" t="s">
        <v>300</v>
      </c>
      <c r="E323" s="490" t="s">
        <v>293</v>
      </c>
      <c r="F323" s="509" t="s">
        <v>496</v>
      </c>
      <c r="G323" s="510">
        <v>21131.4</v>
      </c>
      <c r="H323" s="452"/>
      <c r="I323" s="452"/>
      <c r="J323" s="497">
        <f>SUM('[2]ведомствен.2015-2016'!G583)</f>
        <v>21131.4</v>
      </c>
      <c r="K323" s="497">
        <f>SUM('[2]ведомствен.2015-2016'!H583)</f>
        <v>21131.4</v>
      </c>
      <c r="L323" s="453">
        <f t="shared" si="9"/>
        <v>0</v>
      </c>
      <c r="M323" s="510">
        <v>21131.4</v>
      </c>
    </row>
    <row r="324" spans="1:13" ht="14.25">
      <c r="A324" s="475" t="s">
        <v>500</v>
      </c>
      <c r="B324" s="512"/>
      <c r="C324" s="489" t="s">
        <v>117</v>
      </c>
      <c r="D324" s="490" t="s">
        <v>300</v>
      </c>
      <c r="E324" s="490" t="s">
        <v>293</v>
      </c>
      <c r="F324" s="509" t="s">
        <v>120</v>
      </c>
      <c r="G324" s="510">
        <v>1781.6</v>
      </c>
      <c r="H324" s="452"/>
      <c r="I324" s="452"/>
      <c r="J324" s="497">
        <f>SUM('[2]ведомствен.2015-2016'!G584)</f>
        <v>1781.6</v>
      </c>
      <c r="K324" s="497">
        <f>SUM('[2]ведомствен.2015-2016'!H584)</f>
        <v>1781.6</v>
      </c>
      <c r="L324" s="453">
        <f t="shared" si="9"/>
        <v>0</v>
      </c>
      <c r="M324" s="510">
        <v>1781.6</v>
      </c>
    </row>
    <row r="325" spans="1:13" ht="14.25">
      <c r="A325" s="475" t="s">
        <v>501</v>
      </c>
      <c r="B325" s="498"/>
      <c r="C325" s="489" t="s">
        <v>117</v>
      </c>
      <c r="D325" s="490" t="s">
        <v>300</v>
      </c>
      <c r="E325" s="490" t="s">
        <v>293</v>
      </c>
      <c r="F325" s="509" t="s">
        <v>176</v>
      </c>
      <c r="G325" s="510">
        <v>403.4</v>
      </c>
      <c r="H325" s="452"/>
      <c r="I325" s="452"/>
      <c r="J325" s="497">
        <f>SUM('[2]ведомствен.2015-2016'!G585)</f>
        <v>403.4</v>
      </c>
      <c r="K325" s="497">
        <f>SUM('[2]ведомствен.2015-2016'!H585)</f>
        <v>403.4</v>
      </c>
      <c r="L325" s="453">
        <f t="shared" si="9"/>
        <v>0</v>
      </c>
      <c r="M325" s="510">
        <v>403.4</v>
      </c>
    </row>
    <row r="326" spans="1:13" ht="14.25" hidden="1">
      <c r="A326" s="161" t="s">
        <v>551</v>
      </c>
      <c r="B326" s="459"/>
      <c r="C326" s="460" t="s">
        <v>117</v>
      </c>
      <c r="D326" s="461" t="s">
        <v>300</v>
      </c>
      <c r="E326" s="487" t="s">
        <v>129</v>
      </c>
      <c r="F326" s="462"/>
      <c r="G326" s="463">
        <f>SUM(G327)</f>
        <v>0</v>
      </c>
      <c r="H326" s="452"/>
      <c r="I326" s="452"/>
      <c r="J326" s="453"/>
      <c r="K326" s="453"/>
      <c r="L326" s="453">
        <f t="shared" si="9"/>
        <v>0</v>
      </c>
      <c r="M326" s="463">
        <f>SUM(M327)</f>
        <v>0</v>
      </c>
    </row>
    <row r="327" spans="1:13" ht="28.5" hidden="1">
      <c r="A327" s="456" t="s">
        <v>1044</v>
      </c>
      <c r="B327" s="459"/>
      <c r="C327" s="460" t="s">
        <v>117</v>
      </c>
      <c r="D327" s="461" t="s">
        <v>300</v>
      </c>
      <c r="E327" s="461" t="s">
        <v>54</v>
      </c>
      <c r="F327" s="462"/>
      <c r="G327" s="463">
        <f>G328</f>
        <v>0</v>
      </c>
      <c r="H327" s="452"/>
      <c r="I327" s="452"/>
      <c r="J327" s="453"/>
      <c r="K327" s="453"/>
      <c r="L327" s="453">
        <f t="shared" si="9"/>
        <v>0</v>
      </c>
      <c r="M327" s="463">
        <f>M328</f>
        <v>0</v>
      </c>
    </row>
    <row r="328" spans="1:13" ht="28.5" hidden="1">
      <c r="A328" s="161" t="s">
        <v>566</v>
      </c>
      <c r="B328" s="459"/>
      <c r="C328" s="460" t="s">
        <v>117</v>
      </c>
      <c r="D328" s="461" t="s">
        <v>300</v>
      </c>
      <c r="E328" s="461" t="s">
        <v>563</v>
      </c>
      <c r="F328" s="462" t="s">
        <v>560</v>
      </c>
      <c r="G328" s="463"/>
      <c r="H328" s="452"/>
      <c r="I328" s="452"/>
      <c r="J328" s="497"/>
      <c r="K328" s="497"/>
      <c r="L328" s="453">
        <f t="shared" si="9"/>
        <v>0</v>
      </c>
      <c r="M328" s="463"/>
    </row>
    <row r="329" spans="1:13" ht="15">
      <c r="A329" s="468" t="s">
        <v>328</v>
      </c>
      <c r="B329" s="469"/>
      <c r="C329" s="470" t="s">
        <v>124</v>
      </c>
      <c r="D329" s="471"/>
      <c r="E329" s="471"/>
      <c r="F329" s="472"/>
      <c r="G329" s="496">
        <f>SUM(G330+G378)</f>
        <v>94084.90000000001</v>
      </c>
      <c r="H329" s="452"/>
      <c r="I329" s="452"/>
      <c r="J329" s="453"/>
      <c r="K329" s="453"/>
      <c r="L329" s="453"/>
      <c r="M329" s="496">
        <f>SUM(M330+M378)</f>
        <v>94084.90000000001</v>
      </c>
    </row>
    <row r="330" spans="1:13" s="14" customFormat="1" ht="14.25">
      <c r="A330" s="447" t="s">
        <v>367</v>
      </c>
      <c r="B330" s="448"/>
      <c r="C330" s="457" t="s">
        <v>124</v>
      </c>
      <c r="D330" s="458" t="s">
        <v>460</v>
      </c>
      <c r="E330" s="458"/>
      <c r="F330" s="454"/>
      <c r="G330" s="452">
        <f>SUM(G331+G354+G363)</f>
        <v>87290.40000000001</v>
      </c>
      <c r="H330" s="452"/>
      <c r="I330" s="452"/>
      <c r="J330" s="497"/>
      <c r="K330" s="497"/>
      <c r="L330" s="453"/>
      <c r="M330" s="452">
        <f>SUM(M331+M354+M363)</f>
        <v>87290.40000000001</v>
      </c>
    </row>
    <row r="331" spans="1:13" s="14" customFormat="1" ht="28.5">
      <c r="A331" s="161" t="s">
        <v>599</v>
      </c>
      <c r="B331" s="448"/>
      <c r="C331" s="457" t="s">
        <v>124</v>
      </c>
      <c r="D331" s="458" t="s">
        <v>460</v>
      </c>
      <c r="E331" s="458" t="s">
        <v>136</v>
      </c>
      <c r="F331" s="454"/>
      <c r="G331" s="452">
        <f>SUM(G332+G335)</f>
        <v>49129.5</v>
      </c>
      <c r="H331" s="452"/>
      <c r="I331" s="452"/>
      <c r="J331" s="497"/>
      <c r="K331" s="497"/>
      <c r="L331" s="453"/>
      <c r="M331" s="452">
        <f>SUM(M332+M335)</f>
        <v>49129.5</v>
      </c>
    </row>
    <row r="332" spans="1:13" s="14" customFormat="1" ht="28.5">
      <c r="A332" s="447" t="s">
        <v>15</v>
      </c>
      <c r="B332" s="469"/>
      <c r="C332" s="457" t="s">
        <v>124</v>
      </c>
      <c r="D332" s="458" t="s">
        <v>460</v>
      </c>
      <c r="E332" s="458" t="s">
        <v>204</v>
      </c>
      <c r="F332" s="454"/>
      <c r="G332" s="452">
        <f>SUM(G333)</f>
        <v>31454.3</v>
      </c>
      <c r="H332" s="452"/>
      <c r="I332" s="452"/>
      <c r="J332" s="497"/>
      <c r="K332" s="497"/>
      <c r="L332" s="453"/>
      <c r="M332" s="452">
        <f>SUM(M333)</f>
        <v>31454.3</v>
      </c>
    </row>
    <row r="333" spans="1:13" s="14" customFormat="1" ht="28.5">
      <c r="A333" s="447" t="s">
        <v>94</v>
      </c>
      <c r="B333" s="469"/>
      <c r="C333" s="457" t="s">
        <v>124</v>
      </c>
      <c r="D333" s="458" t="s">
        <v>460</v>
      </c>
      <c r="E333" s="458" t="s">
        <v>206</v>
      </c>
      <c r="F333" s="454"/>
      <c r="G333" s="452">
        <f>SUM(G334)</f>
        <v>31454.3</v>
      </c>
      <c r="H333" s="452"/>
      <c r="I333" s="452"/>
      <c r="J333" s="497"/>
      <c r="K333" s="497"/>
      <c r="L333" s="453"/>
      <c r="M333" s="452">
        <f>SUM(M334)</f>
        <v>31454.3</v>
      </c>
    </row>
    <row r="334" spans="1:13" s="14" customFormat="1" ht="28.5">
      <c r="A334" s="475" t="s">
        <v>517</v>
      </c>
      <c r="B334" s="508"/>
      <c r="C334" s="457" t="s">
        <v>124</v>
      </c>
      <c r="D334" s="458" t="s">
        <v>460</v>
      </c>
      <c r="E334" s="458" t="s">
        <v>206</v>
      </c>
      <c r="F334" s="465" t="s">
        <v>513</v>
      </c>
      <c r="G334" s="452">
        <v>31454.3</v>
      </c>
      <c r="H334" s="452"/>
      <c r="I334" s="452"/>
      <c r="J334" s="497">
        <f>SUM('[2]ведомствен.2015-2016'!G630)</f>
        <v>31454.3</v>
      </c>
      <c r="K334" s="497">
        <f>SUM('[2]ведомствен.2015-2016'!H630)</f>
        <v>31454.3</v>
      </c>
      <c r="L334" s="453">
        <f t="shared" si="9"/>
        <v>0</v>
      </c>
      <c r="M334" s="452">
        <v>31454.3</v>
      </c>
    </row>
    <row r="335" spans="1:13" s="14" customFormat="1" ht="28.5">
      <c r="A335" s="447" t="s">
        <v>56</v>
      </c>
      <c r="B335" s="508"/>
      <c r="C335" s="457" t="s">
        <v>124</v>
      </c>
      <c r="D335" s="458" t="s">
        <v>460</v>
      </c>
      <c r="E335" s="458" t="s">
        <v>137</v>
      </c>
      <c r="F335" s="465"/>
      <c r="G335" s="452">
        <f>SUM(G336:G338)</f>
        <v>17675.199999999997</v>
      </c>
      <c r="H335" s="452"/>
      <c r="I335" s="452"/>
      <c r="J335" s="497"/>
      <c r="K335" s="497"/>
      <c r="L335" s="453"/>
      <c r="M335" s="452">
        <f>SUM(M336:M338)</f>
        <v>17675.199999999997</v>
      </c>
    </row>
    <row r="336" spans="1:13" s="14" customFormat="1" ht="42.75">
      <c r="A336" s="447" t="s">
        <v>495</v>
      </c>
      <c r="B336" s="448"/>
      <c r="C336" s="457" t="s">
        <v>124</v>
      </c>
      <c r="D336" s="458" t="s">
        <v>460</v>
      </c>
      <c r="E336" s="458" t="s">
        <v>137</v>
      </c>
      <c r="F336" s="451" t="s">
        <v>496</v>
      </c>
      <c r="G336" s="452">
        <v>14345.1</v>
      </c>
      <c r="H336" s="452"/>
      <c r="I336" s="452"/>
      <c r="J336" s="497">
        <f>SUM('[2]ведомствен.2015-2016'!G632)</f>
        <v>14345.1</v>
      </c>
      <c r="K336" s="497">
        <f>SUM('[2]ведомствен.2015-2016'!H632)</f>
        <v>14345.1</v>
      </c>
      <c r="L336" s="453">
        <f t="shared" si="9"/>
        <v>0</v>
      </c>
      <c r="M336" s="452">
        <v>14345.1</v>
      </c>
    </row>
    <row r="337" spans="1:13" s="14" customFormat="1" ht="14.25">
      <c r="A337" s="447" t="s">
        <v>500</v>
      </c>
      <c r="B337" s="448"/>
      <c r="C337" s="457" t="s">
        <v>124</v>
      </c>
      <c r="D337" s="458" t="s">
        <v>460</v>
      </c>
      <c r="E337" s="458" t="s">
        <v>137</v>
      </c>
      <c r="F337" s="451" t="s">
        <v>120</v>
      </c>
      <c r="G337" s="455">
        <v>3078.5</v>
      </c>
      <c r="H337" s="452"/>
      <c r="I337" s="452"/>
      <c r="J337" s="497">
        <f>SUM('[2]ведомствен.2015-2016'!G633)</f>
        <v>3078.5</v>
      </c>
      <c r="K337" s="497">
        <f>SUM('[2]ведомствен.2015-2016'!H633)</f>
        <v>3078.5</v>
      </c>
      <c r="L337" s="453">
        <f aca="true" t="shared" si="11" ref="L337:L399">SUM(G337-J337)</f>
        <v>0</v>
      </c>
      <c r="M337" s="455">
        <v>3078.5</v>
      </c>
    </row>
    <row r="338" spans="1:13" ht="14.25">
      <c r="A338" s="447" t="s">
        <v>501</v>
      </c>
      <c r="B338" s="448"/>
      <c r="C338" s="457" t="s">
        <v>124</v>
      </c>
      <c r="D338" s="458" t="s">
        <v>460</v>
      </c>
      <c r="E338" s="458" t="s">
        <v>137</v>
      </c>
      <c r="F338" s="454" t="s">
        <v>176</v>
      </c>
      <c r="G338" s="452">
        <v>251.6</v>
      </c>
      <c r="H338" s="452">
        <v>5048</v>
      </c>
      <c r="I338" s="452">
        <f>SUM(H338/G338*100)</f>
        <v>2006.3593004769477</v>
      </c>
      <c r="J338" s="497">
        <f>SUM('[2]ведомствен.2015-2016'!G634)</f>
        <v>251.6</v>
      </c>
      <c r="K338" s="497">
        <f>SUM('[2]ведомствен.2015-2016'!H634)</f>
        <v>251.6</v>
      </c>
      <c r="L338" s="453">
        <f t="shared" si="11"/>
        <v>0</v>
      </c>
      <c r="M338" s="452">
        <v>251.6</v>
      </c>
    </row>
    <row r="339" spans="1:13" ht="28.5" hidden="1">
      <c r="A339" s="447" t="s">
        <v>95</v>
      </c>
      <c r="B339" s="469"/>
      <c r="C339" s="457" t="s">
        <v>124</v>
      </c>
      <c r="D339" s="458" t="s">
        <v>460</v>
      </c>
      <c r="E339" s="458" t="s">
        <v>204</v>
      </c>
      <c r="F339" s="454"/>
      <c r="G339" s="452">
        <f>SUM(G340+G342)</f>
        <v>0</v>
      </c>
      <c r="H339" s="452"/>
      <c r="I339" s="452"/>
      <c r="J339" s="453"/>
      <c r="K339" s="453"/>
      <c r="L339" s="453">
        <f t="shared" si="11"/>
        <v>0</v>
      </c>
      <c r="M339" s="452">
        <f>SUM(M340+M342)</f>
        <v>0</v>
      </c>
    </row>
    <row r="340" spans="1:13" s="14" customFormat="1" ht="28.5" hidden="1">
      <c r="A340" s="447" t="s">
        <v>205</v>
      </c>
      <c r="B340" s="469"/>
      <c r="C340" s="457" t="s">
        <v>124</v>
      </c>
      <c r="D340" s="458" t="s">
        <v>460</v>
      </c>
      <c r="E340" s="458" t="s">
        <v>206</v>
      </c>
      <c r="F340" s="454"/>
      <c r="G340" s="452">
        <f>SUM(G341)</f>
        <v>0</v>
      </c>
      <c r="H340" s="452">
        <f>SUM(H341+H346+H351+H354)+H349</f>
        <v>71087.2</v>
      </c>
      <c r="I340" s="452" t="e">
        <f t="shared" si="10"/>
        <v>#DIV/0!</v>
      </c>
      <c r="J340" s="497"/>
      <c r="K340" s="497"/>
      <c r="L340" s="453">
        <f t="shared" si="11"/>
        <v>0</v>
      </c>
      <c r="M340" s="452">
        <f>SUM(M341)</f>
        <v>0</v>
      </c>
    </row>
    <row r="341" spans="1:13" s="14" customFormat="1" ht="42.75" hidden="1">
      <c r="A341" s="475" t="s">
        <v>156</v>
      </c>
      <c r="B341" s="508"/>
      <c r="C341" s="457" t="s">
        <v>124</v>
      </c>
      <c r="D341" s="458" t="s">
        <v>460</v>
      </c>
      <c r="E341" s="458" t="s">
        <v>206</v>
      </c>
      <c r="F341" s="465" t="s">
        <v>58</v>
      </c>
      <c r="G341" s="452"/>
      <c r="H341" s="452">
        <f>SUM(H343:H344)</f>
        <v>20816.7</v>
      </c>
      <c r="I341" s="452" t="e">
        <f t="shared" si="10"/>
        <v>#DIV/0!</v>
      </c>
      <c r="J341" s="497"/>
      <c r="K341" s="497"/>
      <c r="L341" s="453">
        <f t="shared" si="11"/>
        <v>0</v>
      </c>
      <c r="M341" s="452"/>
    </row>
    <row r="342" spans="1:13" s="23" customFormat="1" ht="28.5" hidden="1">
      <c r="A342" s="447" t="s">
        <v>157</v>
      </c>
      <c r="B342" s="448"/>
      <c r="C342" s="457" t="s">
        <v>124</v>
      </c>
      <c r="D342" s="458" t="s">
        <v>460</v>
      </c>
      <c r="E342" s="450" t="s">
        <v>415</v>
      </c>
      <c r="F342" s="465"/>
      <c r="G342" s="452">
        <f>SUM(G345+G347)+G343</f>
        <v>0</v>
      </c>
      <c r="H342" s="452"/>
      <c r="I342" s="452"/>
      <c r="J342" s="453"/>
      <c r="K342" s="453"/>
      <c r="L342" s="453">
        <f t="shared" si="11"/>
        <v>0</v>
      </c>
      <c r="M342" s="452">
        <f>SUM(M345+M347)+M343</f>
        <v>0</v>
      </c>
    </row>
    <row r="343" spans="1:13" s="14" customFormat="1" ht="28.5" hidden="1">
      <c r="A343" s="447" t="s">
        <v>463</v>
      </c>
      <c r="B343" s="448"/>
      <c r="C343" s="457" t="s">
        <v>124</v>
      </c>
      <c r="D343" s="458" t="s">
        <v>460</v>
      </c>
      <c r="E343" s="450" t="s">
        <v>416</v>
      </c>
      <c r="F343" s="465"/>
      <c r="G343" s="452">
        <f>SUM(G344)</f>
        <v>0</v>
      </c>
      <c r="H343" s="452">
        <v>20816.7</v>
      </c>
      <c r="I343" s="452" t="e">
        <f t="shared" si="10"/>
        <v>#DIV/0!</v>
      </c>
      <c r="J343" s="453"/>
      <c r="K343" s="453"/>
      <c r="L343" s="453">
        <f t="shared" si="11"/>
        <v>0</v>
      </c>
      <c r="M343" s="452">
        <f>SUM(M344)</f>
        <v>0</v>
      </c>
    </row>
    <row r="344" spans="1:13" s="14" customFormat="1" ht="28.5" hidden="1">
      <c r="A344" s="447" t="s">
        <v>157</v>
      </c>
      <c r="B344" s="448"/>
      <c r="C344" s="457" t="s">
        <v>124</v>
      </c>
      <c r="D344" s="458" t="s">
        <v>460</v>
      </c>
      <c r="E344" s="450" t="s">
        <v>416</v>
      </c>
      <c r="F344" s="465" t="s">
        <v>83</v>
      </c>
      <c r="G344" s="452"/>
      <c r="H344" s="452">
        <f>SUM(H345)</f>
        <v>0</v>
      </c>
      <c r="I344" s="452" t="e">
        <f t="shared" si="10"/>
        <v>#DIV/0!</v>
      </c>
      <c r="J344" s="497"/>
      <c r="K344" s="497"/>
      <c r="L344" s="453">
        <f t="shared" si="11"/>
        <v>0</v>
      </c>
      <c r="M344" s="452"/>
    </row>
    <row r="345" spans="1:13" s="14" customFormat="1" ht="28.5" hidden="1">
      <c r="A345" s="475" t="s">
        <v>414</v>
      </c>
      <c r="B345" s="508"/>
      <c r="C345" s="457" t="s">
        <v>124</v>
      </c>
      <c r="D345" s="458" t="s">
        <v>460</v>
      </c>
      <c r="E345" s="458" t="s">
        <v>413</v>
      </c>
      <c r="F345" s="465"/>
      <c r="G345" s="452">
        <f>SUM(G346)</f>
        <v>0</v>
      </c>
      <c r="H345" s="452"/>
      <c r="I345" s="452" t="e">
        <f t="shared" si="10"/>
        <v>#DIV/0!</v>
      </c>
      <c r="J345" s="497"/>
      <c r="K345" s="497"/>
      <c r="L345" s="453">
        <f t="shared" si="11"/>
        <v>0</v>
      </c>
      <c r="M345" s="452">
        <f>SUM(M346)</f>
        <v>0</v>
      </c>
    </row>
    <row r="346" spans="1:13" s="14" customFormat="1" ht="28.5" hidden="1">
      <c r="A346" s="475" t="s">
        <v>143</v>
      </c>
      <c r="B346" s="508"/>
      <c r="C346" s="457" t="s">
        <v>124</v>
      </c>
      <c r="D346" s="458" t="s">
        <v>460</v>
      </c>
      <c r="E346" s="458" t="s">
        <v>413</v>
      </c>
      <c r="F346" s="465" t="s">
        <v>83</v>
      </c>
      <c r="G346" s="452"/>
      <c r="H346" s="452">
        <f>SUM(H348)</f>
        <v>43097.5</v>
      </c>
      <c r="I346" s="452" t="e">
        <f t="shared" si="10"/>
        <v>#DIV/0!</v>
      </c>
      <c r="J346" s="497"/>
      <c r="K346" s="497"/>
      <c r="L346" s="453">
        <f t="shared" si="11"/>
        <v>0</v>
      </c>
      <c r="M346" s="452"/>
    </row>
    <row r="347" spans="1:13" s="14" customFormat="1" ht="28.5" hidden="1">
      <c r="A347" s="475" t="s">
        <v>154</v>
      </c>
      <c r="B347" s="508"/>
      <c r="C347" s="457" t="s">
        <v>124</v>
      </c>
      <c r="D347" s="458" t="s">
        <v>460</v>
      </c>
      <c r="E347" s="458" t="s">
        <v>216</v>
      </c>
      <c r="F347" s="465"/>
      <c r="G347" s="452">
        <f>SUM(G348)</f>
        <v>0</v>
      </c>
      <c r="H347" s="452"/>
      <c r="I347" s="452"/>
      <c r="J347" s="453"/>
      <c r="K347" s="453"/>
      <c r="L347" s="453">
        <f t="shared" si="11"/>
        <v>0</v>
      </c>
      <c r="M347" s="452">
        <f>SUM(M348)</f>
        <v>0</v>
      </c>
    </row>
    <row r="348" spans="1:13" s="14" customFormat="1" ht="28.5" hidden="1">
      <c r="A348" s="475" t="s">
        <v>143</v>
      </c>
      <c r="B348" s="508"/>
      <c r="C348" s="457" t="s">
        <v>124</v>
      </c>
      <c r="D348" s="458" t="s">
        <v>460</v>
      </c>
      <c r="E348" s="458" t="s">
        <v>216</v>
      </c>
      <c r="F348" s="465" t="s">
        <v>83</v>
      </c>
      <c r="G348" s="452"/>
      <c r="H348" s="452">
        <v>43097.5</v>
      </c>
      <c r="I348" s="452" t="e">
        <f t="shared" si="10"/>
        <v>#DIV/0!</v>
      </c>
      <c r="J348" s="453"/>
      <c r="K348" s="453"/>
      <c r="L348" s="453">
        <f t="shared" si="11"/>
        <v>0</v>
      </c>
      <c r="M348" s="452"/>
    </row>
    <row r="349" spans="1:13" s="14" customFormat="1" ht="28.5" hidden="1">
      <c r="A349" s="447" t="s">
        <v>56</v>
      </c>
      <c r="B349" s="456"/>
      <c r="C349" s="457" t="s">
        <v>124</v>
      </c>
      <c r="D349" s="458" t="s">
        <v>460</v>
      </c>
      <c r="E349" s="458" t="s">
        <v>137</v>
      </c>
      <c r="F349" s="454"/>
      <c r="G349" s="452">
        <f>SUM(G350:G352)</f>
        <v>0</v>
      </c>
      <c r="H349" s="452">
        <f>SUM(H350)</f>
        <v>482.9</v>
      </c>
      <c r="I349" s="452" t="e">
        <f t="shared" si="10"/>
        <v>#DIV/0!</v>
      </c>
      <c r="J349" s="497"/>
      <c r="K349" s="497"/>
      <c r="L349" s="453">
        <f t="shared" si="11"/>
        <v>0</v>
      </c>
      <c r="M349" s="452">
        <f>SUM(M350:M352)</f>
        <v>0</v>
      </c>
    </row>
    <row r="350" spans="1:13" s="14" customFormat="1" ht="14.25" hidden="1">
      <c r="A350" s="475" t="s">
        <v>57</v>
      </c>
      <c r="B350" s="456"/>
      <c r="C350" s="457" t="s">
        <v>124</v>
      </c>
      <c r="D350" s="458" t="s">
        <v>460</v>
      </c>
      <c r="E350" s="458" t="s">
        <v>137</v>
      </c>
      <c r="F350" s="454" t="s">
        <v>247</v>
      </c>
      <c r="G350" s="452"/>
      <c r="H350" s="452">
        <v>482.9</v>
      </c>
      <c r="I350" s="452" t="e">
        <f t="shared" si="10"/>
        <v>#DIV/0!</v>
      </c>
      <c r="J350" s="497"/>
      <c r="K350" s="497"/>
      <c r="L350" s="453">
        <f t="shared" si="11"/>
        <v>0</v>
      </c>
      <c r="M350" s="452"/>
    </row>
    <row r="351" spans="1:13" s="14" customFormat="1" ht="42.75" hidden="1">
      <c r="A351" s="475" t="s">
        <v>370</v>
      </c>
      <c r="B351" s="508"/>
      <c r="C351" s="457" t="s">
        <v>124</v>
      </c>
      <c r="D351" s="458" t="s">
        <v>460</v>
      </c>
      <c r="E351" s="458" t="s">
        <v>137</v>
      </c>
      <c r="F351" s="465" t="s">
        <v>371</v>
      </c>
      <c r="G351" s="452"/>
      <c r="H351" s="452">
        <f>SUM(H353)</f>
        <v>489.8</v>
      </c>
      <c r="I351" s="452" t="e">
        <f t="shared" si="10"/>
        <v>#DIV/0!</v>
      </c>
      <c r="J351" s="497"/>
      <c r="K351" s="497"/>
      <c r="L351" s="453">
        <f t="shared" si="11"/>
        <v>0</v>
      </c>
      <c r="M351" s="452"/>
    </row>
    <row r="352" spans="1:13" ht="57" hidden="1">
      <c r="A352" s="447" t="s">
        <v>258</v>
      </c>
      <c r="B352" s="448"/>
      <c r="C352" s="457" t="s">
        <v>124</v>
      </c>
      <c r="D352" s="458" t="s">
        <v>460</v>
      </c>
      <c r="E352" s="458" t="s">
        <v>372</v>
      </c>
      <c r="F352" s="465"/>
      <c r="G352" s="452">
        <f>SUM(G353)</f>
        <v>0</v>
      </c>
      <c r="H352" s="452"/>
      <c r="I352" s="452"/>
      <c r="J352" s="453"/>
      <c r="K352" s="453"/>
      <c r="L352" s="453">
        <f t="shared" si="11"/>
        <v>0</v>
      </c>
      <c r="M352" s="452">
        <f>SUM(M353)</f>
        <v>0</v>
      </c>
    </row>
    <row r="353" spans="1:13" s="14" customFormat="1" ht="15" hidden="1">
      <c r="A353" s="475" t="s">
        <v>246</v>
      </c>
      <c r="B353" s="508"/>
      <c r="C353" s="457" t="s">
        <v>124</v>
      </c>
      <c r="D353" s="458" t="s">
        <v>460</v>
      </c>
      <c r="E353" s="458" t="s">
        <v>372</v>
      </c>
      <c r="F353" s="465" t="s">
        <v>247</v>
      </c>
      <c r="G353" s="452"/>
      <c r="H353" s="452">
        <v>489.8</v>
      </c>
      <c r="I353" s="452" t="e">
        <f t="shared" si="10"/>
        <v>#DIV/0!</v>
      </c>
      <c r="J353" s="497"/>
      <c r="K353" s="497"/>
      <c r="L353" s="453">
        <f t="shared" si="11"/>
        <v>0</v>
      </c>
      <c r="M353" s="452"/>
    </row>
    <row r="354" spans="1:13" s="14" customFormat="1" ht="14.25">
      <c r="A354" s="447" t="s">
        <v>373</v>
      </c>
      <c r="B354" s="448"/>
      <c r="C354" s="457" t="s">
        <v>124</v>
      </c>
      <c r="D354" s="458" t="s">
        <v>460</v>
      </c>
      <c r="E354" s="458" t="s">
        <v>374</v>
      </c>
      <c r="F354" s="454"/>
      <c r="G354" s="452">
        <f>SUM(G355)</f>
        <v>4702.3</v>
      </c>
      <c r="H354" s="452">
        <f>SUM(H356)</f>
        <v>6200.3</v>
      </c>
      <c r="I354" s="452">
        <f t="shared" si="10"/>
        <v>131.85675095166195</v>
      </c>
      <c r="J354" s="497"/>
      <c r="K354" s="497"/>
      <c r="L354" s="453"/>
      <c r="M354" s="452">
        <f>SUM(M355)</f>
        <v>4702.3</v>
      </c>
    </row>
    <row r="355" spans="1:13" s="519" customFormat="1" ht="28.5">
      <c r="A355" s="447" t="s">
        <v>95</v>
      </c>
      <c r="B355" s="469"/>
      <c r="C355" s="457" t="s">
        <v>124</v>
      </c>
      <c r="D355" s="458" t="s">
        <v>460</v>
      </c>
      <c r="E355" s="458" t="s">
        <v>81</v>
      </c>
      <c r="F355" s="454"/>
      <c r="G355" s="452">
        <f>SUM(G356)+G358</f>
        <v>4702.3</v>
      </c>
      <c r="H355" s="452"/>
      <c r="I355" s="452"/>
      <c r="J355" s="497"/>
      <c r="K355" s="497"/>
      <c r="L355" s="453"/>
      <c r="M355" s="452">
        <f>SUM(M356)+M358</f>
        <v>4702.3</v>
      </c>
    </row>
    <row r="356" spans="1:13" s="14" customFormat="1" ht="28.5">
      <c r="A356" s="447" t="s">
        <v>205</v>
      </c>
      <c r="B356" s="469"/>
      <c r="C356" s="457" t="s">
        <v>124</v>
      </c>
      <c r="D356" s="458" t="s">
        <v>460</v>
      </c>
      <c r="E356" s="458" t="s">
        <v>82</v>
      </c>
      <c r="F356" s="454"/>
      <c r="G356" s="452">
        <f>SUM(G357)</f>
        <v>4702.3</v>
      </c>
      <c r="H356" s="452">
        <v>6200.3</v>
      </c>
      <c r="I356" s="452">
        <f t="shared" si="10"/>
        <v>131.85675095166195</v>
      </c>
      <c r="J356" s="497"/>
      <c r="K356" s="497"/>
      <c r="L356" s="453"/>
      <c r="M356" s="452">
        <f>SUM(M357)</f>
        <v>4702.3</v>
      </c>
    </row>
    <row r="357" spans="1:13" s="14" customFormat="1" ht="28.5">
      <c r="A357" s="475" t="s">
        <v>517</v>
      </c>
      <c r="B357" s="508"/>
      <c r="C357" s="457" t="s">
        <v>124</v>
      </c>
      <c r="D357" s="458" t="s">
        <v>460</v>
      </c>
      <c r="E357" s="458" t="s">
        <v>82</v>
      </c>
      <c r="F357" s="465" t="s">
        <v>513</v>
      </c>
      <c r="G357" s="452">
        <v>4702.3</v>
      </c>
      <c r="H357" s="452">
        <f>SUM(H358)</f>
        <v>395.4</v>
      </c>
      <c r="I357" s="452">
        <f t="shared" si="10"/>
        <v>8.408651085638942</v>
      </c>
      <c r="J357" s="497">
        <f>SUM('[2]ведомствен.2015-2016'!G653)</f>
        <v>4702.3</v>
      </c>
      <c r="K357" s="497">
        <f>SUM('[2]ведомствен.2015-2016'!H653)</f>
        <v>4702.3</v>
      </c>
      <c r="L357" s="453">
        <f t="shared" si="11"/>
        <v>0</v>
      </c>
      <c r="M357" s="452">
        <v>4702.3</v>
      </c>
    </row>
    <row r="358" spans="1:13" s="14" customFormat="1" ht="28.5" hidden="1">
      <c r="A358" s="447" t="s">
        <v>157</v>
      </c>
      <c r="B358" s="508"/>
      <c r="C358" s="457" t="s">
        <v>124</v>
      </c>
      <c r="D358" s="458" t="s">
        <v>460</v>
      </c>
      <c r="E358" s="458" t="s">
        <v>217</v>
      </c>
      <c r="F358" s="465"/>
      <c r="G358" s="452">
        <f>SUM(G361+G359)</f>
        <v>0</v>
      </c>
      <c r="H358" s="452">
        <f>SUM(H359:H361)</f>
        <v>395.4</v>
      </c>
      <c r="I358" s="452" t="e">
        <f t="shared" si="10"/>
        <v>#DIV/0!</v>
      </c>
      <c r="J358" s="497"/>
      <c r="K358" s="497"/>
      <c r="L358" s="453">
        <f t="shared" si="11"/>
        <v>0</v>
      </c>
      <c r="M358" s="452">
        <f>SUM(M361+M359)</f>
        <v>0</v>
      </c>
    </row>
    <row r="359" spans="1:13" s="18" customFormat="1" ht="28.5" hidden="1">
      <c r="A359" s="447" t="s">
        <v>463</v>
      </c>
      <c r="B359" s="508"/>
      <c r="C359" s="457" t="s">
        <v>124</v>
      </c>
      <c r="D359" s="458" t="s">
        <v>460</v>
      </c>
      <c r="E359" s="458" t="s">
        <v>465</v>
      </c>
      <c r="F359" s="465"/>
      <c r="G359" s="452">
        <f>SUM(G360)</f>
        <v>0</v>
      </c>
      <c r="H359" s="452"/>
      <c r="I359" s="452" t="e">
        <f t="shared" si="10"/>
        <v>#DIV/0!</v>
      </c>
      <c r="J359" s="520"/>
      <c r="K359" s="520"/>
      <c r="L359" s="453">
        <f t="shared" si="11"/>
        <v>0</v>
      </c>
      <c r="M359" s="452">
        <f>SUM(M360)</f>
        <v>0</v>
      </c>
    </row>
    <row r="360" spans="1:13" s="18" customFormat="1" ht="28.5" hidden="1">
      <c r="A360" s="447" t="s">
        <v>157</v>
      </c>
      <c r="B360" s="508"/>
      <c r="C360" s="457" t="s">
        <v>124</v>
      </c>
      <c r="D360" s="458" t="s">
        <v>460</v>
      </c>
      <c r="E360" s="458" t="s">
        <v>465</v>
      </c>
      <c r="F360" s="465" t="s">
        <v>83</v>
      </c>
      <c r="G360" s="452"/>
      <c r="H360" s="452">
        <v>395.4</v>
      </c>
      <c r="I360" s="452" t="e">
        <f t="shared" si="10"/>
        <v>#DIV/0!</v>
      </c>
      <c r="J360" s="520"/>
      <c r="K360" s="520"/>
      <c r="L360" s="453">
        <f t="shared" si="11"/>
        <v>0</v>
      </c>
      <c r="M360" s="452"/>
    </row>
    <row r="361" spans="1:13" s="18" customFormat="1" ht="28.5" hidden="1">
      <c r="A361" s="475" t="s">
        <v>414</v>
      </c>
      <c r="B361" s="508"/>
      <c r="C361" s="457" t="s">
        <v>124</v>
      </c>
      <c r="D361" s="458" t="s">
        <v>460</v>
      </c>
      <c r="E361" s="458" t="s">
        <v>153</v>
      </c>
      <c r="F361" s="465"/>
      <c r="G361" s="452">
        <f>SUM(G362)</f>
        <v>0</v>
      </c>
      <c r="H361" s="452"/>
      <c r="I361" s="452" t="e">
        <f t="shared" si="10"/>
        <v>#DIV/0!</v>
      </c>
      <c r="J361" s="520"/>
      <c r="K361" s="520"/>
      <c r="L361" s="453">
        <f t="shared" si="11"/>
        <v>0</v>
      </c>
      <c r="M361" s="452">
        <f>SUM(M362)</f>
        <v>0</v>
      </c>
    </row>
    <row r="362" spans="1:13" ht="28.5" hidden="1">
      <c r="A362" s="475" t="s">
        <v>143</v>
      </c>
      <c r="B362" s="508"/>
      <c r="C362" s="457" t="s">
        <v>124</v>
      </c>
      <c r="D362" s="458" t="s">
        <v>460</v>
      </c>
      <c r="E362" s="458" t="s">
        <v>153</v>
      </c>
      <c r="F362" s="465" t="s">
        <v>83</v>
      </c>
      <c r="G362" s="452"/>
      <c r="H362" s="452"/>
      <c r="I362" s="452"/>
      <c r="J362" s="453"/>
      <c r="K362" s="453"/>
      <c r="L362" s="453">
        <f t="shared" si="11"/>
        <v>0</v>
      </c>
      <c r="M362" s="452"/>
    </row>
    <row r="363" spans="1:13" ht="14.25">
      <c r="A363" s="447" t="s">
        <v>375</v>
      </c>
      <c r="B363" s="448"/>
      <c r="C363" s="457" t="s">
        <v>124</v>
      </c>
      <c r="D363" s="458" t="s">
        <v>460</v>
      </c>
      <c r="E363" s="458" t="s">
        <v>376</v>
      </c>
      <c r="F363" s="454"/>
      <c r="G363" s="452">
        <f>SUM(G364)</f>
        <v>33458.600000000006</v>
      </c>
      <c r="H363" s="452"/>
      <c r="I363" s="452"/>
      <c r="J363" s="453"/>
      <c r="K363" s="453"/>
      <c r="L363" s="453"/>
      <c r="M363" s="452">
        <f>SUM(M364)</f>
        <v>33458.600000000006</v>
      </c>
    </row>
    <row r="364" spans="1:13" ht="28.5">
      <c r="A364" s="447" t="s">
        <v>56</v>
      </c>
      <c r="B364" s="469"/>
      <c r="C364" s="457" t="s">
        <v>124</v>
      </c>
      <c r="D364" s="458" t="s">
        <v>460</v>
      </c>
      <c r="E364" s="458" t="s">
        <v>377</v>
      </c>
      <c r="F364" s="454"/>
      <c r="G364" s="452">
        <f>SUM(G365:G367)</f>
        <v>33458.600000000006</v>
      </c>
      <c r="H364" s="452"/>
      <c r="I364" s="452"/>
      <c r="J364" s="453"/>
      <c r="K364" s="453"/>
      <c r="L364" s="453"/>
      <c r="M364" s="452">
        <f>SUM(M365:M367)</f>
        <v>33458.600000000006</v>
      </c>
    </row>
    <row r="365" spans="1:13" ht="42.75">
      <c r="A365" s="447" t="s">
        <v>495</v>
      </c>
      <c r="B365" s="448"/>
      <c r="C365" s="457" t="s">
        <v>124</v>
      </c>
      <c r="D365" s="458" t="s">
        <v>460</v>
      </c>
      <c r="E365" s="458" t="s">
        <v>377</v>
      </c>
      <c r="F365" s="451" t="s">
        <v>496</v>
      </c>
      <c r="G365" s="452">
        <v>30265.8</v>
      </c>
      <c r="H365" s="452"/>
      <c r="I365" s="452"/>
      <c r="J365" s="497">
        <f>SUM('[2]ведомствен.2015-2016'!G661)</f>
        <v>30265.8</v>
      </c>
      <c r="K365" s="497">
        <f>SUM('[2]ведомствен.2015-2016'!H661)</f>
        <v>30265.8</v>
      </c>
      <c r="L365" s="453">
        <f t="shared" si="11"/>
        <v>0</v>
      </c>
      <c r="M365" s="452">
        <v>30265.8</v>
      </c>
    </row>
    <row r="366" spans="1:13" ht="14.25">
      <c r="A366" s="447" t="s">
        <v>500</v>
      </c>
      <c r="B366" s="448"/>
      <c r="C366" s="457" t="s">
        <v>124</v>
      </c>
      <c r="D366" s="458" t="s">
        <v>460</v>
      </c>
      <c r="E366" s="458" t="s">
        <v>377</v>
      </c>
      <c r="F366" s="451" t="s">
        <v>120</v>
      </c>
      <c r="G366" s="455">
        <v>2637.5</v>
      </c>
      <c r="H366" s="452"/>
      <c r="I366" s="452"/>
      <c r="J366" s="497">
        <f>SUM('[2]ведомствен.2015-2016'!G662)</f>
        <v>2637.5</v>
      </c>
      <c r="K366" s="497">
        <f>SUM('[2]ведомствен.2015-2016'!H662)</f>
        <v>2637.5</v>
      </c>
      <c r="L366" s="453">
        <f t="shared" si="11"/>
        <v>0</v>
      </c>
      <c r="M366" s="455">
        <v>2637.5</v>
      </c>
    </row>
    <row r="367" spans="1:13" ht="14.25">
      <c r="A367" s="447" t="s">
        <v>501</v>
      </c>
      <c r="B367" s="448"/>
      <c r="C367" s="457" t="s">
        <v>124</v>
      </c>
      <c r="D367" s="458" t="s">
        <v>460</v>
      </c>
      <c r="E367" s="458" t="s">
        <v>377</v>
      </c>
      <c r="F367" s="454" t="s">
        <v>176</v>
      </c>
      <c r="G367" s="452">
        <v>555.3</v>
      </c>
      <c r="H367" s="452" t="e">
        <f>SUM(H368+H372+H387+H375)+H383</f>
        <v>#REF!</v>
      </c>
      <c r="I367" s="452" t="e">
        <f t="shared" si="10"/>
        <v>#REF!</v>
      </c>
      <c r="J367" s="497">
        <f>SUM('[2]ведомствен.2015-2016'!G663)</f>
        <v>555.3</v>
      </c>
      <c r="K367" s="497">
        <f>SUM('[2]ведомствен.2015-2016'!H663)</f>
        <v>555.3</v>
      </c>
      <c r="L367" s="453">
        <f t="shared" si="11"/>
        <v>0</v>
      </c>
      <c r="M367" s="452">
        <v>555.3</v>
      </c>
    </row>
    <row r="368" spans="1:13" s="14" customFormat="1" ht="42.75" hidden="1">
      <c r="A368" s="475" t="s">
        <v>62</v>
      </c>
      <c r="B368" s="508"/>
      <c r="C368" s="457" t="s">
        <v>124</v>
      </c>
      <c r="D368" s="458" t="s">
        <v>460</v>
      </c>
      <c r="E368" s="458" t="s">
        <v>378</v>
      </c>
      <c r="F368" s="465"/>
      <c r="G368" s="452">
        <f>SUM(G369)</f>
        <v>0</v>
      </c>
      <c r="H368" s="452">
        <f>SUM(H369)</f>
        <v>0</v>
      </c>
      <c r="I368" s="452" t="e">
        <f t="shared" si="10"/>
        <v>#DIV/0!</v>
      </c>
      <c r="J368" s="497"/>
      <c r="K368" s="497"/>
      <c r="L368" s="453">
        <f t="shared" si="11"/>
        <v>0</v>
      </c>
      <c r="M368" s="452">
        <f>SUM(M369)</f>
        <v>0</v>
      </c>
    </row>
    <row r="369" spans="1:13" s="14" customFormat="1" ht="15" hidden="1">
      <c r="A369" s="475" t="s">
        <v>57</v>
      </c>
      <c r="B369" s="508"/>
      <c r="C369" s="457" t="s">
        <v>124</v>
      </c>
      <c r="D369" s="458" t="s">
        <v>460</v>
      </c>
      <c r="E369" s="458" t="s">
        <v>378</v>
      </c>
      <c r="F369" s="465" t="s">
        <v>247</v>
      </c>
      <c r="G369" s="452"/>
      <c r="H369" s="452">
        <f>SUM(H371)</f>
        <v>0</v>
      </c>
      <c r="I369" s="452" t="e">
        <f t="shared" si="10"/>
        <v>#DIV/0!</v>
      </c>
      <c r="J369" s="497"/>
      <c r="K369" s="497"/>
      <c r="L369" s="453">
        <f t="shared" si="11"/>
        <v>0</v>
      </c>
      <c r="M369" s="452"/>
    </row>
    <row r="370" spans="1:13" s="14" customFormat="1" ht="28.5" hidden="1">
      <c r="A370" s="475" t="s">
        <v>379</v>
      </c>
      <c r="B370" s="508"/>
      <c r="C370" s="457" t="s">
        <v>124</v>
      </c>
      <c r="D370" s="458" t="s">
        <v>460</v>
      </c>
      <c r="E370" s="458" t="s">
        <v>380</v>
      </c>
      <c r="F370" s="465"/>
      <c r="G370" s="452">
        <f>SUM(G373+G371)</f>
        <v>0</v>
      </c>
      <c r="H370" s="452">
        <f>SUM(H371)</f>
        <v>0</v>
      </c>
      <c r="I370" s="452" t="e">
        <f aca="true" t="shared" si="12" ref="I370:I436">SUM(H370/G370*100)</f>
        <v>#DIV/0!</v>
      </c>
      <c r="J370" s="453"/>
      <c r="K370" s="453"/>
      <c r="L370" s="453">
        <f t="shared" si="11"/>
        <v>0</v>
      </c>
      <c r="M370" s="452">
        <f>SUM(M373+M371)</f>
        <v>0</v>
      </c>
    </row>
    <row r="371" spans="1:13" s="14" customFormat="1" ht="15" hidden="1">
      <c r="A371" s="475" t="s">
        <v>246</v>
      </c>
      <c r="B371" s="508"/>
      <c r="C371" s="457" t="s">
        <v>124</v>
      </c>
      <c r="D371" s="458" t="s">
        <v>460</v>
      </c>
      <c r="E371" s="458" t="s">
        <v>380</v>
      </c>
      <c r="F371" s="465" t="s">
        <v>247</v>
      </c>
      <c r="G371" s="452"/>
      <c r="H371" s="452"/>
      <c r="I371" s="452" t="e">
        <f t="shared" si="12"/>
        <v>#DIV/0!</v>
      </c>
      <c r="J371" s="497"/>
      <c r="K371" s="497"/>
      <c r="L371" s="453">
        <f t="shared" si="11"/>
        <v>0</v>
      </c>
      <c r="M371" s="452"/>
    </row>
    <row r="372" spans="1:13" ht="42.75" hidden="1">
      <c r="A372" s="475" t="s">
        <v>381</v>
      </c>
      <c r="B372" s="508"/>
      <c r="C372" s="457" t="s">
        <v>124</v>
      </c>
      <c r="D372" s="458" t="s">
        <v>460</v>
      </c>
      <c r="E372" s="458" t="s">
        <v>382</v>
      </c>
      <c r="F372" s="465"/>
      <c r="G372" s="452">
        <f>SUM(G373)</f>
        <v>0</v>
      </c>
      <c r="H372" s="452" t="e">
        <f>SUM(H373)</f>
        <v>#REF!</v>
      </c>
      <c r="I372" s="452" t="e">
        <f t="shared" si="12"/>
        <v>#REF!</v>
      </c>
      <c r="J372" s="453"/>
      <c r="K372" s="453"/>
      <c r="L372" s="453">
        <f t="shared" si="11"/>
        <v>0</v>
      </c>
      <c r="M372" s="452">
        <f>SUM(M373)</f>
        <v>0</v>
      </c>
    </row>
    <row r="373" spans="1:13" ht="15" hidden="1">
      <c r="A373" s="475" t="s">
        <v>246</v>
      </c>
      <c r="B373" s="508"/>
      <c r="C373" s="457" t="s">
        <v>124</v>
      </c>
      <c r="D373" s="458" t="s">
        <v>460</v>
      </c>
      <c r="E373" s="458" t="s">
        <v>382</v>
      </c>
      <c r="F373" s="465" t="s">
        <v>247</v>
      </c>
      <c r="G373" s="452"/>
      <c r="H373" s="452" t="e">
        <f>SUM(H374)</f>
        <v>#REF!</v>
      </c>
      <c r="I373" s="452" t="e">
        <f t="shared" si="12"/>
        <v>#REF!</v>
      </c>
      <c r="J373" s="453"/>
      <c r="K373" s="453"/>
      <c r="L373" s="453">
        <f t="shared" si="11"/>
        <v>0</v>
      </c>
      <c r="M373" s="452"/>
    </row>
    <row r="374" spans="1:13" ht="15" hidden="1">
      <c r="A374" s="475" t="s">
        <v>128</v>
      </c>
      <c r="B374" s="469"/>
      <c r="C374" s="457" t="s">
        <v>124</v>
      </c>
      <c r="D374" s="458" t="s">
        <v>460</v>
      </c>
      <c r="E374" s="458" t="s">
        <v>129</v>
      </c>
      <c r="F374" s="454"/>
      <c r="G374" s="452">
        <f>SUM(G375)</f>
        <v>0</v>
      </c>
      <c r="H374" s="452" t="e">
        <f>SUM('[1]Ведомств.'!G241)</f>
        <v>#REF!</v>
      </c>
      <c r="I374" s="452" t="e">
        <f t="shared" si="12"/>
        <v>#REF!</v>
      </c>
      <c r="J374" s="453"/>
      <c r="K374" s="453"/>
      <c r="L374" s="453">
        <f t="shared" si="11"/>
        <v>0</v>
      </c>
      <c r="M374" s="452">
        <f>SUM(M375)</f>
        <v>0</v>
      </c>
    </row>
    <row r="375" spans="1:13" ht="42.75" hidden="1">
      <c r="A375" s="447" t="s">
        <v>208</v>
      </c>
      <c r="B375" s="469"/>
      <c r="C375" s="457" t="s">
        <v>124</v>
      </c>
      <c r="D375" s="458" t="s">
        <v>460</v>
      </c>
      <c r="E375" s="458" t="s">
        <v>298</v>
      </c>
      <c r="F375" s="454"/>
      <c r="G375" s="452">
        <f>SUM(G376:G377)</f>
        <v>0</v>
      </c>
      <c r="H375" s="452">
        <f>SUM(H376+H381)</f>
        <v>4731.200000000001</v>
      </c>
      <c r="I375" s="452" t="e">
        <f t="shared" si="12"/>
        <v>#DIV/0!</v>
      </c>
      <c r="J375" s="453"/>
      <c r="K375" s="453"/>
      <c r="L375" s="453">
        <f t="shared" si="11"/>
        <v>0</v>
      </c>
      <c r="M375" s="452">
        <f>SUM(M376:M377)</f>
        <v>0</v>
      </c>
    </row>
    <row r="376" spans="1:13" ht="15" hidden="1">
      <c r="A376" s="475" t="s">
        <v>57</v>
      </c>
      <c r="B376" s="469"/>
      <c r="C376" s="457" t="s">
        <v>124</v>
      </c>
      <c r="D376" s="458" t="s">
        <v>460</v>
      </c>
      <c r="E376" s="458" t="s">
        <v>298</v>
      </c>
      <c r="F376" s="454" t="s">
        <v>247</v>
      </c>
      <c r="G376" s="452"/>
      <c r="H376" s="452">
        <f>SUM(H377+H379)</f>
        <v>4731.200000000001</v>
      </c>
      <c r="I376" s="452" t="e">
        <f t="shared" si="12"/>
        <v>#DIV/0!</v>
      </c>
      <c r="J376" s="453"/>
      <c r="K376" s="453"/>
      <c r="L376" s="453">
        <f t="shared" si="11"/>
        <v>0</v>
      </c>
      <c r="M376" s="452"/>
    </row>
    <row r="377" spans="1:13" ht="28.5" hidden="1">
      <c r="A377" s="475" t="s">
        <v>143</v>
      </c>
      <c r="B377" s="469"/>
      <c r="C377" s="457" t="s">
        <v>124</v>
      </c>
      <c r="D377" s="458" t="s">
        <v>460</v>
      </c>
      <c r="E377" s="458" t="s">
        <v>298</v>
      </c>
      <c r="F377" s="454" t="s">
        <v>83</v>
      </c>
      <c r="G377" s="452"/>
      <c r="H377" s="452">
        <f>SUM(H378+H386)</f>
        <v>4731.200000000001</v>
      </c>
      <c r="I377" s="452" t="e">
        <f t="shared" si="12"/>
        <v>#DIV/0!</v>
      </c>
      <c r="J377" s="453"/>
      <c r="K377" s="453"/>
      <c r="L377" s="453">
        <f t="shared" si="11"/>
        <v>0</v>
      </c>
      <c r="M377" s="452"/>
    </row>
    <row r="378" spans="1:13" ht="15">
      <c r="A378" s="175" t="s">
        <v>235</v>
      </c>
      <c r="B378" s="469"/>
      <c r="C378" s="457" t="s">
        <v>124</v>
      </c>
      <c r="D378" s="458" t="s">
        <v>122</v>
      </c>
      <c r="E378" s="458"/>
      <c r="F378" s="454"/>
      <c r="G378" s="452">
        <f>SUM(G382+G387+G380)</f>
        <v>6794.499999999999</v>
      </c>
      <c r="H378" s="452">
        <v>2740.8</v>
      </c>
      <c r="I378" s="452">
        <f t="shared" si="12"/>
        <v>40.33850908823314</v>
      </c>
      <c r="J378" s="453"/>
      <c r="K378" s="453"/>
      <c r="L378" s="453"/>
      <c r="M378" s="452">
        <f>SUM(M382+M387+M380)</f>
        <v>6794.499999999999</v>
      </c>
    </row>
    <row r="379" spans="1:13" ht="15" hidden="1">
      <c r="A379" s="447" t="s">
        <v>407</v>
      </c>
      <c r="B379" s="469"/>
      <c r="C379" s="457" t="s">
        <v>124</v>
      </c>
      <c r="D379" s="458" t="s">
        <v>122</v>
      </c>
      <c r="E379" s="458" t="s">
        <v>409</v>
      </c>
      <c r="F379" s="454"/>
      <c r="G379" s="452">
        <f>SUM(G380)</f>
        <v>0</v>
      </c>
      <c r="H379" s="452">
        <f>SUM(H380)</f>
        <v>0</v>
      </c>
      <c r="I379" s="452" t="e">
        <f t="shared" si="12"/>
        <v>#DIV/0!</v>
      </c>
      <c r="J379" s="453"/>
      <c r="K379" s="453"/>
      <c r="L379" s="453"/>
      <c r="M379" s="452">
        <f>SUM(M380)</f>
        <v>0</v>
      </c>
    </row>
    <row r="380" spans="1:13" ht="15" hidden="1">
      <c r="A380" s="447" t="s">
        <v>387</v>
      </c>
      <c r="B380" s="469"/>
      <c r="C380" s="457" t="s">
        <v>124</v>
      </c>
      <c r="D380" s="458" t="s">
        <v>122</v>
      </c>
      <c r="E380" s="458" t="s">
        <v>388</v>
      </c>
      <c r="F380" s="454"/>
      <c r="G380" s="452">
        <f>SUM(G381)</f>
        <v>0</v>
      </c>
      <c r="H380" s="452"/>
      <c r="I380" s="452" t="e">
        <f t="shared" si="12"/>
        <v>#DIV/0!</v>
      </c>
      <c r="J380" s="453"/>
      <c r="K380" s="453"/>
      <c r="L380" s="453"/>
      <c r="M380" s="452">
        <f>SUM(M381)</f>
        <v>0</v>
      </c>
    </row>
    <row r="381" spans="1:13" ht="42.75" hidden="1">
      <c r="A381" s="447" t="s">
        <v>308</v>
      </c>
      <c r="B381" s="469"/>
      <c r="C381" s="457" t="s">
        <v>124</v>
      </c>
      <c r="D381" s="458" t="s">
        <v>122</v>
      </c>
      <c r="E381" s="458" t="s">
        <v>388</v>
      </c>
      <c r="F381" s="454" t="s">
        <v>309</v>
      </c>
      <c r="G381" s="452"/>
      <c r="H381" s="452">
        <f>SUM(H382)</f>
        <v>0</v>
      </c>
      <c r="I381" s="452" t="e">
        <f t="shared" si="12"/>
        <v>#DIV/0!</v>
      </c>
      <c r="J381" s="453"/>
      <c r="K381" s="453"/>
      <c r="L381" s="453"/>
      <c r="M381" s="452"/>
    </row>
    <row r="382" spans="1:13" ht="57">
      <c r="A382" s="175" t="s">
        <v>291</v>
      </c>
      <c r="B382" s="469"/>
      <c r="C382" s="457" t="s">
        <v>124</v>
      </c>
      <c r="D382" s="458" t="s">
        <v>122</v>
      </c>
      <c r="E382" s="458" t="s">
        <v>292</v>
      </c>
      <c r="F382" s="454"/>
      <c r="G382" s="452">
        <f>SUM(G383)</f>
        <v>6794.499999999999</v>
      </c>
      <c r="H382" s="452"/>
      <c r="I382" s="452">
        <f t="shared" si="12"/>
        <v>0</v>
      </c>
      <c r="J382" s="453"/>
      <c r="K382" s="453"/>
      <c r="L382" s="453"/>
      <c r="M382" s="452">
        <f>SUM(M383)</f>
        <v>6794.499999999999</v>
      </c>
    </row>
    <row r="383" spans="1:13" ht="28.5">
      <c r="A383" s="447" t="s">
        <v>56</v>
      </c>
      <c r="B383" s="469"/>
      <c r="C383" s="457" t="s">
        <v>124</v>
      </c>
      <c r="D383" s="458" t="s">
        <v>122</v>
      </c>
      <c r="E383" s="458" t="s">
        <v>293</v>
      </c>
      <c r="F383" s="454"/>
      <c r="G383" s="452">
        <f>SUM(G384:G386)</f>
        <v>6794.499999999999</v>
      </c>
      <c r="H383" s="452">
        <f>SUM(H384)</f>
        <v>0</v>
      </c>
      <c r="I383" s="452">
        <f t="shared" si="12"/>
        <v>0</v>
      </c>
      <c r="J383" s="453"/>
      <c r="K383" s="453"/>
      <c r="L383" s="453"/>
      <c r="M383" s="452">
        <f>SUM(M384:M386)</f>
        <v>6794.499999999999</v>
      </c>
    </row>
    <row r="384" spans="1:13" ht="42.75">
      <c r="A384" s="447" t="s">
        <v>495</v>
      </c>
      <c r="B384" s="508"/>
      <c r="C384" s="457" t="s">
        <v>124</v>
      </c>
      <c r="D384" s="458" t="s">
        <v>122</v>
      </c>
      <c r="E384" s="458" t="s">
        <v>293</v>
      </c>
      <c r="F384" s="465" t="s">
        <v>496</v>
      </c>
      <c r="G384" s="452">
        <v>6337.7</v>
      </c>
      <c r="H384" s="452">
        <f>SUM(H385)</f>
        <v>0</v>
      </c>
      <c r="I384" s="452">
        <f t="shared" si="12"/>
        <v>0</v>
      </c>
      <c r="J384" s="497">
        <f>SUM('[2]ведомствен.2015-2016'!G680)</f>
        <v>6337.7</v>
      </c>
      <c r="K384" s="497">
        <f>SUM('[2]ведомствен.2015-2016'!H680)</f>
        <v>6337.7</v>
      </c>
      <c r="L384" s="453">
        <f t="shared" si="11"/>
        <v>0</v>
      </c>
      <c r="M384" s="452">
        <v>6337.7</v>
      </c>
    </row>
    <row r="385" spans="1:13" ht="15">
      <c r="A385" s="447" t="s">
        <v>500</v>
      </c>
      <c r="B385" s="508"/>
      <c r="C385" s="457" t="s">
        <v>124</v>
      </c>
      <c r="D385" s="458" t="s">
        <v>122</v>
      </c>
      <c r="E385" s="458" t="s">
        <v>293</v>
      </c>
      <c r="F385" s="465" t="s">
        <v>120</v>
      </c>
      <c r="G385" s="452">
        <v>452.4</v>
      </c>
      <c r="H385" s="452"/>
      <c r="I385" s="452">
        <f t="shared" si="12"/>
        <v>0</v>
      </c>
      <c r="J385" s="497">
        <f>SUM('[2]ведомствен.2015-2016'!G681)</f>
        <v>452.4</v>
      </c>
      <c r="K385" s="497">
        <f>SUM('[2]ведомствен.2015-2016'!H681)</f>
        <v>452.4</v>
      </c>
      <c r="L385" s="453">
        <f t="shared" si="11"/>
        <v>0</v>
      </c>
      <c r="M385" s="452">
        <v>452.4</v>
      </c>
    </row>
    <row r="386" spans="1:13" ht="15">
      <c r="A386" s="447" t="s">
        <v>501</v>
      </c>
      <c r="B386" s="508"/>
      <c r="C386" s="457" t="s">
        <v>124</v>
      </c>
      <c r="D386" s="458" t="s">
        <v>122</v>
      </c>
      <c r="E386" s="458" t="s">
        <v>293</v>
      </c>
      <c r="F386" s="465" t="s">
        <v>176</v>
      </c>
      <c r="G386" s="452">
        <v>4.4</v>
      </c>
      <c r="H386" s="452">
        <v>1990.4</v>
      </c>
      <c r="I386" s="452">
        <f t="shared" si="12"/>
        <v>45236.36363636364</v>
      </c>
      <c r="J386" s="497">
        <f>SUM('[2]ведомствен.2015-2016'!G682)</f>
        <v>4.4</v>
      </c>
      <c r="K386" s="497">
        <f>SUM('[2]ведомствен.2015-2016'!H682)</f>
        <v>4.4</v>
      </c>
      <c r="L386" s="453">
        <f t="shared" si="11"/>
        <v>0</v>
      </c>
      <c r="M386" s="452">
        <v>4.4</v>
      </c>
    </row>
    <row r="387" spans="1:13" ht="15" hidden="1">
      <c r="A387" s="475" t="s">
        <v>128</v>
      </c>
      <c r="B387" s="469"/>
      <c r="C387" s="457" t="s">
        <v>124</v>
      </c>
      <c r="D387" s="458" t="s">
        <v>122</v>
      </c>
      <c r="E387" s="458" t="s">
        <v>129</v>
      </c>
      <c r="F387" s="454"/>
      <c r="G387" s="452">
        <f>SUM(G390)+G393+G388</f>
        <v>0</v>
      </c>
      <c r="H387" s="452">
        <f>SUM(H389+H398)</f>
        <v>2530.4</v>
      </c>
      <c r="I387" s="452" t="e">
        <f t="shared" si="12"/>
        <v>#DIV/0!</v>
      </c>
      <c r="J387" s="453"/>
      <c r="K387" s="453"/>
      <c r="L387" s="453">
        <f t="shared" si="11"/>
        <v>0</v>
      </c>
      <c r="M387" s="452">
        <f>SUM(M390)+M393+M388</f>
        <v>0</v>
      </c>
    </row>
    <row r="388" spans="1:13" ht="42.75" hidden="1">
      <c r="A388" s="447" t="s">
        <v>208</v>
      </c>
      <c r="B388" s="469"/>
      <c r="C388" s="457" t="s">
        <v>124</v>
      </c>
      <c r="D388" s="458" t="s">
        <v>122</v>
      </c>
      <c r="E388" s="458" t="s">
        <v>298</v>
      </c>
      <c r="F388" s="454"/>
      <c r="G388" s="452">
        <f>SUM(G389)</f>
        <v>0</v>
      </c>
      <c r="H388" s="452">
        <f>SUM(H389:H398)</f>
        <v>3022.5</v>
      </c>
      <c r="I388" s="452" t="e">
        <f t="shared" si="12"/>
        <v>#DIV/0!</v>
      </c>
      <c r="J388" s="453"/>
      <c r="K388" s="453"/>
      <c r="L388" s="453">
        <f t="shared" si="11"/>
        <v>0</v>
      </c>
      <c r="M388" s="452">
        <f>SUM(M389)</f>
        <v>0</v>
      </c>
    </row>
    <row r="389" spans="1:13" s="521" customFormat="1" ht="15" hidden="1">
      <c r="A389" s="475" t="s">
        <v>57</v>
      </c>
      <c r="B389" s="469"/>
      <c r="C389" s="457" t="s">
        <v>124</v>
      </c>
      <c r="D389" s="458" t="s">
        <v>122</v>
      </c>
      <c r="E389" s="458" t="s">
        <v>298</v>
      </c>
      <c r="F389" s="454" t="s">
        <v>247</v>
      </c>
      <c r="G389" s="452"/>
      <c r="H389" s="452">
        <f>SUM(H391)</f>
        <v>492.1</v>
      </c>
      <c r="I389" s="452" t="e">
        <f t="shared" si="12"/>
        <v>#DIV/0!</v>
      </c>
      <c r="J389" s="453"/>
      <c r="K389" s="453"/>
      <c r="L389" s="453">
        <f t="shared" si="11"/>
        <v>0</v>
      </c>
      <c r="M389" s="452"/>
    </row>
    <row r="390" spans="1:13" s="14" customFormat="1" ht="28.5" hidden="1">
      <c r="A390" s="447" t="s">
        <v>483</v>
      </c>
      <c r="B390" s="469"/>
      <c r="C390" s="457" t="s">
        <v>124</v>
      </c>
      <c r="D390" s="458" t="s">
        <v>122</v>
      </c>
      <c r="E390" s="458" t="s">
        <v>310</v>
      </c>
      <c r="F390" s="454"/>
      <c r="G390" s="452">
        <f>SUM(G391:G392)</f>
        <v>0</v>
      </c>
      <c r="H390" s="452"/>
      <c r="I390" s="452"/>
      <c r="J390" s="497"/>
      <c r="K390" s="497"/>
      <c r="L390" s="453">
        <f t="shared" si="11"/>
        <v>0</v>
      </c>
      <c r="M390" s="452">
        <f>SUM(M391:M392)</f>
        <v>0</v>
      </c>
    </row>
    <row r="391" spans="1:13" s="521" customFormat="1" ht="57" hidden="1">
      <c r="A391" s="475" t="s">
        <v>96</v>
      </c>
      <c r="B391" s="469"/>
      <c r="C391" s="457" t="s">
        <v>124</v>
      </c>
      <c r="D391" s="458" t="s">
        <v>122</v>
      </c>
      <c r="E391" s="458" t="s">
        <v>310</v>
      </c>
      <c r="F391" s="454" t="s">
        <v>309</v>
      </c>
      <c r="G391" s="452"/>
      <c r="H391" s="452">
        <v>492.1</v>
      </c>
      <c r="I391" s="452" t="e">
        <f t="shared" si="12"/>
        <v>#DIV/0!</v>
      </c>
      <c r="J391" s="453"/>
      <c r="K391" s="453"/>
      <c r="L391" s="453">
        <f t="shared" si="11"/>
        <v>0</v>
      </c>
      <c r="M391" s="452"/>
    </row>
    <row r="392" spans="1:13" s="521" customFormat="1" ht="28.5" hidden="1">
      <c r="A392" s="447" t="s">
        <v>157</v>
      </c>
      <c r="B392" s="469"/>
      <c r="C392" s="457" t="s">
        <v>124</v>
      </c>
      <c r="D392" s="458" t="s">
        <v>122</v>
      </c>
      <c r="E392" s="458" t="s">
        <v>310</v>
      </c>
      <c r="F392" s="454" t="s">
        <v>83</v>
      </c>
      <c r="G392" s="452"/>
      <c r="H392" s="452">
        <f>SUM(H394)</f>
        <v>0</v>
      </c>
      <c r="I392" s="452" t="e">
        <f t="shared" si="12"/>
        <v>#DIV/0!</v>
      </c>
      <c r="J392" s="453"/>
      <c r="K392" s="453"/>
      <c r="L392" s="453">
        <f t="shared" si="11"/>
        <v>0</v>
      </c>
      <c r="M392" s="452"/>
    </row>
    <row r="393" spans="1:13" s="521" customFormat="1" ht="15" hidden="1">
      <c r="A393" s="447" t="s">
        <v>516</v>
      </c>
      <c r="B393" s="469"/>
      <c r="C393" s="457" t="s">
        <v>124</v>
      </c>
      <c r="D393" s="458" t="s">
        <v>122</v>
      </c>
      <c r="E393" s="458" t="s">
        <v>311</v>
      </c>
      <c r="F393" s="454"/>
      <c r="G393" s="452">
        <f>SUM(G394:G396)</f>
        <v>0</v>
      </c>
      <c r="H393" s="452"/>
      <c r="I393" s="452"/>
      <c r="J393" s="453"/>
      <c r="K393" s="453"/>
      <c r="L393" s="453">
        <f t="shared" si="11"/>
        <v>0</v>
      </c>
      <c r="M393" s="452">
        <f>SUM(M394:M396)</f>
        <v>0</v>
      </c>
    </row>
    <row r="394" spans="1:13" s="521" customFormat="1" ht="42.75" hidden="1">
      <c r="A394" s="447" t="s">
        <v>495</v>
      </c>
      <c r="B394" s="469"/>
      <c r="C394" s="457" t="s">
        <v>124</v>
      </c>
      <c r="D394" s="458" t="s">
        <v>122</v>
      </c>
      <c r="E394" s="458" t="s">
        <v>311</v>
      </c>
      <c r="F394" s="454" t="s">
        <v>496</v>
      </c>
      <c r="G394" s="452"/>
      <c r="H394" s="452"/>
      <c r="I394" s="452" t="e">
        <f t="shared" si="12"/>
        <v>#DIV/0!</v>
      </c>
      <c r="J394" s="497">
        <f>SUM('[2]ведомствен.2015-2016'!G690)</f>
        <v>0</v>
      </c>
      <c r="K394" s="497">
        <f>SUM('[2]ведомствен.2015-2016'!H690)</f>
        <v>0</v>
      </c>
      <c r="L394" s="453">
        <f t="shared" si="11"/>
        <v>0</v>
      </c>
      <c r="M394" s="452"/>
    </row>
    <row r="395" spans="1:13" s="521" customFormat="1" ht="15" hidden="1">
      <c r="A395" s="447" t="s">
        <v>500</v>
      </c>
      <c r="B395" s="469"/>
      <c r="C395" s="457" t="s">
        <v>124</v>
      </c>
      <c r="D395" s="458" t="s">
        <v>122</v>
      </c>
      <c r="E395" s="458" t="s">
        <v>311</v>
      </c>
      <c r="F395" s="454" t="s">
        <v>120</v>
      </c>
      <c r="G395" s="452"/>
      <c r="H395" s="452">
        <f>SUM(H397)</f>
        <v>0</v>
      </c>
      <c r="I395" s="452" t="e">
        <f>SUM(H395/G395*100)</f>
        <v>#DIV/0!</v>
      </c>
      <c r="J395" s="497">
        <f>SUM('[2]ведомствен.2015-2016'!G691)</f>
        <v>0</v>
      </c>
      <c r="K395" s="497">
        <f>SUM('[2]ведомствен.2015-2016'!H691)</f>
        <v>0</v>
      </c>
      <c r="L395" s="453">
        <f t="shared" si="11"/>
        <v>0</v>
      </c>
      <c r="M395" s="452"/>
    </row>
    <row r="396" spans="1:13" s="521" customFormat="1" ht="15" hidden="1">
      <c r="A396" s="447" t="s">
        <v>501</v>
      </c>
      <c r="B396" s="469"/>
      <c r="C396" s="457" t="s">
        <v>124</v>
      </c>
      <c r="D396" s="458" t="s">
        <v>122</v>
      </c>
      <c r="E396" s="458" t="s">
        <v>311</v>
      </c>
      <c r="F396" s="454" t="s">
        <v>176</v>
      </c>
      <c r="G396" s="452"/>
      <c r="H396" s="452"/>
      <c r="I396" s="452"/>
      <c r="J396" s="497"/>
      <c r="K396" s="497"/>
      <c r="L396" s="453">
        <f t="shared" si="11"/>
        <v>0</v>
      </c>
      <c r="M396" s="452"/>
    </row>
    <row r="397" spans="1:13" s="521" customFormat="1" ht="28.5" hidden="1">
      <c r="A397" s="447" t="s">
        <v>157</v>
      </c>
      <c r="B397" s="469"/>
      <c r="C397" s="457" t="s">
        <v>124</v>
      </c>
      <c r="D397" s="458" t="s">
        <v>122</v>
      </c>
      <c r="E397" s="458" t="s">
        <v>311</v>
      </c>
      <c r="F397" s="454" t="s">
        <v>83</v>
      </c>
      <c r="G397" s="452"/>
      <c r="H397" s="452"/>
      <c r="I397" s="452" t="e">
        <f>SUM(H397/G397*100)</f>
        <v>#DIV/0!</v>
      </c>
      <c r="J397" s="453"/>
      <c r="K397" s="453"/>
      <c r="L397" s="453">
        <f t="shared" si="11"/>
        <v>0</v>
      </c>
      <c r="M397" s="452"/>
    </row>
    <row r="398" spans="1:13" ht="42.75" hidden="1">
      <c r="A398" s="447" t="s">
        <v>495</v>
      </c>
      <c r="B398" s="469"/>
      <c r="C398" s="457" t="s">
        <v>124</v>
      </c>
      <c r="D398" s="458" t="s">
        <v>122</v>
      </c>
      <c r="E398" s="458" t="s">
        <v>311</v>
      </c>
      <c r="F398" s="454" t="s">
        <v>496</v>
      </c>
      <c r="G398" s="452"/>
      <c r="H398" s="452">
        <f>SUM(H399+H402)</f>
        <v>2038.3</v>
      </c>
      <c r="I398" s="452" t="e">
        <f t="shared" si="12"/>
        <v>#DIV/0!</v>
      </c>
      <c r="J398" s="453"/>
      <c r="K398" s="453"/>
      <c r="L398" s="453">
        <f t="shared" si="11"/>
        <v>0</v>
      </c>
      <c r="M398" s="452"/>
    </row>
    <row r="399" spans="1:13" s="521" customFormat="1" ht="15" hidden="1">
      <c r="A399" s="447" t="s">
        <v>500</v>
      </c>
      <c r="B399" s="469"/>
      <c r="C399" s="457" t="s">
        <v>124</v>
      </c>
      <c r="D399" s="458" t="s">
        <v>122</v>
      </c>
      <c r="E399" s="458" t="s">
        <v>311</v>
      </c>
      <c r="F399" s="454" t="s">
        <v>120</v>
      </c>
      <c r="G399" s="452"/>
      <c r="H399" s="452">
        <f>SUM(H400:H401)</f>
        <v>1157.5</v>
      </c>
      <c r="I399" s="452" t="e">
        <f t="shared" si="12"/>
        <v>#DIV/0!</v>
      </c>
      <c r="J399" s="453"/>
      <c r="K399" s="453"/>
      <c r="L399" s="453">
        <f t="shared" si="11"/>
        <v>0</v>
      </c>
      <c r="M399" s="452"/>
    </row>
    <row r="400" spans="1:13" s="521" customFormat="1" ht="15">
      <c r="A400" s="468" t="s">
        <v>327</v>
      </c>
      <c r="B400" s="469"/>
      <c r="C400" s="470" t="s">
        <v>300</v>
      </c>
      <c r="D400" s="471"/>
      <c r="E400" s="471"/>
      <c r="F400" s="472"/>
      <c r="G400" s="473">
        <f>SUM(G401+G412+G431+G439)</f>
        <v>38934.2</v>
      </c>
      <c r="H400" s="452">
        <v>1157.5</v>
      </c>
      <c r="I400" s="452">
        <f t="shared" si="12"/>
        <v>2.9729646429103465</v>
      </c>
      <c r="J400" s="453"/>
      <c r="K400" s="453"/>
      <c r="L400" s="453"/>
      <c r="M400" s="473">
        <f>SUM(M401+M412+M431+M439)</f>
        <v>38934.2</v>
      </c>
    </row>
    <row r="401" spans="1:13" s="521" customFormat="1" ht="14.25">
      <c r="A401" s="447" t="s">
        <v>178</v>
      </c>
      <c r="B401" s="448"/>
      <c r="C401" s="457" t="s">
        <v>300</v>
      </c>
      <c r="D401" s="458" t="s">
        <v>460</v>
      </c>
      <c r="E401" s="458"/>
      <c r="F401" s="454"/>
      <c r="G401" s="452">
        <f>SUM(G402)</f>
        <v>6366.3</v>
      </c>
      <c r="H401" s="452"/>
      <c r="I401" s="452">
        <f t="shared" si="12"/>
        <v>0</v>
      </c>
      <c r="J401" s="453"/>
      <c r="K401" s="453"/>
      <c r="L401" s="453"/>
      <c r="M401" s="452">
        <f>SUM(M402)</f>
        <v>6366.3</v>
      </c>
    </row>
    <row r="402" spans="1:13" ht="14.25">
      <c r="A402" s="447" t="s">
        <v>202</v>
      </c>
      <c r="B402" s="448"/>
      <c r="C402" s="457" t="s">
        <v>300</v>
      </c>
      <c r="D402" s="458" t="s">
        <v>460</v>
      </c>
      <c r="E402" s="458" t="s">
        <v>182</v>
      </c>
      <c r="F402" s="454"/>
      <c r="G402" s="455">
        <f>SUM(G403)</f>
        <v>6366.3</v>
      </c>
      <c r="H402" s="452">
        <f>SUM(H403)</f>
        <v>880.8</v>
      </c>
      <c r="I402" s="452">
        <f t="shared" si="12"/>
        <v>13.835351774185947</v>
      </c>
      <c r="J402" s="453"/>
      <c r="K402" s="453"/>
      <c r="L402" s="453"/>
      <c r="M402" s="455">
        <f>SUM(M403)</f>
        <v>6366.3</v>
      </c>
    </row>
    <row r="403" spans="1:13" ht="28.5">
      <c r="A403" s="447" t="s">
        <v>95</v>
      </c>
      <c r="B403" s="469"/>
      <c r="C403" s="457" t="s">
        <v>300</v>
      </c>
      <c r="D403" s="458" t="s">
        <v>460</v>
      </c>
      <c r="E403" s="458" t="s">
        <v>84</v>
      </c>
      <c r="F403" s="454"/>
      <c r="G403" s="452">
        <f>SUM(G411)+G404</f>
        <v>6366.3</v>
      </c>
      <c r="H403" s="452">
        <v>880.8</v>
      </c>
      <c r="I403" s="452">
        <f t="shared" si="12"/>
        <v>13.835351774185947</v>
      </c>
      <c r="J403" s="453"/>
      <c r="K403" s="453"/>
      <c r="L403" s="453"/>
      <c r="M403" s="452">
        <f>SUM(M411)+M404</f>
        <v>6366.3</v>
      </c>
    </row>
    <row r="404" spans="1:13" ht="28.5" hidden="1">
      <c r="A404" s="475" t="s">
        <v>157</v>
      </c>
      <c r="B404" s="469"/>
      <c r="C404" s="457" t="s">
        <v>300</v>
      </c>
      <c r="D404" s="458" t="s">
        <v>460</v>
      </c>
      <c r="E404" s="458" t="s">
        <v>141</v>
      </c>
      <c r="F404" s="454"/>
      <c r="G404" s="452">
        <f>SUM(G406+G408)</f>
        <v>0</v>
      </c>
      <c r="H404" s="452">
        <f>SUM(H405)</f>
        <v>0</v>
      </c>
      <c r="I404" s="452" t="e">
        <f t="shared" si="12"/>
        <v>#DIV/0!</v>
      </c>
      <c r="J404" s="453"/>
      <c r="K404" s="453"/>
      <c r="L404" s="453"/>
      <c r="M404" s="452">
        <f>SUM(M406+M408)</f>
        <v>0</v>
      </c>
    </row>
    <row r="405" spans="1:13" ht="28.5" hidden="1">
      <c r="A405" s="475" t="s">
        <v>143</v>
      </c>
      <c r="B405" s="469"/>
      <c r="C405" s="457" t="s">
        <v>300</v>
      </c>
      <c r="D405" s="458" t="s">
        <v>460</v>
      </c>
      <c r="E405" s="458" t="s">
        <v>141</v>
      </c>
      <c r="F405" s="454" t="s">
        <v>83</v>
      </c>
      <c r="G405" s="452"/>
      <c r="H405" s="452"/>
      <c r="I405" s="452" t="e">
        <f t="shared" si="12"/>
        <v>#DIV/0!</v>
      </c>
      <c r="J405" s="453"/>
      <c r="K405" s="453"/>
      <c r="L405" s="453"/>
      <c r="M405" s="452"/>
    </row>
    <row r="406" spans="1:13" s="11" customFormat="1" ht="28.5" hidden="1">
      <c r="A406" s="475" t="s">
        <v>414</v>
      </c>
      <c r="B406" s="469"/>
      <c r="C406" s="457" t="s">
        <v>300</v>
      </c>
      <c r="D406" s="458" t="s">
        <v>460</v>
      </c>
      <c r="E406" s="458" t="s">
        <v>142</v>
      </c>
      <c r="F406" s="454"/>
      <c r="G406" s="452">
        <f>SUM(G407)</f>
        <v>0</v>
      </c>
      <c r="H406" s="496">
        <f>SUM(H407)+H411</f>
        <v>2547</v>
      </c>
      <c r="I406" s="496" t="e">
        <f t="shared" si="12"/>
        <v>#DIV/0!</v>
      </c>
      <c r="J406" s="446"/>
      <c r="K406" s="446"/>
      <c r="L406" s="453"/>
      <c r="M406" s="452">
        <f>SUM(M407)</f>
        <v>0</v>
      </c>
    </row>
    <row r="407" spans="1:13" ht="28.5" hidden="1">
      <c r="A407" s="475" t="s">
        <v>143</v>
      </c>
      <c r="B407" s="469"/>
      <c r="C407" s="457" t="s">
        <v>300</v>
      </c>
      <c r="D407" s="458" t="s">
        <v>460</v>
      </c>
      <c r="E407" s="458" t="s">
        <v>142</v>
      </c>
      <c r="F407" s="454" t="s">
        <v>83</v>
      </c>
      <c r="G407" s="452"/>
      <c r="H407" s="452">
        <f>SUM(H410)</f>
        <v>2199.7</v>
      </c>
      <c r="I407" s="452" t="e">
        <f t="shared" si="12"/>
        <v>#DIV/0!</v>
      </c>
      <c r="J407" s="453"/>
      <c r="K407" s="453"/>
      <c r="L407" s="453"/>
      <c r="M407" s="452"/>
    </row>
    <row r="408" spans="1:13" ht="28.5" hidden="1">
      <c r="A408" s="447" t="s">
        <v>215</v>
      </c>
      <c r="B408" s="469"/>
      <c r="C408" s="457" t="s">
        <v>300</v>
      </c>
      <c r="D408" s="458" t="s">
        <v>460</v>
      </c>
      <c r="E408" s="458" t="s">
        <v>218</v>
      </c>
      <c r="F408" s="454"/>
      <c r="G408" s="452">
        <f>SUM(G409)</f>
        <v>0</v>
      </c>
      <c r="H408" s="452">
        <f>SUM(H409)</f>
        <v>2199.7</v>
      </c>
      <c r="I408" s="452" t="e">
        <f t="shared" si="12"/>
        <v>#DIV/0!</v>
      </c>
      <c r="J408" s="453"/>
      <c r="K408" s="453"/>
      <c r="L408" s="453"/>
      <c r="M408" s="452">
        <f>SUM(M409)</f>
        <v>0</v>
      </c>
    </row>
    <row r="409" spans="1:13" ht="28.5" hidden="1">
      <c r="A409" s="447" t="s">
        <v>157</v>
      </c>
      <c r="B409" s="469"/>
      <c r="C409" s="457" t="s">
        <v>300</v>
      </c>
      <c r="D409" s="458" t="s">
        <v>460</v>
      </c>
      <c r="E409" s="458" t="s">
        <v>218</v>
      </c>
      <c r="F409" s="454" t="s">
        <v>83</v>
      </c>
      <c r="G409" s="452"/>
      <c r="H409" s="452">
        <f>SUM(H410)</f>
        <v>2199.7</v>
      </c>
      <c r="I409" s="452" t="e">
        <f t="shared" si="12"/>
        <v>#DIV/0!</v>
      </c>
      <c r="J409" s="453"/>
      <c r="K409" s="453"/>
      <c r="L409" s="453"/>
      <c r="M409" s="452"/>
    </row>
    <row r="410" spans="1:13" ht="28.5">
      <c r="A410" s="447" t="s">
        <v>302</v>
      </c>
      <c r="B410" s="469"/>
      <c r="C410" s="457" t="s">
        <v>300</v>
      </c>
      <c r="D410" s="458" t="s">
        <v>460</v>
      </c>
      <c r="E410" s="458" t="s">
        <v>301</v>
      </c>
      <c r="F410" s="454"/>
      <c r="G410" s="452">
        <f>SUM(G411)</f>
        <v>6366.3</v>
      </c>
      <c r="H410" s="452">
        <v>2199.7</v>
      </c>
      <c r="I410" s="452">
        <f t="shared" si="12"/>
        <v>34.552251700359705</v>
      </c>
      <c r="J410" s="453"/>
      <c r="K410" s="453"/>
      <c r="L410" s="453"/>
      <c r="M410" s="452">
        <f>SUM(M411)</f>
        <v>6366.3</v>
      </c>
    </row>
    <row r="411" spans="1:13" ht="28.5">
      <c r="A411" s="475" t="s">
        <v>517</v>
      </c>
      <c r="B411" s="508"/>
      <c r="C411" s="457" t="s">
        <v>300</v>
      </c>
      <c r="D411" s="458" t="s">
        <v>460</v>
      </c>
      <c r="E411" s="458" t="s">
        <v>301</v>
      </c>
      <c r="F411" s="465" t="s">
        <v>513</v>
      </c>
      <c r="G411" s="452">
        <v>6366.3</v>
      </c>
      <c r="H411" s="452">
        <f>SUM(H415)+H412</f>
        <v>347.3</v>
      </c>
      <c r="I411" s="452">
        <f t="shared" si="12"/>
        <v>5.455288000879632</v>
      </c>
      <c r="J411" s="453">
        <f>SUM('[2]ведомствен.2015-2016'!G715)</f>
        <v>6366.3</v>
      </c>
      <c r="K411" s="453">
        <f>SUM('[2]ведомствен.2015-2016'!H715)</f>
        <v>6366.3</v>
      </c>
      <c r="L411" s="453">
        <f>SUM(G411-J411)</f>
        <v>0</v>
      </c>
      <c r="M411" s="452">
        <v>6366.3</v>
      </c>
    </row>
    <row r="412" spans="1:13" ht="14.25">
      <c r="A412" s="447" t="s">
        <v>241</v>
      </c>
      <c r="B412" s="448"/>
      <c r="C412" s="457" t="s">
        <v>300</v>
      </c>
      <c r="D412" s="458" t="s">
        <v>462</v>
      </c>
      <c r="E412" s="458"/>
      <c r="F412" s="454"/>
      <c r="G412" s="452">
        <f>SUM(G413+G422)</f>
        <v>19164</v>
      </c>
      <c r="H412" s="452">
        <f>SUM(H413)</f>
        <v>0</v>
      </c>
      <c r="I412" s="452">
        <f t="shared" si="12"/>
        <v>0</v>
      </c>
      <c r="J412" s="453"/>
      <c r="K412" s="453"/>
      <c r="L412" s="453"/>
      <c r="M412" s="452">
        <f>SUM(M413+M422)</f>
        <v>19164</v>
      </c>
    </row>
    <row r="413" spans="1:13" ht="14.25">
      <c r="A413" s="447" t="s">
        <v>202</v>
      </c>
      <c r="B413" s="448"/>
      <c r="C413" s="457" t="s">
        <v>300</v>
      </c>
      <c r="D413" s="458" t="s">
        <v>462</v>
      </c>
      <c r="E413" s="458" t="s">
        <v>182</v>
      </c>
      <c r="F413" s="454"/>
      <c r="G413" s="452">
        <f>SUM(G414)</f>
        <v>7874.6</v>
      </c>
      <c r="H413" s="452">
        <f>SUM(H414)</f>
        <v>0</v>
      </c>
      <c r="I413" s="452">
        <f t="shared" si="12"/>
        <v>0</v>
      </c>
      <c r="J413" s="453"/>
      <c r="K413" s="453"/>
      <c r="L413" s="453"/>
      <c r="M413" s="452">
        <f>SUM(M414)</f>
        <v>7874.6</v>
      </c>
    </row>
    <row r="414" spans="1:13" s="21" customFormat="1" ht="28.5">
      <c r="A414" s="447" t="s">
        <v>95</v>
      </c>
      <c r="B414" s="469"/>
      <c r="C414" s="457" t="s">
        <v>300</v>
      </c>
      <c r="D414" s="458" t="s">
        <v>462</v>
      </c>
      <c r="E414" s="458" t="s">
        <v>84</v>
      </c>
      <c r="F414" s="454"/>
      <c r="G414" s="452">
        <f>SUM(G415+G420)</f>
        <v>7874.6</v>
      </c>
      <c r="H414" s="452"/>
      <c r="I414" s="452">
        <f t="shared" si="12"/>
        <v>0</v>
      </c>
      <c r="J414" s="522"/>
      <c r="K414" s="522"/>
      <c r="L414" s="453"/>
      <c r="M414" s="452">
        <f>SUM(M415+M420)</f>
        <v>7874.6</v>
      </c>
    </row>
    <row r="415" spans="1:13" ht="28.5" hidden="1">
      <c r="A415" s="475" t="s">
        <v>157</v>
      </c>
      <c r="B415" s="469"/>
      <c r="C415" s="457" t="s">
        <v>300</v>
      </c>
      <c r="D415" s="458" t="s">
        <v>462</v>
      </c>
      <c r="E415" s="458" t="s">
        <v>141</v>
      </c>
      <c r="F415" s="454"/>
      <c r="G415" s="452">
        <f>SUM(G418)+G416</f>
        <v>0</v>
      </c>
      <c r="H415" s="452">
        <f>SUM(H418+H419+H423)</f>
        <v>347.3</v>
      </c>
      <c r="I415" s="452" t="e">
        <f t="shared" si="12"/>
        <v>#DIV/0!</v>
      </c>
      <c r="J415" s="453"/>
      <c r="K415" s="453"/>
      <c r="L415" s="453"/>
      <c r="M415" s="452">
        <f>SUM(M418)+M416</f>
        <v>0</v>
      </c>
    </row>
    <row r="416" spans="1:13" ht="28.5" hidden="1">
      <c r="A416" s="475" t="s">
        <v>414</v>
      </c>
      <c r="B416" s="469"/>
      <c r="C416" s="457" t="s">
        <v>300</v>
      </c>
      <c r="D416" s="458" t="s">
        <v>462</v>
      </c>
      <c r="E416" s="458" t="s">
        <v>142</v>
      </c>
      <c r="F416" s="454"/>
      <c r="G416" s="452">
        <f>SUM(G417)</f>
        <v>0</v>
      </c>
      <c r="H416" s="452"/>
      <c r="I416" s="452" t="e">
        <f t="shared" si="12"/>
        <v>#DIV/0!</v>
      </c>
      <c r="J416" s="453"/>
      <c r="K416" s="453"/>
      <c r="L416" s="453"/>
      <c r="M416" s="452">
        <f>SUM(M417)</f>
        <v>0</v>
      </c>
    </row>
    <row r="417" spans="1:13" ht="28.5" hidden="1">
      <c r="A417" s="475" t="s">
        <v>143</v>
      </c>
      <c r="B417" s="469"/>
      <c r="C417" s="457" t="s">
        <v>300</v>
      </c>
      <c r="D417" s="458" t="s">
        <v>462</v>
      </c>
      <c r="E417" s="458" t="s">
        <v>142</v>
      </c>
      <c r="F417" s="454" t="s">
        <v>83</v>
      </c>
      <c r="G417" s="452"/>
      <c r="H417" s="523">
        <v>300</v>
      </c>
      <c r="I417" s="452" t="e">
        <f t="shared" si="12"/>
        <v>#DIV/0!</v>
      </c>
      <c r="J417" s="453"/>
      <c r="K417" s="453"/>
      <c r="L417" s="453"/>
      <c r="M417" s="452"/>
    </row>
    <row r="418" spans="1:13" ht="28.5" hidden="1">
      <c r="A418" s="447" t="s">
        <v>215</v>
      </c>
      <c r="B418" s="469"/>
      <c r="C418" s="457" t="s">
        <v>300</v>
      </c>
      <c r="D418" s="458" t="s">
        <v>462</v>
      </c>
      <c r="E418" s="458" t="s">
        <v>218</v>
      </c>
      <c r="F418" s="454"/>
      <c r="G418" s="452">
        <f>SUM(G419)</f>
        <v>0</v>
      </c>
      <c r="H418" s="452"/>
      <c r="I418" s="452" t="e">
        <f t="shared" si="12"/>
        <v>#DIV/0!</v>
      </c>
      <c r="J418" s="453"/>
      <c r="K418" s="453"/>
      <c r="L418" s="453"/>
      <c r="M418" s="452">
        <f>SUM(M419)</f>
        <v>0</v>
      </c>
    </row>
    <row r="419" spans="1:13" ht="28.5" hidden="1">
      <c r="A419" s="475" t="s">
        <v>143</v>
      </c>
      <c r="B419" s="469"/>
      <c r="C419" s="457" t="s">
        <v>300</v>
      </c>
      <c r="D419" s="458" t="s">
        <v>462</v>
      </c>
      <c r="E419" s="458" t="s">
        <v>218</v>
      </c>
      <c r="F419" s="454" t="s">
        <v>83</v>
      </c>
      <c r="G419" s="452"/>
      <c r="H419" s="452">
        <f>SUM(H420:H422)</f>
        <v>347.3</v>
      </c>
      <c r="I419" s="452" t="e">
        <f t="shared" si="12"/>
        <v>#DIV/0!</v>
      </c>
      <c r="J419" s="453"/>
      <c r="K419" s="453"/>
      <c r="L419" s="453"/>
      <c r="M419" s="452"/>
    </row>
    <row r="420" spans="1:13" ht="28.5">
      <c r="A420" s="447" t="s">
        <v>302</v>
      </c>
      <c r="B420" s="469"/>
      <c r="C420" s="457" t="s">
        <v>300</v>
      </c>
      <c r="D420" s="458" t="s">
        <v>462</v>
      </c>
      <c r="E420" s="458" t="s">
        <v>301</v>
      </c>
      <c r="F420" s="454"/>
      <c r="G420" s="452">
        <f>SUM(G421)</f>
        <v>7874.6</v>
      </c>
      <c r="H420" s="452"/>
      <c r="I420" s="452">
        <f t="shared" si="12"/>
        <v>0</v>
      </c>
      <c r="J420" s="453"/>
      <c r="K420" s="453"/>
      <c r="L420" s="453"/>
      <c r="M420" s="452">
        <f>SUM(M421)</f>
        <v>7874.6</v>
      </c>
    </row>
    <row r="421" spans="1:13" ht="28.5">
      <c r="A421" s="475" t="s">
        <v>517</v>
      </c>
      <c r="B421" s="508"/>
      <c r="C421" s="457" t="s">
        <v>300</v>
      </c>
      <c r="D421" s="458" t="s">
        <v>462</v>
      </c>
      <c r="E421" s="458" t="s">
        <v>301</v>
      </c>
      <c r="F421" s="465" t="s">
        <v>513</v>
      </c>
      <c r="G421" s="452">
        <v>7874.6</v>
      </c>
      <c r="H421" s="452"/>
      <c r="I421" s="452"/>
      <c r="J421" s="453">
        <f>SUM('[2]ведомствен.2015-2016'!G730)</f>
        <v>7874.6</v>
      </c>
      <c r="K421" s="453">
        <f>SUM('[2]ведомствен.2015-2016'!H730)</f>
        <v>7874.6</v>
      </c>
      <c r="L421" s="453">
        <f>SUM(G421-J421)</f>
        <v>0</v>
      </c>
      <c r="M421" s="452">
        <v>7874.6</v>
      </c>
    </row>
    <row r="422" spans="1:13" ht="14.25">
      <c r="A422" s="447" t="s">
        <v>242</v>
      </c>
      <c r="B422" s="448"/>
      <c r="C422" s="457" t="s">
        <v>300</v>
      </c>
      <c r="D422" s="458" t="s">
        <v>462</v>
      </c>
      <c r="E422" s="458" t="s">
        <v>243</v>
      </c>
      <c r="F422" s="454"/>
      <c r="G422" s="452">
        <f>SUM(G423)</f>
        <v>11289.4</v>
      </c>
      <c r="H422" s="452">
        <v>347.3</v>
      </c>
      <c r="I422" s="452">
        <f t="shared" si="12"/>
        <v>3.0763370949740465</v>
      </c>
      <c r="J422" s="453"/>
      <c r="K422" s="453"/>
      <c r="L422" s="453"/>
      <c r="M422" s="452">
        <f>SUM(M423)</f>
        <v>11289.4</v>
      </c>
    </row>
    <row r="423" spans="1:13" ht="28.5">
      <c r="A423" s="447" t="s">
        <v>95</v>
      </c>
      <c r="B423" s="448"/>
      <c r="C423" s="457" t="s">
        <v>300</v>
      </c>
      <c r="D423" s="458" t="s">
        <v>462</v>
      </c>
      <c r="E423" s="458" t="s">
        <v>303</v>
      </c>
      <c r="F423" s="454"/>
      <c r="G423" s="452">
        <f>SUM(G429:G429)+G424</f>
        <v>11289.4</v>
      </c>
      <c r="H423" s="452">
        <f>SUM(H424+H425)</f>
        <v>0</v>
      </c>
      <c r="I423" s="452">
        <f t="shared" si="12"/>
        <v>0</v>
      </c>
      <c r="J423" s="453"/>
      <c r="K423" s="453"/>
      <c r="L423" s="453"/>
      <c r="M423" s="452">
        <f>SUM(M429:M429)+M424</f>
        <v>11289.4</v>
      </c>
    </row>
    <row r="424" spans="1:13" ht="28.5">
      <c r="A424" s="475" t="s">
        <v>157</v>
      </c>
      <c r="B424" s="448"/>
      <c r="C424" s="457" t="s">
        <v>300</v>
      </c>
      <c r="D424" s="458" t="s">
        <v>462</v>
      </c>
      <c r="E424" s="458" t="s">
        <v>219</v>
      </c>
      <c r="F424" s="454"/>
      <c r="G424" s="452">
        <f>SUM(G425)+G427</f>
        <v>100</v>
      </c>
      <c r="H424" s="452"/>
      <c r="I424" s="452">
        <f t="shared" si="12"/>
        <v>0</v>
      </c>
      <c r="J424" s="453"/>
      <c r="K424" s="453"/>
      <c r="L424" s="453"/>
      <c r="M424" s="452">
        <f>SUM(M425)+M427</f>
        <v>100</v>
      </c>
    </row>
    <row r="425" spans="1:13" ht="28.5">
      <c r="A425" s="475" t="s">
        <v>144</v>
      </c>
      <c r="B425" s="469"/>
      <c r="C425" s="457" t="s">
        <v>300</v>
      </c>
      <c r="D425" s="458" t="s">
        <v>462</v>
      </c>
      <c r="E425" s="458" t="s">
        <v>145</v>
      </c>
      <c r="F425" s="454"/>
      <c r="G425" s="452">
        <f>SUM(G426)</f>
        <v>100</v>
      </c>
      <c r="H425" s="452"/>
      <c r="I425" s="452">
        <f t="shared" si="12"/>
        <v>0</v>
      </c>
      <c r="J425" s="453"/>
      <c r="K425" s="453"/>
      <c r="L425" s="453"/>
      <c r="M425" s="452">
        <f>SUM(M426)</f>
        <v>100</v>
      </c>
    </row>
    <row r="426" spans="1:13" s="21" customFormat="1" ht="28.5">
      <c r="A426" s="475" t="s">
        <v>517</v>
      </c>
      <c r="B426" s="508"/>
      <c r="C426" s="457" t="s">
        <v>300</v>
      </c>
      <c r="D426" s="458" t="s">
        <v>462</v>
      </c>
      <c r="E426" s="458" t="s">
        <v>145</v>
      </c>
      <c r="F426" s="465" t="s">
        <v>513</v>
      </c>
      <c r="G426" s="452">
        <v>100</v>
      </c>
      <c r="H426" s="523">
        <v>5000</v>
      </c>
      <c r="I426" s="452">
        <f t="shared" si="12"/>
        <v>5000</v>
      </c>
      <c r="J426" s="453">
        <f>SUM('[2]ведомствен.2015-2016'!G738)</f>
        <v>100</v>
      </c>
      <c r="K426" s="453">
        <f>SUM('[2]ведомствен.2015-2016'!H738)</f>
        <v>100</v>
      </c>
      <c r="L426" s="453">
        <f>SUM(G426-J426)</f>
        <v>0</v>
      </c>
      <c r="M426" s="452">
        <v>100</v>
      </c>
    </row>
    <row r="427" spans="1:13" s="21" customFormat="1" ht="28.5" hidden="1">
      <c r="A427" s="475" t="s">
        <v>414</v>
      </c>
      <c r="B427" s="469"/>
      <c r="C427" s="457" t="s">
        <v>300</v>
      </c>
      <c r="D427" s="458" t="s">
        <v>462</v>
      </c>
      <c r="E427" s="458" t="s">
        <v>485</v>
      </c>
      <c r="F427" s="454"/>
      <c r="G427" s="452">
        <f>SUM(G428)</f>
        <v>0</v>
      </c>
      <c r="H427" s="523">
        <v>2000</v>
      </c>
      <c r="I427" s="452" t="e">
        <f t="shared" si="12"/>
        <v>#DIV/0!</v>
      </c>
      <c r="J427" s="453"/>
      <c r="K427" s="453"/>
      <c r="L427" s="453">
        <f>SUM(G427-J427)</f>
        <v>0</v>
      </c>
      <c r="M427" s="452">
        <f>SUM(M428)</f>
        <v>0</v>
      </c>
    </row>
    <row r="428" spans="1:13" ht="28.5" hidden="1">
      <c r="A428" s="475" t="s">
        <v>143</v>
      </c>
      <c r="B428" s="469"/>
      <c r="C428" s="457" t="s">
        <v>300</v>
      </c>
      <c r="D428" s="458" t="s">
        <v>462</v>
      </c>
      <c r="E428" s="458" t="s">
        <v>485</v>
      </c>
      <c r="F428" s="454" t="s">
        <v>83</v>
      </c>
      <c r="G428" s="452"/>
      <c r="H428" s="452">
        <f>SUM(H429)</f>
        <v>0</v>
      </c>
      <c r="I428" s="452" t="e">
        <f t="shared" si="12"/>
        <v>#DIV/0!</v>
      </c>
      <c r="J428" s="453"/>
      <c r="K428" s="453"/>
      <c r="L428" s="453">
        <f>SUM(G428-J428)</f>
        <v>0</v>
      </c>
      <c r="M428" s="452"/>
    </row>
    <row r="429" spans="1:13" ht="28.5">
      <c r="A429" s="475" t="s">
        <v>302</v>
      </c>
      <c r="B429" s="448"/>
      <c r="C429" s="457" t="s">
        <v>300</v>
      </c>
      <c r="D429" s="458" t="s">
        <v>462</v>
      </c>
      <c r="E429" s="458" t="s">
        <v>304</v>
      </c>
      <c r="F429" s="454"/>
      <c r="G429" s="452">
        <f>SUM(G430)</f>
        <v>11189.4</v>
      </c>
      <c r="H429" s="452"/>
      <c r="I429" s="452">
        <f t="shared" si="12"/>
        <v>0</v>
      </c>
      <c r="J429" s="453"/>
      <c r="K429" s="453"/>
      <c r="L429" s="453"/>
      <c r="M429" s="452">
        <f>SUM(M430)</f>
        <v>11189.4</v>
      </c>
    </row>
    <row r="430" spans="1:13" ht="28.5">
      <c r="A430" s="475" t="s">
        <v>517</v>
      </c>
      <c r="B430" s="508"/>
      <c r="C430" s="457" t="s">
        <v>300</v>
      </c>
      <c r="D430" s="458" t="s">
        <v>462</v>
      </c>
      <c r="E430" s="458" t="s">
        <v>304</v>
      </c>
      <c r="F430" s="465" t="s">
        <v>513</v>
      </c>
      <c r="G430" s="452">
        <v>11189.4</v>
      </c>
      <c r="H430" s="452">
        <f>SUM(H434+H431)</f>
        <v>0</v>
      </c>
      <c r="I430" s="452">
        <f t="shared" si="12"/>
        <v>0</v>
      </c>
      <c r="J430" s="453">
        <f>SUM('[2]ведомствен.2015-2016'!G739)</f>
        <v>11189.4</v>
      </c>
      <c r="K430" s="453">
        <f>SUM('[2]ведомствен.2015-2016'!H739)</f>
        <v>11189.4</v>
      </c>
      <c r="L430" s="453">
        <f>SUM(G430-J430)</f>
        <v>0</v>
      </c>
      <c r="M430" s="452">
        <v>11189.4</v>
      </c>
    </row>
    <row r="431" spans="1:13" ht="14.25">
      <c r="A431" s="475" t="s">
        <v>244</v>
      </c>
      <c r="B431" s="448"/>
      <c r="C431" s="457" t="s">
        <v>300</v>
      </c>
      <c r="D431" s="458" t="s">
        <v>122</v>
      </c>
      <c r="E431" s="458"/>
      <c r="F431" s="454"/>
      <c r="G431" s="452">
        <f>SUM(G434+G437)</f>
        <v>530.1</v>
      </c>
      <c r="H431" s="452">
        <f>SUM(H432)</f>
        <v>0</v>
      </c>
      <c r="I431" s="452">
        <f t="shared" si="12"/>
        <v>0</v>
      </c>
      <c r="J431" s="453"/>
      <c r="K431" s="453"/>
      <c r="L431" s="453"/>
      <c r="M431" s="452">
        <f>SUM(M434+M437)</f>
        <v>530.1</v>
      </c>
    </row>
    <row r="432" spans="1:13" ht="14.25" hidden="1">
      <c r="A432" s="475" t="s">
        <v>387</v>
      </c>
      <c r="B432" s="448"/>
      <c r="C432" s="457" t="s">
        <v>300</v>
      </c>
      <c r="D432" s="458" t="s">
        <v>122</v>
      </c>
      <c r="E432" s="458" t="s">
        <v>388</v>
      </c>
      <c r="F432" s="454"/>
      <c r="G432" s="452">
        <f>SUM(G433)</f>
        <v>0</v>
      </c>
      <c r="H432" s="452">
        <f>SUM(H433)</f>
        <v>0</v>
      </c>
      <c r="I432" s="452" t="e">
        <f t="shared" si="12"/>
        <v>#DIV/0!</v>
      </c>
      <c r="J432" s="453"/>
      <c r="K432" s="453"/>
      <c r="L432" s="453"/>
      <c r="M432" s="452">
        <f>SUM(M433)</f>
        <v>0</v>
      </c>
    </row>
    <row r="433" spans="1:13" ht="14.25" hidden="1">
      <c r="A433" s="475" t="s">
        <v>246</v>
      </c>
      <c r="B433" s="448"/>
      <c r="C433" s="457" t="s">
        <v>300</v>
      </c>
      <c r="D433" s="458" t="s">
        <v>122</v>
      </c>
      <c r="E433" s="458" t="s">
        <v>388</v>
      </c>
      <c r="F433" s="454" t="s">
        <v>247</v>
      </c>
      <c r="G433" s="452"/>
      <c r="H433" s="452"/>
      <c r="I433" s="452" t="e">
        <f t="shared" si="12"/>
        <v>#DIV/0!</v>
      </c>
      <c r="J433" s="453"/>
      <c r="K433" s="453"/>
      <c r="L433" s="453"/>
      <c r="M433" s="452"/>
    </row>
    <row r="434" spans="1:13" ht="28.5">
      <c r="A434" s="447" t="s">
        <v>95</v>
      </c>
      <c r="B434" s="448"/>
      <c r="C434" s="457" t="s">
        <v>300</v>
      </c>
      <c r="D434" s="458" t="s">
        <v>122</v>
      </c>
      <c r="E434" s="458" t="s">
        <v>514</v>
      </c>
      <c r="F434" s="454"/>
      <c r="G434" s="452">
        <f>SUM(G435)</f>
        <v>530.1</v>
      </c>
      <c r="H434" s="452">
        <f>SUM(H435+H437)</f>
        <v>0</v>
      </c>
      <c r="I434" s="452">
        <f t="shared" si="12"/>
        <v>0</v>
      </c>
      <c r="J434" s="453"/>
      <c r="K434" s="453"/>
      <c r="L434" s="453"/>
      <c r="M434" s="452">
        <f>SUM(M435)</f>
        <v>530.1</v>
      </c>
    </row>
    <row r="435" spans="1:13" ht="28.5">
      <c r="A435" s="475" t="s">
        <v>302</v>
      </c>
      <c r="B435" s="448"/>
      <c r="C435" s="457" t="s">
        <v>300</v>
      </c>
      <c r="D435" s="524" t="s">
        <v>122</v>
      </c>
      <c r="E435" s="458" t="s">
        <v>515</v>
      </c>
      <c r="F435" s="454"/>
      <c r="G435" s="452">
        <f>SUM(G436)</f>
        <v>530.1</v>
      </c>
      <c r="H435" s="452">
        <f>SUM(H436)</f>
        <v>0</v>
      </c>
      <c r="I435" s="452">
        <f t="shared" si="12"/>
        <v>0</v>
      </c>
      <c r="J435" s="453"/>
      <c r="K435" s="453"/>
      <c r="L435" s="453"/>
      <c r="M435" s="452">
        <f>SUM(M436)</f>
        <v>530.1</v>
      </c>
    </row>
    <row r="436" spans="1:13" ht="28.5">
      <c r="A436" s="475" t="s">
        <v>517</v>
      </c>
      <c r="B436" s="508"/>
      <c r="C436" s="457" t="s">
        <v>300</v>
      </c>
      <c r="D436" s="524" t="s">
        <v>122</v>
      </c>
      <c r="E436" s="458" t="s">
        <v>515</v>
      </c>
      <c r="F436" s="465" t="s">
        <v>513</v>
      </c>
      <c r="G436" s="452">
        <v>530.1</v>
      </c>
      <c r="H436" s="452"/>
      <c r="I436" s="452">
        <f t="shared" si="12"/>
        <v>0</v>
      </c>
      <c r="J436" s="453">
        <f>SUM('[2]ведомствен.2015-2016'!G759)</f>
        <v>530.1</v>
      </c>
      <c r="K436" s="453">
        <f>SUM('[2]ведомствен.2015-2016'!H759)</f>
        <v>530.1</v>
      </c>
      <c r="L436" s="453">
        <f>SUM(G436-J436)</f>
        <v>0</v>
      </c>
      <c r="M436" s="452">
        <v>530.1</v>
      </c>
    </row>
    <row r="437" spans="1:13" ht="14.25" hidden="1">
      <c r="A437" s="175" t="s">
        <v>3</v>
      </c>
      <c r="B437" s="448"/>
      <c r="C437" s="457" t="s">
        <v>300</v>
      </c>
      <c r="D437" s="458" t="s">
        <v>460</v>
      </c>
      <c r="E437" s="458" t="s">
        <v>267</v>
      </c>
      <c r="F437" s="451"/>
      <c r="G437" s="452">
        <f>SUM(G438)</f>
        <v>0</v>
      </c>
      <c r="H437" s="452">
        <f>SUM(H438)</f>
        <v>0</v>
      </c>
      <c r="I437" s="452" t="e">
        <f aca="true" t="shared" si="13" ref="I437:I449">SUM(H437/G437*100)</f>
        <v>#DIV/0!</v>
      </c>
      <c r="J437" s="453"/>
      <c r="K437" s="453"/>
      <c r="L437" s="453">
        <f>SUM(G437-J437)</f>
        <v>0</v>
      </c>
      <c r="M437" s="452">
        <f>SUM(M438)</f>
        <v>0</v>
      </c>
    </row>
    <row r="438" spans="1:13" ht="28.5" hidden="1">
      <c r="A438" s="447" t="s">
        <v>347</v>
      </c>
      <c r="B438" s="448"/>
      <c r="C438" s="457" t="s">
        <v>300</v>
      </c>
      <c r="D438" s="458" t="s">
        <v>460</v>
      </c>
      <c r="E438" s="458" t="s">
        <v>267</v>
      </c>
      <c r="F438" s="451" t="s">
        <v>268</v>
      </c>
      <c r="G438" s="452"/>
      <c r="H438" s="452"/>
      <c r="I438" s="452" t="e">
        <f t="shared" si="13"/>
        <v>#DIV/0!</v>
      </c>
      <c r="J438" s="453"/>
      <c r="K438" s="453"/>
      <c r="L438" s="453">
        <f>SUM(G438-J438)</f>
        <v>0</v>
      </c>
      <c r="M438" s="452"/>
    </row>
    <row r="439" spans="1:13" ht="14.25">
      <c r="A439" s="175" t="s">
        <v>240</v>
      </c>
      <c r="B439" s="456"/>
      <c r="C439" s="457" t="s">
        <v>300</v>
      </c>
      <c r="D439" s="458" t="s">
        <v>300</v>
      </c>
      <c r="E439" s="458"/>
      <c r="F439" s="454"/>
      <c r="G439" s="452">
        <f>SUM(G442)</f>
        <v>12873.800000000001</v>
      </c>
      <c r="H439" s="452">
        <f>SUM(H440)</f>
        <v>0</v>
      </c>
      <c r="I439" s="452">
        <f t="shared" si="13"/>
        <v>0</v>
      </c>
      <c r="J439" s="453"/>
      <c r="K439" s="453"/>
      <c r="L439" s="453"/>
      <c r="M439" s="452">
        <f>SUM(M442)</f>
        <v>12873.800000000001</v>
      </c>
    </row>
    <row r="440" spans="1:13" ht="42.75" hidden="1">
      <c r="A440" s="175" t="s">
        <v>1048</v>
      </c>
      <c r="B440" s="456"/>
      <c r="C440" s="457" t="s">
        <v>300</v>
      </c>
      <c r="D440" s="458" t="s">
        <v>300</v>
      </c>
      <c r="E440" s="458" t="s">
        <v>1049</v>
      </c>
      <c r="F440" s="454"/>
      <c r="G440" s="452">
        <f>SUM(G441)</f>
        <v>0</v>
      </c>
      <c r="H440" s="452">
        <f>SUM(H441)</f>
        <v>0</v>
      </c>
      <c r="I440" s="452" t="e">
        <f t="shared" si="13"/>
        <v>#DIV/0!</v>
      </c>
      <c r="J440" s="453"/>
      <c r="K440" s="453"/>
      <c r="L440" s="453"/>
      <c r="M440" s="452">
        <f>SUM(M441)</f>
        <v>0</v>
      </c>
    </row>
    <row r="441" spans="1:13" ht="28.5" hidden="1">
      <c r="A441" s="475" t="s">
        <v>157</v>
      </c>
      <c r="B441" s="456"/>
      <c r="C441" s="457" t="s">
        <v>300</v>
      </c>
      <c r="D441" s="458" t="s">
        <v>300</v>
      </c>
      <c r="E441" s="458" t="s">
        <v>1049</v>
      </c>
      <c r="F441" s="454" t="s">
        <v>83</v>
      </c>
      <c r="G441" s="452"/>
      <c r="H441" s="452">
        <f>SUM(H442)</f>
        <v>0</v>
      </c>
      <c r="I441" s="452" t="e">
        <f t="shared" si="13"/>
        <v>#DIV/0!</v>
      </c>
      <c r="J441" s="453"/>
      <c r="K441" s="453"/>
      <c r="L441" s="453"/>
      <c r="M441" s="452"/>
    </row>
    <row r="442" spans="1:13" ht="28.5">
      <c r="A442" s="175" t="s">
        <v>179</v>
      </c>
      <c r="B442" s="448"/>
      <c r="C442" s="457" t="s">
        <v>300</v>
      </c>
      <c r="D442" s="458" t="s">
        <v>300</v>
      </c>
      <c r="E442" s="458" t="s">
        <v>180</v>
      </c>
      <c r="F442" s="454"/>
      <c r="G442" s="452">
        <f>SUM(G443)</f>
        <v>12873.800000000001</v>
      </c>
      <c r="H442" s="452"/>
      <c r="I442" s="452">
        <f t="shared" si="13"/>
        <v>0</v>
      </c>
      <c r="J442" s="453"/>
      <c r="K442" s="453"/>
      <c r="L442" s="453"/>
      <c r="M442" s="452">
        <f>SUM(M443)</f>
        <v>12873.800000000001</v>
      </c>
    </row>
    <row r="443" spans="1:13" ht="28.5">
      <c r="A443" s="447" t="s">
        <v>56</v>
      </c>
      <c r="B443" s="448"/>
      <c r="C443" s="457" t="s">
        <v>300</v>
      </c>
      <c r="D443" s="458" t="s">
        <v>300</v>
      </c>
      <c r="E443" s="458" t="s">
        <v>181</v>
      </c>
      <c r="F443" s="454"/>
      <c r="G443" s="452">
        <f>SUM(G444:G446)</f>
        <v>12873.800000000001</v>
      </c>
      <c r="H443" s="452">
        <f>SUM(H444)</f>
        <v>0</v>
      </c>
      <c r="I443" s="452">
        <f t="shared" si="13"/>
        <v>0</v>
      </c>
      <c r="J443" s="453"/>
      <c r="K443" s="453"/>
      <c r="L443" s="453"/>
      <c r="M443" s="452">
        <f>SUM(M444:M446)</f>
        <v>12873.800000000001</v>
      </c>
    </row>
    <row r="444" spans="1:13" ht="42.75">
      <c r="A444" s="447" t="s">
        <v>495</v>
      </c>
      <c r="B444" s="448"/>
      <c r="C444" s="457" t="s">
        <v>300</v>
      </c>
      <c r="D444" s="458" t="s">
        <v>300</v>
      </c>
      <c r="E444" s="458" t="s">
        <v>181</v>
      </c>
      <c r="F444" s="451" t="s">
        <v>496</v>
      </c>
      <c r="G444" s="452">
        <v>11341.5</v>
      </c>
      <c r="H444" s="452">
        <f>SUM(H445)</f>
        <v>0</v>
      </c>
      <c r="I444" s="452">
        <f t="shared" si="13"/>
        <v>0</v>
      </c>
      <c r="J444" s="453">
        <f>SUM('[2]ведомствен.2015-2016'!G771)</f>
        <v>11341.5</v>
      </c>
      <c r="K444" s="453">
        <f>SUM('[2]ведомствен.2015-2016'!H771)</f>
        <v>11341.5</v>
      </c>
      <c r="L444" s="453">
        <f>SUM(G444-J444)</f>
        <v>0</v>
      </c>
      <c r="M444" s="452">
        <v>11341.5</v>
      </c>
    </row>
    <row r="445" spans="1:13" ht="14.25">
      <c r="A445" s="447" t="s">
        <v>500</v>
      </c>
      <c r="B445" s="448"/>
      <c r="C445" s="457" t="s">
        <v>300</v>
      </c>
      <c r="D445" s="458" t="s">
        <v>300</v>
      </c>
      <c r="E445" s="458" t="s">
        <v>181</v>
      </c>
      <c r="F445" s="451" t="s">
        <v>120</v>
      </c>
      <c r="G445" s="455">
        <v>1486.1</v>
      </c>
      <c r="H445" s="452">
        <f>SUM(H446)</f>
        <v>0</v>
      </c>
      <c r="I445" s="452">
        <f t="shared" si="13"/>
        <v>0</v>
      </c>
      <c r="J445" s="453">
        <f>SUM('[2]ведомствен.2015-2016'!G772)</f>
        <v>1486.1</v>
      </c>
      <c r="K445" s="453">
        <f>SUM('[2]ведомствен.2015-2016'!H772)</f>
        <v>1486.1</v>
      </c>
      <c r="L445" s="453">
        <f>SUM(G445-J445)</f>
        <v>0</v>
      </c>
      <c r="M445" s="455">
        <v>1486.1</v>
      </c>
    </row>
    <row r="446" spans="1:13" ht="14.25">
      <c r="A446" s="447" t="s">
        <v>501</v>
      </c>
      <c r="B446" s="448"/>
      <c r="C446" s="457" t="s">
        <v>300</v>
      </c>
      <c r="D446" s="458" t="s">
        <v>300</v>
      </c>
      <c r="E446" s="458" t="s">
        <v>181</v>
      </c>
      <c r="F446" s="454" t="s">
        <v>176</v>
      </c>
      <c r="G446" s="452">
        <v>46.2</v>
      </c>
      <c r="H446" s="452"/>
      <c r="I446" s="452">
        <f t="shared" si="13"/>
        <v>0</v>
      </c>
      <c r="J446" s="453">
        <f>SUM('[2]ведомствен.2015-2016'!G773)</f>
        <v>46.2</v>
      </c>
      <c r="K446" s="453">
        <f>SUM('[2]ведомствен.2015-2016'!H773)</f>
        <v>46.2</v>
      </c>
      <c r="L446" s="453">
        <f>SUM(G446-J446)</f>
        <v>0</v>
      </c>
      <c r="M446" s="452">
        <v>46.2</v>
      </c>
    </row>
    <row r="447" spans="1:13" s="11" customFormat="1" ht="15">
      <c r="A447" s="468" t="s">
        <v>188</v>
      </c>
      <c r="B447" s="469"/>
      <c r="C447" s="493" t="s">
        <v>5</v>
      </c>
      <c r="D447" s="494"/>
      <c r="E447" s="494"/>
      <c r="F447" s="495"/>
      <c r="G447" s="473">
        <f>SUM(G448+G452+G466+G536+G559)</f>
        <v>969564.1</v>
      </c>
      <c r="H447" s="496" t="e">
        <f>SUM(H448+H505+#REF!+#REF!)</f>
        <v>#REF!</v>
      </c>
      <c r="I447" s="496" t="e">
        <f t="shared" si="13"/>
        <v>#REF!</v>
      </c>
      <c r="J447" s="446"/>
      <c r="K447" s="446"/>
      <c r="L447" s="453"/>
      <c r="M447" s="473">
        <f>SUM(M448+M452+M466+M536+M559)</f>
        <v>986160.3000000002</v>
      </c>
    </row>
    <row r="448" spans="1:13" s="23" customFormat="1" ht="15">
      <c r="A448" s="447" t="s">
        <v>190</v>
      </c>
      <c r="B448" s="448"/>
      <c r="C448" s="449" t="s">
        <v>5</v>
      </c>
      <c r="D448" s="450" t="s">
        <v>460</v>
      </c>
      <c r="E448" s="450"/>
      <c r="F448" s="451"/>
      <c r="G448" s="452">
        <f>SUM(G449)</f>
        <v>2177.9</v>
      </c>
      <c r="H448" s="452">
        <f>SUM(H449+H485)</f>
        <v>222557.3</v>
      </c>
      <c r="I448" s="452">
        <f t="shared" si="13"/>
        <v>10218.894347766196</v>
      </c>
      <c r="J448" s="446"/>
      <c r="K448" s="446"/>
      <c r="L448" s="453"/>
      <c r="M448" s="452">
        <f>SUM(M449)</f>
        <v>2177.9</v>
      </c>
    </row>
    <row r="449" spans="1:13" s="23" customFormat="1" ht="15">
      <c r="A449" s="447" t="s">
        <v>191</v>
      </c>
      <c r="B449" s="448"/>
      <c r="C449" s="449" t="s">
        <v>5</v>
      </c>
      <c r="D449" s="450" t="s">
        <v>460</v>
      </c>
      <c r="E449" s="450" t="s">
        <v>192</v>
      </c>
      <c r="F449" s="451"/>
      <c r="G449" s="452">
        <f>SUM(G450)</f>
        <v>2177.9</v>
      </c>
      <c r="H449" s="452">
        <f>SUM(H465)</f>
        <v>213007.5</v>
      </c>
      <c r="I449" s="452">
        <f t="shared" si="13"/>
        <v>9780.40773221911</v>
      </c>
      <c r="J449" s="446"/>
      <c r="K449" s="446"/>
      <c r="L449" s="453"/>
      <c r="M449" s="452">
        <f>SUM(M450)</f>
        <v>2177.9</v>
      </c>
    </row>
    <row r="450" spans="1:13" s="23" customFormat="1" ht="28.5">
      <c r="A450" s="447" t="s">
        <v>193</v>
      </c>
      <c r="B450" s="448"/>
      <c r="C450" s="449" t="s">
        <v>5</v>
      </c>
      <c r="D450" s="450" t="s">
        <v>460</v>
      </c>
      <c r="E450" s="450" t="s">
        <v>194</v>
      </c>
      <c r="F450" s="451"/>
      <c r="G450" s="452">
        <f>SUM(G451)</f>
        <v>2177.9</v>
      </c>
      <c r="H450" s="452"/>
      <c r="I450" s="452"/>
      <c r="J450" s="446"/>
      <c r="K450" s="446"/>
      <c r="L450" s="453"/>
      <c r="M450" s="452">
        <f>SUM(M451)</f>
        <v>2177.9</v>
      </c>
    </row>
    <row r="451" spans="1:13" ht="14.25">
      <c r="A451" s="447" t="s">
        <v>505</v>
      </c>
      <c r="B451" s="448"/>
      <c r="C451" s="449" t="s">
        <v>5</v>
      </c>
      <c r="D451" s="450" t="s">
        <v>460</v>
      </c>
      <c r="E451" s="450" t="s">
        <v>194</v>
      </c>
      <c r="F451" s="451" t="s">
        <v>506</v>
      </c>
      <c r="G451" s="452">
        <v>2177.9</v>
      </c>
      <c r="H451" s="452"/>
      <c r="I451" s="452"/>
      <c r="J451" s="453">
        <f>SUM('[2]ведомствен.2015-2016'!G350)</f>
        <v>2177.9</v>
      </c>
      <c r="K451" s="453">
        <f>SUM('[2]ведомствен.2015-2016'!H350)</f>
        <v>2177.9</v>
      </c>
      <c r="L451" s="453">
        <f>SUM(G451-J451)</f>
        <v>0</v>
      </c>
      <c r="M451" s="452">
        <v>2177.9</v>
      </c>
    </row>
    <row r="452" spans="1:13" ht="14.25">
      <c r="A452" s="447" t="s">
        <v>195</v>
      </c>
      <c r="B452" s="448"/>
      <c r="C452" s="457" t="s">
        <v>5</v>
      </c>
      <c r="D452" s="458" t="s">
        <v>462</v>
      </c>
      <c r="E452" s="450"/>
      <c r="F452" s="451"/>
      <c r="G452" s="452">
        <f>SUM(G453+G458)</f>
        <v>47830.899999999994</v>
      </c>
      <c r="H452" s="452"/>
      <c r="I452" s="452"/>
      <c r="J452" s="453"/>
      <c r="K452" s="453"/>
      <c r="L452" s="453"/>
      <c r="M452" s="452">
        <f>SUM(M453+M458)</f>
        <v>48034.5</v>
      </c>
    </row>
    <row r="453" spans="1:13" s="23" customFormat="1" ht="15" hidden="1">
      <c r="A453" s="525" t="s">
        <v>74</v>
      </c>
      <c r="B453" s="448"/>
      <c r="C453" s="457" t="s">
        <v>5</v>
      </c>
      <c r="D453" s="458" t="s">
        <v>462</v>
      </c>
      <c r="E453" s="458" t="s">
        <v>75</v>
      </c>
      <c r="F453" s="454"/>
      <c r="G453" s="452"/>
      <c r="H453" s="452"/>
      <c r="I453" s="452"/>
      <c r="J453" s="446"/>
      <c r="K453" s="446"/>
      <c r="L453" s="453"/>
      <c r="M453" s="452"/>
    </row>
    <row r="454" spans="1:13" s="23" customFormat="1" ht="28.5" hidden="1">
      <c r="A454" s="525" t="s">
        <v>17</v>
      </c>
      <c r="B454" s="448"/>
      <c r="C454" s="457" t="s">
        <v>5</v>
      </c>
      <c r="D454" s="458" t="s">
        <v>462</v>
      </c>
      <c r="E454" s="458" t="s">
        <v>18</v>
      </c>
      <c r="F454" s="454"/>
      <c r="G454" s="452">
        <f>SUM(G455+G456)</f>
        <v>0</v>
      </c>
      <c r="H454" s="452"/>
      <c r="I454" s="452"/>
      <c r="J454" s="446"/>
      <c r="K454" s="446"/>
      <c r="L454" s="453"/>
      <c r="M454" s="452">
        <f>SUM(M455+M456)</f>
        <v>0</v>
      </c>
    </row>
    <row r="455" spans="1:13" s="23" customFormat="1" ht="15" hidden="1">
      <c r="A455" s="161" t="s">
        <v>246</v>
      </c>
      <c r="B455" s="448"/>
      <c r="C455" s="457" t="s">
        <v>5</v>
      </c>
      <c r="D455" s="458" t="s">
        <v>462</v>
      </c>
      <c r="E455" s="458" t="s">
        <v>18</v>
      </c>
      <c r="F455" s="454" t="s">
        <v>247</v>
      </c>
      <c r="G455" s="452"/>
      <c r="H455" s="452"/>
      <c r="I455" s="452"/>
      <c r="J455" s="446"/>
      <c r="K455" s="446"/>
      <c r="L455" s="453"/>
      <c r="M455" s="452"/>
    </row>
    <row r="456" spans="1:13" ht="28.5" hidden="1">
      <c r="A456" s="525" t="s">
        <v>19</v>
      </c>
      <c r="B456" s="448"/>
      <c r="C456" s="457" t="s">
        <v>5</v>
      </c>
      <c r="D456" s="458" t="s">
        <v>462</v>
      </c>
      <c r="E456" s="458" t="s">
        <v>20</v>
      </c>
      <c r="F456" s="454"/>
      <c r="G456" s="452">
        <f>SUM(G457)</f>
        <v>0</v>
      </c>
      <c r="H456" s="452"/>
      <c r="I456" s="452"/>
      <c r="J456" s="453"/>
      <c r="K456" s="453"/>
      <c r="L456" s="453"/>
      <c r="M456" s="452">
        <f>SUM(M457)</f>
        <v>0</v>
      </c>
    </row>
    <row r="457" spans="1:13" ht="14.25" hidden="1">
      <c r="A457" s="161" t="s">
        <v>246</v>
      </c>
      <c r="B457" s="448"/>
      <c r="C457" s="457" t="s">
        <v>5</v>
      </c>
      <c r="D457" s="458" t="s">
        <v>462</v>
      </c>
      <c r="E457" s="458" t="s">
        <v>20</v>
      </c>
      <c r="F457" s="454" t="s">
        <v>247</v>
      </c>
      <c r="G457" s="452"/>
      <c r="H457" s="452"/>
      <c r="I457" s="452"/>
      <c r="J457" s="453"/>
      <c r="K457" s="453"/>
      <c r="L457" s="453"/>
      <c r="M457" s="452"/>
    </row>
    <row r="458" spans="1:13" ht="14.25">
      <c r="A458" s="525" t="s">
        <v>74</v>
      </c>
      <c r="B458" s="448"/>
      <c r="C458" s="457" t="s">
        <v>5</v>
      </c>
      <c r="D458" s="458" t="s">
        <v>462</v>
      </c>
      <c r="E458" s="458" t="s">
        <v>21</v>
      </c>
      <c r="F458" s="454"/>
      <c r="G458" s="452">
        <f>SUM(G459+G462)</f>
        <v>47830.899999999994</v>
      </c>
      <c r="H458" s="452"/>
      <c r="I458" s="452"/>
      <c r="J458" s="453"/>
      <c r="K458" s="453"/>
      <c r="L458" s="453"/>
      <c r="M458" s="452">
        <f>SUM(M459+M462)</f>
        <v>48034.5</v>
      </c>
    </row>
    <row r="459" spans="1:13" ht="28.5">
      <c r="A459" s="161" t="s">
        <v>56</v>
      </c>
      <c r="B459" s="448"/>
      <c r="C459" s="457" t="s">
        <v>5</v>
      </c>
      <c r="D459" s="458" t="s">
        <v>462</v>
      </c>
      <c r="E459" s="458" t="s">
        <v>22</v>
      </c>
      <c r="F459" s="454"/>
      <c r="G459" s="452">
        <f>SUM(G460:G461)</f>
        <v>1733</v>
      </c>
      <c r="H459" s="452"/>
      <c r="I459" s="452"/>
      <c r="J459" s="453"/>
      <c r="K459" s="453"/>
      <c r="L459" s="453"/>
      <c r="M459" s="452">
        <f>SUM(M460:M461)</f>
        <v>1783</v>
      </c>
    </row>
    <row r="460" spans="1:13" s="23" customFormat="1" ht="42.75">
      <c r="A460" s="447" t="s">
        <v>495</v>
      </c>
      <c r="B460" s="448"/>
      <c r="C460" s="457" t="s">
        <v>5</v>
      </c>
      <c r="D460" s="458" t="s">
        <v>462</v>
      </c>
      <c r="E460" s="458" t="s">
        <v>22</v>
      </c>
      <c r="F460" s="451" t="s">
        <v>496</v>
      </c>
      <c r="G460" s="452">
        <v>531.8</v>
      </c>
      <c r="H460" s="452"/>
      <c r="I460" s="452"/>
      <c r="J460" s="453">
        <f>SUM('[2]ведомствен.2015-2016'!G359)</f>
        <v>531.8</v>
      </c>
      <c r="K460" s="453">
        <f>SUM('[2]ведомствен.2015-2016'!H359)</f>
        <v>531.8</v>
      </c>
      <c r="L460" s="453">
        <f>SUM(G460-J460)</f>
        <v>0</v>
      </c>
      <c r="M460" s="452">
        <v>531.8</v>
      </c>
    </row>
    <row r="461" spans="1:13" s="23" customFormat="1" ht="14.25">
      <c r="A461" s="447" t="s">
        <v>500</v>
      </c>
      <c r="B461" s="448"/>
      <c r="C461" s="457" t="s">
        <v>5</v>
      </c>
      <c r="D461" s="458" t="s">
        <v>462</v>
      </c>
      <c r="E461" s="458" t="s">
        <v>22</v>
      </c>
      <c r="F461" s="451" t="s">
        <v>120</v>
      </c>
      <c r="G461" s="452">
        <v>1201.2</v>
      </c>
      <c r="H461" s="452"/>
      <c r="I461" s="452"/>
      <c r="J461" s="453">
        <f>SUM('[2]ведомствен.2015-2016'!G360)</f>
        <v>1201.2</v>
      </c>
      <c r="K461" s="453">
        <f>SUM('[2]ведомствен.2015-2016'!H360)</f>
        <v>1251.2</v>
      </c>
      <c r="L461" s="453">
        <f>SUM(G461-J461)</f>
        <v>0</v>
      </c>
      <c r="M461" s="452">
        <v>1251.2</v>
      </c>
    </row>
    <row r="462" spans="1:13" s="23" customFormat="1" ht="28.5">
      <c r="A462" s="161" t="s">
        <v>23</v>
      </c>
      <c r="B462" s="448"/>
      <c r="C462" s="457" t="s">
        <v>5</v>
      </c>
      <c r="D462" s="458" t="s">
        <v>462</v>
      </c>
      <c r="E462" s="458" t="s">
        <v>24</v>
      </c>
      <c r="F462" s="454"/>
      <c r="G462" s="452">
        <f>SUM(G463:G465)</f>
        <v>46097.899999999994</v>
      </c>
      <c r="H462" s="452"/>
      <c r="I462" s="452"/>
      <c r="J462" s="446"/>
      <c r="K462" s="446"/>
      <c r="L462" s="453"/>
      <c r="M462" s="452">
        <f>SUM(M463:M465)</f>
        <v>46251.5</v>
      </c>
    </row>
    <row r="463" spans="1:13" s="23" customFormat="1" ht="42.75">
      <c r="A463" s="447" t="s">
        <v>495</v>
      </c>
      <c r="B463" s="448"/>
      <c r="C463" s="457" t="s">
        <v>5</v>
      </c>
      <c r="D463" s="458" t="s">
        <v>462</v>
      </c>
      <c r="E463" s="458" t="s">
        <v>24</v>
      </c>
      <c r="F463" s="451" t="s">
        <v>496</v>
      </c>
      <c r="G463" s="452">
        <v>38680.7</v>
      </c>
      <c r="H463" s="452"/>
      <c r="I463" s="452"/>
      <c r="J463" s="453">
        <f>SUM('[2]ведомствен.2015-2016'!G362)</f>
        <v>38680.7</v>
      </c>
      <c r="K463" s="453">
        <f>SUM('[2]ведомствен.2015-2016'!H362)</f>
        <v>38680.7</v>
      </c>
      <c r="L463" s="453">
        <f>SUM(G463-J463)</f>
        <v>0</v>
      </c>
      <c r="M463" s="452">
        <v>38680.7</v>
      </c>
    </row>
    <row r="464" spans="1:13" s="23" customFormat="1" ht="14.25">
      <c r="A464" s="447" t="s">
        <v>500</v>
      </c>
      <c r="B464" s="448"/>
      <c r="C464" s="457" t="s">
        <v>5</v>
      </c>
      <c r="D464" s="458" t="s">
        <v>462</v>
      </c>
      <c r="E464" s="458" t="s">
        <v>24</v>
      </c>
      <c r="F464" s="451" t="s">
        <v>120</v>
      </c>
      <c r="G464" s="452">
        <v>7031.2</v>
      </c>
      <c r="H464" s="452"/>
      <c r="I464" s="452"/>
      <c r="J464" s="453">
        <f>SUM('[2]ведомствен.2015-2016'!G363)</f>
        <v>7031.2</v>
      </c>
      <c r="K464" s="453">
        <f>SUM('[2]ведомствен.2015-2016'!H363)</f>
        <v>7184.8</v>
      </c>
      <c r="L464" s="453">
        <f>SUM(G464-J464)</f>
        <v>0</v>
      </c>
      <c r="M464" s="452">
        <v>7184.8</v>
      </c>
    </row>
    <row r="465" spans="1:13" s="23" customFormat="1" ht="14.25">
      <c r="A465" s="447" t="s">
        <v>501</v>
      </c>
      <c r="B465" s="448"/>
      <c r="C465" s="457" t="s">
        <v>5</v>
      </c>
      <c r="D465" s="458" t="s">
        <v>462</v>
      </c>
      <c r="E465" s="458" t="s">
        <v>24</v>
      </c>
      <c r="F465" s="451" t="s">
        <v>176</v>
      </c>
      <c r="G465" s="452">
        <v>386</v>
      </c>
      <c r="H465" s="452">
        <f>SUM(H471+H477+H480+H483+H474)</f>
        <v>213007.5</v>
      </c>
      <c r="I465" s="452">
        <f>SUM(H465/G465*100)</f>
        <v>55183.29015544041</v>
      </c>
      <c r="J465" s="453">
        <f>SUM('[2]ведомствен.2015-2016'!G364)</f>
        <v>386</v>
      </c>
      <c r="K465" s="453">
        <f>SUM('[2]ведомствен.2015-2016'!H364)</f>
        <v>386</v>
      </c>
      <c r="L465" s="453">
        <f>SUM(G465-J465)</f>
        <v>0</v>
      </c>
      <c r="M465" s="452">
        <v>386</v>
      </c>
    </row>
    <row r="466" spans="1:13" ht="14.25">
      <c r="A466" s="447" t="s">
        <v>25</v>
      </c>
      <c r="B466" s="448"/>
      <c r="C466" s="449" t="s">
        <v>5</v>
      </c>
      <c r="D466" s="450" t="s">
        <v>106</v>
      </c>
      <c r="E466" s="450"/>
      <c r="F466" s="451"/>
      <c r="G466" s="452">
        <f>SUM(G470+G529+G533)</f>
        <v>788159.9</v>
      </c>
      <c r="H466" s="452"/>
      <c r="I466" s="452"/>
      <c r="J466" s="453"/>
      <c r="K466" s="453"/>
      <c r="L466" s="453"/>
      <c r="M466" s="452">
        <f>SUM(M470+M529+M533)</f>
        <v>802561.9000000001</v>
      </c>
    </row>
    <row r="467" spans="1:13" ht="14.25" hidden="1">
      <c r="A467" s="447" t="s">
        <v>407</v>
      </c>
      <c r="B467" s="448"/>
      <c r="C467" s="449" t="s">
        <v>5</v>
      </c>
      <c r="D467" s="450" t="s">
        <v>106</v>
      </c>
      <c r="E467" s="450" t="s">
        <v>409</v>
      </c>
      <c r="F467" s="451"/>
      <c r="G467" s="452">
        <f>SUM(G469)</f>
        <v>0</v>
      </c>
      <c r="H467" s="452">
        <v>187516.5</v>
      </c>
      <c r="I467" s="452" t="e">
        <f>SUM(H467/G467*100)</f>
        <v>#DIV/0!</v>
      </c>
      <c r="J467" s="453"/>
      <c r="K467" s="453"/>
      <c r="L467" s="453"/>
      <c r="M467" s="452">
        <f>SUM(M469)</f>
        <v>0</v>
      </c>
    </row>
    <row r="468" spans="1:13" s="14" customFormat="1" ht="14.25" hidden="1">
      <c r="A468" s="447" t="s">
        <v>387</v>
      </c>
      <c r="B468" s="448"/>
      <c r="C468" s="449" t="s">
        <v>5</v>
      </c>
      <c r="D468" s="450" t="s">
        <v>106</v>
      </c>
      <c r="E468" s="450" t="s">
        <v>388</v>
      </c>
      <c r="F468" s="451"/>
      <c r="G468" s="452">
        <f>SUM(G469)</f>
        <v>0</v>
      </c>
      <c r="H468" s="452"/>
      <c r="I468" s="452"/>
      <c r="J468" s="497"/>
      <c r="K468" s="497"/>
      <c r="L468" s="453"/>
      <c r="M468" s="452">
        <f>SUM(M469)</f>
        <v>0</v>
      </c>
    </row>
    <row r="469" spans="1:13" s="14" customFormat="1" ht="14.25" hidden="1">
      <c r="A469" s="447" t="s">
        <v>296</v>
      </c>
      <c r="B469" s="456"/>
      <c r="C469" s="449" t="s">
        <v>5</v>
      </c>
      <c r="D469" s="450" t="s">
        <v>106</v>
      </c>
      <c r="E469" s="450" t="s">
        <v>388</v>
      </c>
      <c r="F469" s="454" t="s">
        <v>297</v>
      </c>
      <c r="G469" s="452"/>
      <c r="H469" s="452">
        <v>187516.5</v>
      </c>
      <c r="I469" s="452" t="e">
        <f>SUM(H469/G469*100)</f>
        <v>#DIV/0!</v>
      </c>
      <c r="J469" s="497"/>
      <c r="K469" s="497"/>
      <c r="L469" s="453"/>
      <c r="M469" s="452"/>
    </row>
    <row r="470" spans="1:13" s="14" customFormat="1" ht="14.25">
      <c r="A470" s="109" t="s">
        <v>26</v>
      </c>
      <c r="B470" s="62"/>
      <c r="C470" s="526" t="s">
        <v>5</v>
      </c>
      <c r="D470" s="526" t="s">
        <v>106</v>
      </c>
      <c r="E470" s="526" t="s">
        <v>27</v>
      </c>
      <c r="F470" s="527"/>
      <c r="G470" s="137">
        <f>SUM(G471+G474+G477+G480+G483+G486)+G527</f>
        <v>787372.1</v>
      </c>
      <c r="H470" s="452"/>
      <c r="I470" s="452"/>
      <c r="J470" s="497"/>
      <c r="K470" s="497"/>
      <c r="L470" s="453"/>
      <c r="M470" s="452">
        <f>SUM(M471+M474+M477+M480+M483+M486+M527)</f>
        <v>801774.1000000001</v>
      </c>
    </row>
    <row r="471" spans="1:13" s="23" customFormat="1" ht="42.75">
      <c r="A471" s="109" t="s">
        <v>286</v>
      </c>
      <c r="B471" s="62"/>
      <c r="C471" s="524" t="s">
        <v>5</v>
      </c>
      <c r="D471" s="524" t="s">
        <v>106</v>
      </c>
      <c r="E471" s="524" t="s">
        <v>287</v>
      </c>
      <c r="F471" s="528"/>
      <c r="G471" s="137">
        <f>SUM(G472:G473)</f>
        <v>86975.8</v>
      </c>
      <c r="H471" s="452">
        <v>187516.5</v>
      </c>
      <c r="I471" s="452">
        <f>SUM(H471/G471*100)</f>
        <v>215.59617732748652</v>
      </c>
      <c r="J471" s="446"/>
      <c r="K471" s="446"/>
      <c r="L471" s="453"/>
      <c r="M471" s="452">
        <f>SUM(M472:M473)</f>
        <v>84205.09999999999</v>
      </c>
    </row>
    <row r="472" spans="1:13" s="23" customFormat="1" ht="15">
      <c r="A472" s="109" t="s">
        <v>500</v>
      </c>
      <c r="B472" s="62"/>
      <c r="C472" s="524" t="s">
        <v>5</v>
      </c>
      <c r="D472" s="524" t="s">
        <v>106</v>
      </c>
      <c r="E472" s="524" t="s">
        <v>287</v>
      </c>
      <c r="F472" s="528" t="s">
        <v>120</v>
      </c>
      <c r="G472" s="137">
        <v>1322</v>
      </c>
      <c r="H472" s="452"/>
      <c r="I472" s="452"/>
      <c r="J472" s="446">
        <f>SUM('[2]ведомствен.2015-2016'!G371)</f>
        <v>1322</v>
      </c>
      <c r="K472" s="446">
        <f>SUM('[2]ведомствен.2015-2016'!H371)</f>
        <v>1279.9</v>
      </c>
      <c r="L472" s="453">
        <f>SUM(G472-J472)</f>
        <v>0</v>
      </c>
      <c r="M472" s="452">
        <v>1279.9</v>
      </c>
    </row>
    <row r="473" spans="1:13" s="23" customFormat="1" ht="14.25">
      <c r="A473" s="109" t="s">
        <v>505</v>
      </c>
      <c r="B473" s="62"/>
      <c r="C473" s="524" t="s">
        <v>5</v>
      </c>
      <c r="D473" s="524" t="s">
        <v>106</v>
      </c>
      <c r="E473" s="524" t="s">
        <v>287</v>
      </c>
      <c r="F473" s="528" t="s">
        <v>506</v>
      </c>
      <c r="G473" s="137">
        <v>85653.8</v>
      </c>
      <c r="H473" s="452"/>
      <c r="I473" s="452">
        <f>SUM(H473/G473*100)</f>
        <v>0</v>
      </c>
      <c r="J473" s="453">
        <f>SUM('[2]ведомствен.2015-2016'!G372)</f>
        <v>85653.8</v>
      </c>
      <c r="K473" s="453">
        <f>SUM('[2]ведомствен.2015-2016'!H372)</f>
        <v>82925.2</v>
      </c>
      <c r="L473" s="453">
        <f>SUM(G473-J473)</f>
        <v>0</v>
      </c>
      <c r="M473" s="452">
        <v>82925.2</v>
      </c>
    </row>
    <row r="474" spans="1:13" ht="28.5">
      <c r="A474" s="109" t="s">
        <v>285</v>
      </c>
      <c r="B474" s="62"/>
      <c r="C474" s="524" t="s">
        <v>5</v>
      </c>
      <c r="D474" s="524" t="s">
        <v>106</v>
      </c>
      <c r="E474" s="524" t="s">
        <v>571</v>
      </c>
      <c r="F474" s="528"/>
      <c r="G474" s="137">
        <f>SUM(G475:G476)</f>
        <v>164852.6</v>
      </c>
      <c r="H474" s="452">
        <f>SUM(H476)</f>
        <v>120.3</v>
      </c>
      <c r="I474" s="452">
        <f>SUM(H474/G474*100)</f>
        <v>0.07297428126702278</v>
      </c>
      <c r="J474" s="453"/>
      <c r="K474" s="453"/>
      <c r="L474" s="453"/>
      <c r="M474" s="452">
        <f>SUM(M475:M476)</f>
        <v>166500.9</v>
      </c>
    </row>
    <row r="475" spans="1:13" ht="14.25">
      <c r="A475" s="109" t="s">
        <v>500</v>
      </c>
      <c r="B475" s="62"/>
      <c r="C475" s="524" t="s">
        <v>5</v>
      </c>
      <c r="D475" s="524" t="s">
        <v>106</v>
      </c>
      <c r="E475" s="524" t="s">
        <v>571</v>
      </c>
      <c r="F475" s="528" t="s">
        <v>120</v>
      </c>
      <c r="G475" s="137">
        <v>2225.5</v>
      </c>
      <c r="H475" s="452"/>
      <c r="I475" s="452"/>
      <c r="J475" s="453">
        <f>SUM('[2]ведомствен.2015-2016'!G374)</f>
        <v>2225.5</v>
      </c>
      <c r="K475" s="453">
        <f>SUM('[2]ведомствен.2015-2016'!H374)</f>
        <v>2247.8</v>
      </c>
      <c r="L475" s="453">
        <f>SUM(G475-J475)</f>
        <v>0</v>
      </c>
      <c r="M475" s="452">
        <v>2247.8</v>
      </c>
    </row>
    <row r="476" spans="1:13" ht="14.25">
      <c r="A476" s="109" t="s">
        <v>505</v>
      </c>
      <c r="B476" s="529"/>
      <c r="C476" s="524" t="s">
        <v>5</v>
      </c>
      <c r="D476" s="524" t="s">
        <v>106</v>
      </c>
      <c r="E476" s="524" t="s">
        <v>571</v>
      </c>
      <c r="F476" s="528" t="s">
        <v>506</v>
      </c>
      <c r="G476" s="137">
        <v>162627.1</v>
      </c>
      <c r="H476" s="452">
        <v>120.3</v>
      </c>
      <c r="I476" s="452">
        <f>SUM(H476/G476*100)</f>
        <v>0.07397291103389286</v>
      </c>
      <c r="J476" s="453">
        <f>SUM('[2]ведомствен.2015-2016'!G375)</f>
        <v>162627.1</v>
      </c>
      <c r="K476" s="453">
        <f>SUM('[2]ведомствен.2015-2016'!H375)</f>
        <v>164253.1</v>
      </c>
      <c r="L476" s="453">
        <f>SUM(G476-J476)</f>
        <v>0</v>
      </c>
      <c r="M476" s="452">
        <v>164253.1</v>
      </c>
    </row>
    <row r="477" spans="1:13" s="23" customFormat="1" ht="42.75">
      <c r="A477" s="110" t="s">
        <v>284</v>
      </c>
      <c r="B477" s="62"/>
      <c r="C477" s="524" t="s">
        <v>5</v>
      </c>
      <c r="D477" s="524" t="s">
        <v>106</v>
      </c>
      <c r="E477" s="524" t="s">
        <v>572</v>
      </c>
      <c r="F477" s="528"/>
      <c r="G477" s="137">
        <f>SUM(G478:G479)</f>
        <v>77.10000000000001</v>
      </c>
      <c r="H477" s="452">
        <f>SUM(H479)</f>
        <v>24134</v>
      </c>
      <c r="I477" s="452">
        <f>SUM(H477/G477*100)</f>
        <v>31302.204928664072</v>
      </c>
      <c r="J477" s="446"/>
      <c r="K477" s="446"/>
      <c r="L477" s="453"/>
      <c r="M477" s="452">
        <f>SUM(M478:M479)</f>
        <v>77.10000000000001</v>
      </c>
    </row>
    <row r="478" spans="1:13" s="23" customFormat="1" ht="15">
      <c r="A478" s="109" t="s">
        <v>500</v>
      </c>
      <c r="B478" s="62"/>
      <c r="C478" s="524" t="s">
        <v>5</v>
      </c>
      <c r="D478" s="524" t="s">
        <v>106</v>
      </c>
      <c r="E478" s="524" t="s">
        <v>572</v>
      </c>
      <c r="F478" s="528" t="s">
        <v>120</v>
      </c>
      <c r="G478" s="137">
        <v>1.2</v>
      </c>
      <c r="H478" s="452"/>
      <c r="I478" s="452"/>
      <c r="J478" s="446">
        <f>SUM('[2]ведомствен.2015-2016'!G377)</f>
        <v>1.2</v>
      </c>
      <c r="K478" s="446">
        <f>SUM('[2]ведомствен.2015-2016'!H377)</f>
        <v>1.2</v>
      </c>
      <c r="L478" s="453">
        <f>SUM(G478-J478)</f>
        <v>0</v>
      </c>
      <c r="M478" s="452">
        <v>1.2</v>
      </c>
    </row>
    <row r="479" spans="1:13" s="23" customFormat="1" ht="14.25">
      <c r="A479" s="109" t="s">
        <v>505</v>
      </c>
      <c r="B479" s="62"/>
      <c r="C479" s="524" t="s">
        <v>5</v>
      </c>
      <c r="D479" s="524" t="s">
        <v>106</v>
      </c>
      <c r="E479" s="524" t="s">
        <v>572</v>
      </c>
      <c r="F479" s="528" t="s">
        <v>506</v>
      </c>
      <c r="G479" s="137">
        <v>75.9</v>
      </c>
      <c r="H479" s="452">
        <v>24134</v>
      </c>
      <c r="I479" s="452">
        <f>SUM(H479/G479*100)</f>
        <v>31797.101449275364</v>
      </c>
      <c r="J479" s="453">
        <f>SUM('[2]ведомствен.2015-2016'!G378)</f>
        <v>75.9</v>
      </c>
      <c r="K479" s="453">
        <f>SUM('[2]ведомствен.2015-2016'!H378)</f>
        <v>75.9</v>
      </c>
      <c r="L479" s="453">
        <f>SUM(G479-J479)</f>
        <v>0</v>
      </c>
      <c r="M479" s="452">
        <v>75.9</v>
      </c>
    </row>
    <row r="480" spans="1:13" s="23" customFormat="1" ht="85.5">
      <c r="A480" s="151" t="s">
        <v>574</v>
      </c>
      <c r="B480" s="133"/>
      <c r="C480" s="530" t="s">
        <v>5</v>
      </c>
      <c r="D480" s="530" t="s">
        <v>106</v>
      </c>
      <c r="E480" s="530" t="s">
        <v>573</v>
      </c>
      <c r="F480" s="531"/>
      <c r="G480" s="532">
        <f>SUM(G481:G482)</f>
        <v>84205.6</v>
      </c>
      <c r="H480" s="452">
        <f>SUM(H482)</f>
        <v>1236.7</v>
      </c>
      <c r="I480" s="452">
        <f>SUM(H480/G480*100)</f>
        <v>1.4686671670292712</v>
      </c>
      <c r="J480" s="446"/>
      <c r="K480" s="446"/>
      <c r="L480" s="453"/>
      <c r="M480" s="533">
        <f>SUM(M481:M482)</f>
        <v>88596.59999999999</v>
      </c>
    </row>
    <row r="481" spans="1:13" s="23" customFormat="1" ht="15">
      <c r="A481" s="109" t="s">
        <v>500</v>
      </c>
      <c r="B481" s="62"/>
      <c r="C481" s="524" t="s">
        <v>5</v>
      </c>
      <c r="D481" s="524" t="s">
        <v>106</v>
      </c>
      <c r="E481" s="530" t="s">
        <v>573</v>
      </c>
      <c r="F481" s="528" t="s">
        <v>120</v>
      </c>
      <c r="G481" s="532">
        <v>1263.1</v>
      </c>
      <c r="H481" s="452"/>
      <c r="I481" s="452"/>
      <c r="J481" s="446">
        <f>SUM('[2]ведомствен.2015-2016'!G380)</f>
        <v>1263.1</v>
      </c>
      <c r="K481" s="446">
        <f>SUM('[2]ведомствен.2015-2016'!H380)</f>
        <v>1328.9</v>
      </c>
      <c r="L481" s="453">
        <f>SUM(G481-J481)</f>
        <v>0</v>
      </c>
      <c r="M481" s="533">
        <v>1328.9</v>
      </c>
    </row>
    <row r="482" spans="1:13" s="23" customFormat="1" ht="14.25">
      <c r="A482" s="114" t="s">
        <v>505</v>
      </c>
      <c r="B482" s="133"/>
      <c r="C482" s="530" t="s">
        <v>5</v>
      </c>
      <c r="D482" s="530" t="s">
        <v>106</v>
      </c>
      <c r="E482" s="530" t="s">
        <v>573</v>
      </c>
      <c r="F482" s="531" t="s">
        <v>506</v>
      </c>
      <c r="G482" s="532">
        <v>82942.5</v>
      </c>
      <c r="H482" s="452">
        <v>1236.7</v>
      </c>
      <c r="I482" s="452">
        <f>SUM(H482/G482*100)</f>
        <v>1.4910329445097508</v>
      </c>
      <c r="J482" s="453">
        <f>SUM('[2]ведомствен.2015-2016'!G381)</f>
        <v>82942.5</v>
      </c>
      <c r="K482" s="453">
        <f>SUM('[2]ведомствен.2015-2016'!H381)</f>
        <v>87267.7</v>
      </c>
      <c r="L482" s="453">
        <f>SUM(G482-J482)</f>
        <v>0</v>
      </c>
      <c r="M482" s="533">
        <v>87267.7</v>
      </c>
    </row>
    <row r="483" spans="1:13" s="23" customFormat="1" ht="15">
      <c r="A483" s="114" t="s">
        <v>221</v>
      </c>
      <c r="B483" s="133"/>
      <c r="C483" s="530" t="s">
        <v>5</v>
      </c>
      <c r="D483" s="530" t="s">
        <v>106</v>
      </c>
      <c r="E483" s="530" t="s">
        <v>575</v>
      </c>
      <c r="F483" s="531"/>
      <c r="G483" s="532">
        <f>G484+G485</f>
        <v>2034.3</v>
      </c>
      <c r="H483" s="452">
        <f>SUM(H484)</f>
        <v>0</v>
      </c>
      <c r="I483" s="452">
        <f>SUM(H483/G483*100)</f>
        <v>0</v>
      </c>
      <c r="J483" s="446"/>
      <c r="K483" s="446"/>
      <c r="L483" s="453"/>
      <c r="M483" s="533">
        <f>M484+M485</f>
        <v>2034.3</v>
      </c>
    </row>
    <row r="484" spans="1:13" s="23" customFormat="1" ht="14.25" customHeight="1">
      <c r="A484" s="114" t="s">
        <v>505</v>
      </c>
      <c r="B484" s="133"/>
      <c r="C484" s="530" t="s">
        <v>5</v>
      </c>
      <c r="D484" s="530" t="s">
        <v>106</v>
      </c>
      <c r="E484" s="530" t="s">
        <v>575</v>
      </c>
      <c r="F484" s="531" t="s">
        <v>506</v>
      </c>
      <c r="G484" s="532">
        <v>2034.3</v>
      </c>
      <c r="H484" s="452"/>
      <c r="I484" s="452">
        <f>SUM(H484/G484*100)</f>
        <v>0</v>
      </c>
      <c r="J484" s="453">
        <f>SUM('[2]ведомствен.2015-2016'!G383)</f>
        <v>2034.3</v>
      </c>
      <c r="K484" s="453">
        <f>SUM('[2]ведомствен.2015-2016'!H383)</f>
        <v>2034.3</v>
      </c>
      <c r="L484" s="453">
        <f>SUM(G484-J484)</f>
        <v>0</v>
      </c>
      <c r="M484" s="533">
        <v>2034.3</v>
      </c>
    </row>
    <row r="485" spans="1:13" s="23" customFormat="1" ht="42.75" hidden="1">
      <c r="A485" s="114" t="s">
        <v>592</v>
      </c>
      <c r="B485" s="133"/>
      <c r="C485" s="530" t="s">
        <v>5</v>
      </c>
      <c r="D485" s="530" t="s">
        <v>106</v>
      </c>
      <c r="E485" s="530" t="s">
        <v>575</v>
      </c>
      <c r="F485" s="531" t="s">
        <v>513</v>
      </c>
      <c r="G485" s="532"/>
      <c r="H485" s="452">
        <f>SUM(H486)</f>
        <v>9549.8</v>
      </c>
      <c r="I485" s="452" t="e">
        <f>SUM(H485/G485*100)</f>
        <v>#DIV/0!</v>
      </c>
      <c r="J485" s="453">
        <f>SUM('[2]ведомствен.2015-2016'!G384)</f>
        <v>0</v>
      </c>
      <c r="K485" s="453">
        <f>SUM('[2]ведомствен.2015-2016'!H384)</f>
        <v>0</v>
      </c>
      <c r="L485" s="453">
        <f>SUM(G485-J485)</f>
        <v>0</v>
      </c>
      <c r="M485" s="533"/>
    </row>
    <row r="486" spans="1:13" s="23" customFormat="1" ht="28.5">
      <c r="A486" s="114" t="s">
        <v>289</v>
      </c>
      <c r="B486" s="133"/>
      <c r="C486" s="530" t="s">
        <v>5</v>
      </c>
      <c r="D486" s="530" t="s">
        <v>106</v>
      </c>
      <c r="E486" s="530" t="s">
        <v>577</v>
      </c>
      <c r="F486" s="531"/>
      <c r="G486" s="532">
        <f>G487+G490+G493+G496+G499+G502+G505+G508+G511+G514+G517+G520+G524</f>
        <v>439771</v>
      </c>
      <c r="H486" s="452">
        <f>SUM(H487)</f>
        <v>9549.8</v>
      </c>
      <c r="I486" s="452">
        <f>SUM(H486/G486*100)</f>
        <v>2.1715392783971654</v>
      </c>
      <c r="J486" s="446"/>
      <c r="K486" s="446"/>
      <c r="L486" s="453"/>
      <c r="M486" s="533">
        <f>M487+M490+M493+M496+M499+M502+M505+M508+M511+M514+M517+M520+M524</f>
        <v>450904.4000000001</v>
      </c>
    </row>
    <row r="487" spans="1:13" ht="57">
      <c r="A487" s="114" t="s">
        <v>468</v>
      </c>
      <c r="B487" s="133"/>
      <c r="C487" s="530" t="s">
        <v>5</v>
      </c>
      <c r="D487" s="530" t="s">
        <v>106</v>
      </c>
      <c r="E487" s="530" t="s">
        <v>578</v>
      </c>
      <c r="F487" s="531"/>
      <c r="G487" s="532">
        <f>SUM(G488:G489)</f>
        <v>1259.6000000000001</v>
      </c>
      <c r="H487" s="452">
        <v>9549.8</v>
      </c>
      <c r="I487" s="452">
        <f aca="true" t="shared" si="14" ref="I487:I501">SUM(H487/G487*100)</f>
        <v>758.1613210543028</v>
      </c>
      <c r="J487" s="453"/>
      <c r="K487" s="453"/>
      <c r="L487" s="453"/>
      <c r="M487" s="533">
        <f>SUM(M488:M489)</f>
        <v>1259.6000000000001</v>
      </c>
    </row>
    <row r="488" spans="1:13" ht="14.25">
      <c r="A488" s="109" t="s">
        <v>500</v>
      </c>
      <c r="B488" s="62"/>
      <c r="C488" s="524" t="s">
        <v>5</v>
      </c>
      <c r="D488" s="524" t="s">
        <v>106</v>
      </c>
      <c r="E488" s="530" t="s">
        <v>578</v>
      </c>
      <c r="F488" s="528" t="s">
        <v>120</v>
      </c>
      <c r="G488" s="532">
        <v>18.9</v>
      </c>
      <c r="H488" s="452"/>
      <c r="I488" s="452"/>
      <c r="J488" s="453">
        <f>SUM('[2]ведомствен.2015-2016'!G387)</f>
        <v>18.9</v>
      </c>
      <c r="K488" s="453">
        <f>SUM('[2]ведомствен.2015-2016'!H387)</f>
        <v>18.9</v>
      </c>
      <c r="L488" s="453">
        <f aca="true" t="shared" si="15" ref="L488:L551">SUM(G488-J488)</f>
        <v>0</v>
      </c>
      <c r="M488" s="533">
        <v>18.9</v>
      </c>
    </row>
    <row r="489" spans="1:13" ht="14.25">
      <c r="A489" s="114" t="s">
        <v>505</v>
      </c>
      <c r="B489" s="133"/>
      <c r="C489" s="530" t="s">
        <v>5</v>
      </c>
      <c r="D489" s="530" t="s">
        <v>106</v>
      </c>
      <c r="E489" s="530" t="s">
        <v>578</v>
      </c>
      <c r="F489" s="531" t="s">
        <v>506</v>
      </c>
      <c r="G489" s="532">
        <v>1240.7</v>
      </c>
      <c r="H489" s="452">
        <v>9549.8</v>
      </c>
      <c r="I489" s="452">
        <f t="shared" si="14"/>
        <v>769.7106472152816</v>
      </c>
      <c r="J489" s="453">
        <f>SUM('[2]ведомствен.2015-2016'!G388)</f>
        <v>1240.7</v>
      </c>
      <c r="K489" s="453">
        <f>SUM('[2]ведомствен.2015-2016'!H388)</f>
        <v>1240.7</v>
      </c>
      <c r="L489" s="453">
        <f t="shared" si="15"/>
        <v>0</v>
      </c>
      <c r="M489" s="533">
        <v>1240.7</v>
      </c>
    </row>
    <row r="490" spans="1:13" ht="28.5">
      <c r="A490" s="120" t="s">
        <v>469</v>
      </c>
      <c r="B490" s="133"/>
      <c r="C490" s="530" t="s">
        <v>5</v>
      </c>
      <c r="D490" s="530" t="s">
        <v>106</v>
      </c>
      <c r="E490" s="530" t="s">
        <v>579</v>
      </c>
      <c r="F490" s="531"/>
      <c r="G490" s="532">
        <f>SUM(G491:G492)</f>
        <v>59535.9</v>
      </c>
      <c r="H490" s="452">
        <v>56722</v>
      </c>
      <c r="I490" s="452">
        <f t="shared" si="14"/>
        <v>95.27360802473801</v>
      </c>
      <c r="J490" s="453"/>
      <c r="K490" s="453"/>
      <c r="L490" s="453"/>
      <c r="M490" s="533">
        <f>SUM(M491:M492)</f>
        <v>62477.899999999994</v>
      </c>
    </row>
    <row r="491" spans="1:13" ht="14.25">
      <c r="A491" s="109" t="s">
        <v>500</v>
      </c>
      <c r="B491" s="62"/>
      <c r="C491" s="524" t="s">
        <v>5</v>
      </c>
      <c r="D491" s="524" t="s">
        <v>106</v>
      </c>
      <c r="E491" s="530" t="s">
        <v>579</v>
      </c>
      <c r="F491" s="528" t="s">
        <v>120</v>
      </c>
      <c r="G491" s="532">
        <v>916.9</v>
      </c>
      <c r="H491" s="452"/>
      <c r="I491" s="452"/>
      <c r="J491" s="453">
        <f>SUM('[2]ведомствен.2015-2016'!G390)</f>
        <v>916.9</v>
      </c>
      <c r="K491" s="453">
        <f>SUM('[2]ведомствен.2015-2016'!H390)</f>
        <v>962.2</v>
      </c>
      <c r="L491" s="453">
        <f t="shared" si="15"/>
        <v>0</v>
      </c>
      <c r="M491" s="533">
        <v>962.2</v>
      </c>
    </row>
    <row r="492" spans="1:13" ht="14.25">
      <c r="A492" s="114" t="s">
        <v>505</v>
      </c>
      <c r="B492" s="133"/>
      <c r="C492" s="530" t="s">
        <v>5</v>
      </c>
      <c r="D492" s="530" t="s">
        <v>106</v>
      </c>
      <c r="E492" s="530" t="s">
        <v>579</v>
      </c>
      <c r="F492" s="531" t="s">
        <v>506</v>
      </c>
      <c r="G492" s="532">
        <v>58619</v>
      </c>
      <c r="H492" s="452">
        <f>SUM(H498)</f>
        <v>0</v>
      </c>
      <c r="I492" s="452">
        <f t="shared" si="14"/>
        <v>0</v>
      </c>
      <c r="J492" s="453">
        <f>SUM('[2]ведомствен.2015-2016'!G391)</f>
        <v>58619</v>
      </c>
      <c r="K492" s="453">
        <f>SUM('[2]ведомствен.2015-2016'!H391)</f>
        <v>61515.7</v>
      </c>
      <c r="L492" s="453">
        <f t="shared" si="15"/>
        <v>0</v>
      </c>
      <c r="M492" s="533">
        <v>61515.7</v>
      </c>
    </row>
    <row r="493" spans="1:13" s="14" customFormat="1" ht="71.25">
      <c r="A493" s="152" t="s">
        <v>470</v>
      </c>
      <c r="B493" s="133"/>
      <c r="C493" s="530" t="s">
        <v>5</v>
      </c>
      <c r="D493" s="530" t="s">
        <v>106</v>
      </c>
      <c r="E493" s="530" t="s">
        <v>580</v>
      </c>
      <c r="F493" s="531"/>
      <c r="G493" s="532">
        <f>SUM(G494:G495)</f>
        <v>52576.1</v>
      </c>
      <c r="H493" s="452"/>
      <c r="I493" s="452"/>
      <c r="J493" s="497"/>
      <c r="K493" s="497"/>
      <c r="L493" s="453"/>
      <c r="M493" s="533">
        <f>SUM(M494:M495)</f>
        <v>50891.799999999996</v>
      </c>
    </row>
    <row r="494" spans="1:13" s="14" customFormat="1" ht="14.25">
      <c r="A494" s="109" t="s">
        <v>500</v>
      </c>
      <c r="B494" s="62"/>
      <c r="C494" s="524" t="s">
        <v>5</v>
      </c>
      <c r="D494" s="524" t="s">
        <v>106</v>
      </c>
      <c r="E494" s="530" t="s">
        <v>580</v>
      </c>
      <c r="F494" s="528" t="s">
        <v>120</v>
      </c>
      <c r="G494" s="532">
        <v>778.1</v>
      </c>
      <c r="H494" s="452"/>
      <c r="I494" s="452"/>
      <c r="J494" s="497">
        <f>SUM('[2]ведомствен.2015-2016'!G393)</f>
        <v>778.1</v>
      </c>
      <c r="K494" s="497">
        <f>SUM('[2]ведомствен.2015-2016'!H393)</f>
        <v>753.2</v>
      </c>
      <c r="L494" s="453">
        <f t="shared" si="15"/>
        <v>0</v>
      </c>
      <c r="M494" s="533">
        <v>753.2</v>
      </c>
    </row>
    <row r="495" spans="1:13" s="14" customFormat="1" ht="14.25">
      <c r="A495" s="114" t="s">
        <v>505</v>
      </c>
      <c r="B495" s="133"/>
      <c r="C495" s="530" t="s">
        <v>5</v>
      </c>
      <c r="D495" s="530" t="s">
        <v>106</v>
      </c>
      <c r="E495" s="530" t="s">
        <v>580</v>
      </c>
      <c r="F495" s="531" t="s">
        <v>506</v>
      </c>
      <c r="G495" s="532">
        <v>51798</v>
      </c>
      <c r="H495" s="452"/>
      <c r="I495" s="452"/>
      <c r="J495" s="453">
        <f>SUM('[2]ведомствен.2015-2016'!G394)</f>
        <v>51798</v>
      </c>
      <c r="K495" s="453">
        <f>SUM('[2]ведомствен.2015-2016'!H394)</f>
        <v>50138.6</v>
      </c>
      <c r="L495" s="453">
        <f t="shared" si="15"/>
        <v>0</v>
      </c>
      <c r="M495" s="533">
        <v>50138.6</v>
      </c>
    </row>
    <row r="496" spans="1:13" s="14" customFormat="1" ht="85.5">
      <c r="A496" s="152" t="s">
        <v>581</v>
      </c>
      <c r="B496" s="133"/>
      <c r="C496" s="530" t="s">
        <v>5</v>
      </c>
      <c r="D496" s="530" t="s">
        <v>106</v>
      </c>
      <c r="E496" s="530" t="s">
        <v>582</v>
      </c>
      <c r="F496" s="531"/>
      <c r="G496" s="532">
        <f>SUM(G497:G498)</f>
        <v>174072.1</v>
      </c>
      <c r="H496" s="452"/>
      <c r="I496" s="452"/>
      <c r="J496" s="497"/>
      <c r="K496" s="497"/>
      <c r="L496" s="453"/>
      <c r="M496" s="533">
        <f>SUM(M497:M498)</f>
        <v>182775.4</v>
      </c>
    </row>
    <row r="497" spans="1:13" s="14" customFormat="1" ht="14.25">
      <c r="A497" s="109" t="s">
        <v>500</v>
      </c>
      <c r="B497" s="133"/>
      <c r="C497" s="530" t="s">
        <v>5</v>
      </c>
      <c r="D497" s="530" t="s">
        <v>106</v>
      </c>
      <c r="E497" s="530" t="s">
        <v>582</v>
      </c>
      <c r="F497" s="531" t="s">
        <v>120</v>
      </c>
      <c r="G497" s="532">
        <v>5849.4</v>
      </c>
      <c r="H497" s="452"/>
      <c r="I497" s="452"/>
      <c r="J497" s="497">
        <f>SUM('[2]ведомствен.2015-2016'!G396)</f>
        <v>5849.4</v>
      </c>
      <c r="K497" s="497">
        <f>SUM('[2]ведомствен.2015-2016'!H396)</f>
        <v>6141.6</v>
      </c>
      <c r="L497" s="453">
        <f t="shared" si="15"/>
        <v>0</v>
      </c>
      <c r="M497" s="533">
        <v>6141.6</v>
      </c>
    </row>
    <row r="498" spans="1:13" ht="14.25">
      <c r="A498" s="114" t="s">
        <v>505</v>
      </c>
      <c r="B498" s="133"/>
      <c r="C498" s="530" t="s">
        <v>5</v>
      </c>
      <c r="D498" s="530" t="s">
        <v>106</v>
      </c>
      <c r="E498" s="530" t="s">
        <v>582</v>
      </c>
      <c r="F498" s="531" t="s">
        <v>506</v>
      </c>
      <c r="G498" s="532">
        <v>168222.7</v>
      </c>
      <c r="H498" s="452">
        <f>SUM(H501)</f>
        <v>0</v>
      </c>
      <c r="I498" s="452">
        <f t="shared" si="14"/>
        <v>0</v>
      </c>
      <c r="J498" s="453">
        <f>SUM('[2]ведомствен.2015-2016'!G397)</f>
        <v>168222.7</v>
      </c>
      <c r="K498" s="453">
        <f>SUM('[2]ведомствен.2015-2016'!H397)</f>
        <v>176633.8</v>
      </c>
      <c r="L498" s="453">
        <f t="shared" si="15"/>
        <v>0</v>
      </c>
      <c r="M498" s="533">
        <v>176633.8</v>
      </c>
    </row>
    <row r="499" spans="1:13" ht="85.5">
      <c r="A499" s="120" t="s">
        <v>471</v>
      </c>
      <c r="B499" s="133"/>
      <c r="C499" s="530" t="s">
        <v>5</v>
      </c>
      <c r="D499" s="530" t="s">
        <v>106</v>
      </c>
      <c r="E499" s="530" t="s">
        <v>583</v>
      </c>
      <c r="F499" s="531"/>
      <c r="G499" s="532">
        <f>SUM(G500:G501)</f>
        <v>1536.3</v>
      </c>
      <c r="H499" s="452">
        <v>9549.8</v>
      </c>
      <c r="I499" s="452">
        <f t="shared" si="14"/>
        <v>621.610362559396</v>
      </c>
      <c r="J499" s="453"/>
      <c r="K499" s="453"/>
      <c r="L499" s="453"/>
      <c r="M499" s="533">
        <f>SUM(M500:M501)</f>
        <v>1536.3</v>
      </c>
    </row>
    <row r="500" spans="1:13" ht="14.25">
      <c r="A500" s="109" t="s">
        <v>500</v>
      </c>
      <c r="B500" s="133"/>
      <c r="C500" s="530" t="s">
        <v>5</v>
      </c>
      <c r="D500" s="530" t="s">
        <v>106</v>
      </c>
      <c r="E500" s="530" t="s">
        <v>583</v>
      </c>
      <c r="F500" s="531" t="s">
        <v>120</v>
      </c>
      <c r="G500" s="532">
        <v>23</v>
      </c>
      <c r="H500" s="452"/>
      <c r="I500" s="452"/>
      <c r="J500" s="453">
        <f>SUM('[2]ведомствен.2015-2016'!G399)</f>
        <v>23</v>
      </c>
      <c r="K500" s="453">
        <f>SUM('[2]ведомствен.2015-2016'!H399)</f>
        <v>23</v>
      </c>
      <c r="L500" s="453">
        <f t="shared" si="15"/>
        <v>0</v>
      </c>
      <c r="M500" s="533">
        <v>23</v>
      </c>
    </row>
    <row r="501" spans="1:13" s="14" customFormat="1" ht="14.25">
      <c r="A501" s="114" t="s">
        <v>505</v>
      </c>
      <c r="B501" s="133"/>
      <c r="C501" s="530" t="s">
        <v>5</v>
      </c>
      <c r="D501" s="530" t="s">
        <v>106</v>
      </c>
      <c r="E501" s="530" t="s">
        <v>583</v>
      </c>
      <c r="F501" s="531" t="s">
        <v>506</v>
      </c>
      <c r="G501" s="532">
        <v>1513.3</v>
      </c>
      <c r="H501" s="452"/>
      <c r="I501" s="452">
        <f t="shared" si="14"/>
        <v>0</v>
      </c>
      <c r="J501" s="453">
        <f>SUM('[2]ведомствен.2015-2016'!G400)</f>
        <v>1513.3</v>
      </c>
      <c r="K501" s="453">
        <f>SUM('[2]ведомствен.2015-2016'!H400)</f>
        <v>1513.3</v>
      </c>
      <c r="L501" s="453">
        <f t="shared" si="15"/>
        <v>0</v>
      </c>
      <c r="M501" s="533">
        <v>1513.3</v>
      </c>
    </row>
    <row r="502" spans="1:13" ht="99.75">
      <c r="A502" s="120" t="s">
        <v>472</v>
      </c>
      <c r="B502" s="133"/>
      <c r="C502" s="530" t="s">
        <v>5</v>
      </c>
      <c r="D502" s="530" t="s">
        <v>106</v>
      </c>
      <c r="E502" s="530" t="s">
        <v>584</v>
      </c>
      <c r="F502" s="531"/>
      <c r="G502" s="532">
        <f>SUM(G503:G504)</f>
        <v>10018.1</v>
      </c>
      <c r="H502" s="452"/>
      <c r="I502" s="452"/>
      <c r="J502" s="497"/>
      <c r="K502" s="497"/>
      <c r="L502" s="453"/>
      <c r="M502" s="533">
        <f>SUM(M503:M504)</f>
        <v>10518.9</v>
      </c>
    </row>
    <row r="503" spans="1:13" ht="14.25">
      <c r="A503" s="109" t="s">
        <v>500</v>
      </c>
      <c r="B503" s="133"/>
      <c r="C503" s="530" t="s">
        <v>5</v>
      </c>
      <c r="D503" s="530" t="s">
        <v>106</v>
      </c>
      <c r="E503" s="530" t="s">
        <v>584</v>
      </c>
      <c r="F503" s="531" t="s">
        <v>120</v>
      </c>
      <c r="G503" s="532">
        <v>330.6</v>
      </c>
      <c r="H503" s="452"/>
      <c r="I503" s="452"/>
      <c r="J503" s="497">
        <f>SUM('[2]ведомствен.2015-2016'!G402)</f>
        <v>330.6</v>
      </c>
      <c r="K503" s="497">
        <f>SUM('[2]ведомствен.2015-2016'!H402)</f>
        <v>347.1</v>
      </c>
      <c r="L503" s="453">
        <f t="shared" si="15"/>
        <v>0</v>
      </c>
      <c r="M503" s="533">
        <v>347.1</v>
      </c>
    </row>
    <row r="504" spans="1:13" ht="14.25">
      <c r="A504" s="114" t="s">
        <v>505</v>
      </c>
      <c r="B504" s="133"/>
      <c r="C504" s="530" t="s">
        <v>5</v>
      </c>
      <c r="D504" s="530" t="s">
        <v>106</v>
      </c>
      <c r="E504" s="530" t="s">
        <v>584</v>
      </c>
      <c r="F504" s="531" t="s">
        <v>506</v>
      </c>
      <c r="G504" s="532">
        <v>9687.5</v>
      </c>
      <c r="H504" s="452"/>
      <c r="I504" s="452"/>
      <c r="J504" s="453">
        <f>SUM('[2]ведомствен.2015-2016'!G403)</f>
        <v>9687.5</v>
      </c>
      <c r="K504" s="453">
        <f>SUM('[2]ведомствен.2015-2016'!H403)</f>
        <v>10171.8</v>
      </c>
      <c r="L504" s="453">
        <f t="shared" si="15"/>
        <v>0</v>
      </c>
      <c r="M504" s="533">
        <v>10171.8</v>
      </c>
    </row>
    <row r="505" spans="1:13" s="23" customFormat="1" ht="57">
      <c r="A505" s="114" t="s">
        <v>473</v>
      </c>
      <c r="B505" s="133"/>
      <c r="C505" s="530" t="s">
        <v>5</v>
      </c>
      <c r="D505" s="530" t="s">
        <v>106</v>
      </c>
      <c r="E505" s="530" t="s">
        <v>585</v>
      </c>
      <c r="F505" s="531"/>
      <c r="G505" s="532">
        <f>SUM(G506:G507)</f>
        <v>120441.6</v>
      </c>
      <c r="H505" s="452" t="e">
        <f>SUM(H514+H565+H598+H617)+#REF!+H591+H610+H607+H507+#REF!</f>
        <v>#REF!</v>
      </c>
      <c r="I505" s="452" t="e">
        <f>SUM(H505/G505*100)</f>
        <v>#REF!</v>
      </c>
      <c r="J505" s="446"/>
      <c r="K505" s="446"/>
      <c r="L505" s="453"/>
      <c r="M505" s="533">
        <f>SUM(M506:M507)</f>
        <v>120441.6</v>
      </c>
    </row>
    <row r="506" spans="1:13" s="23" customFormat="1" ht="15">
      <c r="A506" s="109" t="s">
        <v>500</v>
      </c>
      <c r="B506" s="133"/>
      <c r="C506" s="530" t="s">
        <v>5</v>
      </c>
      <c r="D506" s="530" t="s">
        <v>106</v>
      </c>
      <c r="E506" s="530" t="s">
        <v>585</v>
      </c>
      <c r="F506" s="531" t="s">
        <v>120</v>
      </c>
      <c r="G506" s="532">
        <v>1782.6</v>
      </c>
      <c r="H506" s="452"/>
      <c r="I506" s="452"/>
      <c r="J506" s="446">
        <f>SUM('[2]ведомствен.2015-2016'!G405)</f>
        <v>1782.6</v>
      </c>
      <c r="K506" s="446">
        <f>SUM('[2]ведомствен.2015-2016'!H405)</f>
        <v>1782.6</v>
      </c>
      <c r="L506" s="453">
        <f t="shared" si="15"/>
        <v>0</v>
      </c>
      <c r="M506" s="533">
        <v>1782.6</v>
      </c>
    </row>
    <row r="507" spans="1:13" s="23" customFormat="1" ht="14.25">
      <c r="A507" s="114" t="s">
        <v>505</v>
      </c>
      <c r="B507" s="133"/>
      <c r="C507" s="530" t="s">
        <v>5</v>
      </c>
      <c r="D507" s="530" t="s">
        <v>106</v>
      </c>
      <c r="E507" s="530" t="s">
        <v>585</v>
      </c>
      <c r="F507" s="531" t="s">
        <v>506</v>
      </c>
      <c r="G507" s="532">
        <v>118659</v>
      </c>
      <c r="H507" s="452">
        <f>SUM(H508+H511)</f>
        <v>0</v>
      </c>
      <c r="I507" s="452">
        <f>SUM(H507/G507*100)</f>
        <v>0</v>
      </c>
      <c r="J507" s="453">
        <f>SUM('[2]ведомствен.2015-2016'!G406)</f>
        <v>118659</v>
      </c>
      <c r="K507" s="453">
        <f>SUM('[2]ведомствен.2015-2016'!H406)</f>
        <v>118659</v>
      </c>
      <c r="L507" s="453">
        <f t="shared" si="15"/>
        <v>0</v>
      </c>
      <c r="M507" s="533">
        <v>118659</v>
      </c>
    </row>
    <row r="508" spans="1:13" ht="85.5">
      <c r="A508" s="114" t="s">
        <v>474</v>
      </c>
      <c r="B508" s="133"/>
      <c r="C508" s="530" t="s">
        <v>5</v>
      </c>
      <c r="D508" s="530" t="s">
        <v>106</v>
      </c>
      <c r="E508" s="530" t="s">
        <v>586</v>
      </c>
      <c r="F508" s="531"/>
      <c r="G508" s="532">
        <f>SUM(G509:G510)</f>
        <v>1029.4</v>
      </c>
      <c r="H508" s="452">
        <f>SUM(H510)</f>
        <v>0</v>
      </c>
      <c r="I508" s="452">
        <f>SUM(H508/G508*100)</f>
        <v>0</v>
      </c>
      <c r="J508" s="453"/>
      <c r="K508" s="453"/>
      <c r="L508" s="453"/>
      <c r="M508" s="533">
        <f>SUM(M509:M510)</f>
        <v>1080.9</v>
      </c>
    </row>
    <row r="509" spans="1:13" ht="14.25">
      <c r="A509" s="109" t="s">
        <v>500</v>
      </c>
      <c r="B509" s="133"/>
      <c r="C509" s="530" t="s">
        <v>5</v>
      </c>
      <c r="D509" s="530" t="s">
        <v>106</v>
      </c>
      <c r="E509" s="530" t="s">
        <v>586</v>
      </c>
      <c r="F509" s="531" t="s">
        <v>120</v>
      </c>
      <c r="G509" s="532">
        <v>70</v>
      </c>
      <c r="H509" s="452"/>
      <c r="I509" s="452"/>
      <c r="J509" s="453">
        <f>SUM('[2]ведомствен.2015-2016'!G408)</f>
        <v>70</v>
      </c>
      <c r="K509" s="453">
        <f>SUM('[2]ведомствен.2015-2016'!H408)</f>
        <v>73.5</v>
      </c>
      <c r="L509" s="453">
        <f t="shared" si="15"/>
        <v>0</v>
      </c>
      <c r="M509" s="533">
        <v>73.5</v>
      </c>
    </row>
    <row r="510" spans="1:13" ht="14.25">
      <c r="A510" s="114" t="s">
        <v>505</v>
      </c>
      <c r="B510" s="133"/>
      <c r="C510" s="530" t="s">
        <v>5</v>
      </c>
      <c r="D510" s="530" t="s">
        <v>106</v>
      </c>
      <c r="E510" s="530" t="s">
        <v>586</v>
      </c>
      <c r="F510" s="531" t="s">
        <v>506</v>
      </c>
      <c r="G510" s="532">
        <v>959.4</v>
      </c>
      <c r="H510" s="452"/>
      <c r="I510" s="452">
        <f>SUM(H510/G510*100)</f>
        <v>0</v>
      </c>
      <c r="J510" s="453">
        <f>SUM('[2]ведомствен.2015-2016'!G409)</f>
        <v>959.4</v>
      </c>
      <c r="K510" s="453">
        <f>SUM('[2]ведомствен.2015-2016'!H409)</f>
        <v>1007.4</v>
      </c>
      <c r="L510" s="453">
        <f t="shared" si="15"/>
        <v>0</v>
      </c>
      <c r="M510" s="533">
        <v>1007.4</v>
      </c>
    </row>
    <row r="511" spans="1:13" ht="71.25">
      <c r="A511" s="114" t="s">
        <v>587</v>
      </c>
      <c r="B511" s="133"/>
      <c r="C511" s="530" t="s">
        <v>5</v>
      </c>
      <c r="D511" s="530" t="s">
        <v>106</v>
      </c>
      <c r="E511" s="530" t="s">
        <v>588</v>
      </c>
      <c r="F511" s="531"/>
      <c r="G511" s="532">
        <f>SUM(G512:G513)</f>
        <v>243.4</v>
      </c>
      <c r="H511" s="452">
        <f>SUM(H513)</f>
        <v>0</v>
      </c>
      <c r="I511" s="452">
        <f>SUM(H511/G511*100)</f>
        <v>0</v>
      </c>
      <c r="J511" s="453"/>
      <c r="K511" s="453"/>
      <c r="L511" s="453"/>
      <c r="M511" s="533">
        <f>SUM(M512:M513)</f>
        <v>243.4</v>
      </c>
    </row>
    <row r="512" spans="1:13" ht="14.25">
      <c r="A512" s="109" t="s">
        <v>500</v>
      </c>
      <c r="B512" s="133"/>
      <c r="C512" s="530" t="s">
        <v>5</v>
      </c>
      <c r="D512" s="530" t="s">
        <v>106</v>
      </c>
      <c r="E512" s="530" t="s">
        <v>588</v>
      </c>
      <c r="F512" s="531" t="s">
        <v>120</v>
      </c>
      <c r="G512" s="532">
        <v>3.6</v>
      </c>
      <c r="H512" s="452"/>
      <c r="I512" s="452"/>
      <c r="J512" s="453">
        <f>SUM('[2]ведомствен.2015-2016'!G411)</f>
        <v>3.6</v>
      </c>
      <c r="K512" s="453">
        <f>SUM('[2]ведомствен.2015-2016'!H411)</f>
        <v>3.6</v>
      </c>
      <c r="L512" s="453">
        <f t="shared" si="15"/>
        <v>0</v>
      </c>
      <c r="M512" s="533">
        <v>3.6</v>
      </c>
    </row>
    <row r="513" spans="1:13" ht="14.25">
      <c r="A513" s="114" t="s">
        <v>505</v>
      </c>
      <c r="B513" s="133"/>
      <c r="C513" s="530" t="s">
        <v>5</v>
      </c>
      <c r="D513" s="530" t="s">
        <v>106</v>
      </c>
      <c r="E513" s="530" t="s">
        <v>588</v>
      </c>
      <c r="F513" s="531" t="s">
        <v>506</v>
      </c>
      <c r="G513" s="532">
        <v>239.8</v>
      </c>
      <c r="H513" s="452"/>
      <c r="I513" s="452">
        <f>SUM(H513/G513*100)</f>
        <v>0</v>
      </c>
      <c r="J513" s="453">
        <f>SUM('[2]ведомствен.2015-2016'!G412)</f>
        <v>239.8</v>
      </c>
      <c r="K513" s="453">
        <f>SUM('[2]ведомствен.2015-2016'!H412)</f>
        <v>239.8</v>
      </c>
      <c r="L513" s="453">
        <f t="shared" si="15"/>
        <v>0</v>
      </c>
      <c r="M513" s="533">
        <v>239.8</v>
      </c>
    </row>
    <row r="514" spans="1:13" s="23" customFormat="1" ht="57">
      <c r="A514" s="114" t="s">
        <v>475</v>
      </c>
      <c r="B514" s="133"/>
      <c r="C514" s="530" t="s">
        <v>5</v>
      </c>
      <c r="D514" s="530" t="s">
        <v>106</v>
      </c>
      <c r="E514" s="530" t="s">
        <v>589</v>
      </c>
      <c r="F514" s="531"/>
      <c r="G514" s="532">
        <f>SUM(G515:G516)</f>
        <v>6813.8</v>
      </c>
      <c r="H514" s="452">
        <f>SUM(H541)</f>
        <v>260775.1</v>
      </c>
      <c r="I514" s="452">
        <f>SUM(H514/G514*100)</f>
        <v>3827.1610555050047</v>
      </c>
      <c r="J514" s="446"/>
      <c r="K514" s="446"/>
      <c r="L514" s="453"/>
      <c r="M514" s="533">
        <f>SUM(M515:M516)</f>
        <v>7154.4</v>
      </c>
    </row>
    <row r="515" spans="1:13" s="23" customFormat="1" ht="15">
      <c r="A515" s="109" t="s">
        <v>500</v>
      </c>
      <c r="B515" s="133"/>
      <c r="C515" s="530" t="s">
        <v>5</v>
      </c>
      <c r="D515" s="530" t="s">
        <v>106</v>
      </c>
      <c r="E515" s="530" t="s">
        <v>589</v>
      </c>
      <c r="F515" s="531" t="s">
        <v>120</v>
      </c>
      <c r="G515" s="532">
        <v>218</v>
      </c>
      <c r="H515" s="452"/>
      <c r="I515" s="452"/>
      <c r="J515" s="446">
        <f>SUM('[2]ведомствен.2015-2016'!G414)</f>
        <v>218</v>
      </c>
      <c r="K515" s="446">
        <f>SUM('[2]ведомствен.2015-2016'!H414)</f>
        <v>228.9</v>
      </c>
      <c r="L515" s="453">
        <f t="shared" si="15"/>
        <v>0</v>
      </c>
      <c r="M515" s="533">
        <v>228.9</v>
      </c>
    </row>
    <row r="516" spans="1:13" s="23" customFormat="1" ht="14.25">
      <c r="A516" s="114" t="s">
        <v>505</v>
      </c>
      <c r="B516" s="133"/>
      <c r="C516" s="530" t="s">
        <v>5</v>
      </c>
      <c r="D516" s="530" t="s">
        <v>106</v>
      </c>
      <c r="E516" s="530" t="s">
        <v>589</v>
      </c>
      <c r="F516" s="531" t="s">
        <v>506</v>
      </c>
      <c r="G516" s="532">
        <v>6595.8</v>
      </c>
      <c r="H516" s="452"/>
      <c r="I516" s="452"/>
      <c r="J516" s="453">
        <f>SUM('[2]ведомствен.2015-2016'!G415)</f>
        <v>6595.8</v>
      </c>
      <c r="K516" s="453">
        <f>SUM('[2]ведомствен.2015-2016'!H415)</f>
        <v>6925.5</v>
      </c>
      <c r="L516" s="453">
        <f t="shared" si="15"/>
        <v>0</v>
      </c>
      <c r="M516" s="533">
        <v>6925.5</v>
      </c>
    </row>
    <row r="517" spans="1:13" ht="42.75">
      <c r="A517" s="114" t="s">
        <v>476</v>
      </c>
      <c r="B517" s="133"/>
      <c r="C517" s="530" t="s">
        <v>5</v>
      </c>
      <c r="D517" s="530" t="s">
        <v>106</v>
      </c>
      <c r="E517" s="530" t="s">
        <v>590</v>
      </c>
      <c r="F517" s="531"/>
      <c r="G517" s="532">
        <f>SUM(G518:G519)</f>
        <v>5357.2</v>
      </c>
      <c r="H517" s="452"/>
      <c r="I517" s="452"/>
      <c r="J517" s="453"/>
      <c r="K517" s="453"/>
      <c r="L517" s="453"/>
      <c r="M517" s="533">
        <f>SUM(M518:M519)</f>
        <v>5357.2</v>
      </c>
    </row>
    <row r="518" spans="1:13" ht="14.25">
      <c r="A518" s="109" t="s">
        <v>500</v>
      </c>
      <c r="B518" s="133"/>
      <c r="C518" s="530" t="s">
        <v>5</v>
      </c>
      <c r="D518" s="530" t="s">
        <v>106</v>
      </c>
      <c r="E518" s="530" t="s">
        <v>590</v>
      </c>
      <c r="F518" s="531" t="s">
        <v>120</v>
      </c>
      <c r="G518" s="532">
        <v>75</v>
      </c>
      <c r="H518" s="452"/>
      <c r="I518" s="452"/>
      <c r="J518" s="453">
        <f>SUM('[2]ведомствен.2015-2016'!G417)</f>
        <v>75</v>
      </c>
      <c r="K518" s="453">
        <f>SUM('[2]ведомствен.2015-2016'!H417)</f>
        <v>75</v>
      </c>
      <c r="L518" s="453">
        <f t="shared" si="15"/>
        <v>0</v>
      </c>
      <c r="M518" s="533">
        <v>75</v>
      </c>
    </row>
    <row r="519" spans="1:13" ht="14.25">
      <c r="A519" s="114" t="s">
        <v>505</v>
      </c>
      <c r="B519" s="133"/>
      <c r="C519" s="530" t="s">
        <v>5</v>
      </c>
      <c r="D519" s="530" t="s">
        <v>106</v>
      </c>
      <c r="E519" s="530" t="s">
        <v>590</v>
      </c>
      <c r="F519" s="531" t="s">
        <v>506</v>
      </c>
      <c r="G519" s="532">
        <v>5282.2</v>
      </c>
      <c r="H519" s="452"/>
      <c r="I519" s="452"/>
      <c r="J519" s="453">
        <f>SUM('[2]ведомствен.2015-2016'!G418)</f>
        <v>5282.2</v>
      </c>
      <c r="K519" s="453">
        <f>SUM('[2]ведомствен.2015-2016'!H418)</f>
        <v>5282.2</v>
      </c>
      <c r="L519" s="453">
        <f t="shared" si="15"/>
        <v>0</v>
      </c>
      <c r="M519" s="533">
        <v>5282.2</v>
      </c>
    </row>
    <row r="520" spans="1:13" s="23" customFormat="1" ht="42.75">
      <c r="A520" s="120" t="s">
        <v>477</v>
      </c>
      <c r="B520" s="133"/>
      <c r="C520" s="530" t="s">
        <v>5</v>
      </c>
      <c r="D520" s="530" t="s">
        <v>106</v>
      </c>
      <c r="E520" s="530" t="s">
        <v>591</v>
      </c>
      <c r="F520" s="531"/>
      <c r="G520" s="532">
        <f>SUM(G521:G523)</f>
        <v>1791.1</v>
      </c>
      <c r="H520" s="452"/>
      <c r="I520" s="452"/>
      <c r="J520" s="446"/>
      <c r="K520" s="446"/>
      <c r="L520" s="453"/>
      <c r="M520" s="533">
        <f>SUM(M521:M523)</f>
        <v>1815.8000000000002</v>
      </c>
    </row>
    <row r="521" spans="1:13" s="23" customFormat="1" ht="15">
      <c r="A521" s="109" t="s">
        <v>500</v>
      </c>
      <c r="B521" s="133"/>
      <c r="C521" s="530" t="s">
        <v>5</v>
      </c>
      <c r="D521" s="530" t="s">
        <v>106</v>
      </c>
      <c r="E521" s="530" t="s">
        <v>591</v>
      </c>
      <c r="F521" s="531" t="s">
        <v>120</v>
      </c>
      <c r="G521" s="532">
        <v>26</v>
      </c>
      <c r="H521" s="452"/>
      <c r="I521" s="452"/>
      <c r="J521" s="446">
        <f>SUM('[2]ведомствен.2015-2016'!G420)</f>
        <v>26</v>
      </c>
      <c r="K521" s="446">
        <f>SUM('[2]ведомствен.2015-2016'!H420)</f>
        <v>26.4</v>
      </c>
      <c r="L521" s="453">
        <f t="shared" si="15"/>
        <v>0</v>
      </c>
      <c r="M521" s="533">
        <v>26.4</v>
      </c>
    </row>
    <row r="522" spans="1:13" s="23" customFormat="1" ht="14.25">
      <c r="A522" s="114" t="s">
        <v>505</v>
      </c>
      <c r="B522" s="133"/>
      <c r="C522" s="530" t="s">
        <v>5</v>
      </c>
      <c r="D522" s="530" t="s">
        <v>106</v>
      </c>
      <c r="E522" s="530" t="s">
        <v>591</v>
      </c>
      <c r="F522" s="531" t="s">
        <v>506</v>
      </c>
      <c r="G522" s="532">
        <v>1477.5</v>
      </c>
      <c r="H522" s="452"/>
      <c r="I522" s="452"/>
      <c r="J522" s="453">
        <f>SUM('[2]ведомствен.2015-2016'!G421)</f>
        <v>1477.5</v>
      </c>
      <c r="K522" s="453">
        <f>SUM('[2]ведомствен.2015-2016'!H421)</f>
        <v>1501.8</v>
      </c>
      <c r="L522" s="453">
        <f t="shared" si="15"/>
        <v>0</v>
      </c>
      <c r="M522" s="533">
        <v>1501.8</v>
      </c>
    </row>
    <row r="523" spans="1:13" s="23" customFormat="1" ht="42.75">
      <c r="A523" s="114" t="s">
        <v>592</v>
      </c>
      <c r="B523" s="133"/>
      <c r="C523" s="530" t="s">
        <v>5</v>
      </c>
      <c r="D523" s="530" t="s">
        <v>106</v>
      </c>
      <c r="E523" s="530" t="s">
        <v>591</v>
      </c>
      <c r="F523" s="531" t="s">
        <v>513</v>
      </c>
      <c r="G523" s="532">
        <v>287.6</v>
      </c>
      <c r="H523" s="452"/>
      <c r="I523" s="452"/>
      <c r="J523" s="453">
        <f>SUM('[2]ведомствен.2015-2016'!G422)</f>
        <v>287.6</v>
      </c>
      <c r="K523" s="453">
        <f>SUM('[2]ведомствен.2015-2016'!H422)</f>
        <v>287.6</v>
      </c>
      <c r="L523" s="453">
        <f t="shared" si="15"/>
        <v>0</v>
      </c>
      <c r="M523" s="533">
        <v>287.6</v>
      </c>
    </row>
    <row r="524" spans="1:13" s="14" customFormat="1" ht="42.75">
      <c r="A524" s="114" t="s">
        <v>478</v>
      </c>
      <c r="B524" s="133"/>
      <c r="C524" s="530" t="s">
        <v>5</v>
      </c>
      <c r="D524" s="530" t="s">
        <v>106</v>
      </c>
      <c r="E524" s="530" t="s">
        <v>593</v>
      </c>
      <c r="F524" s="531"/>
      <c r="G524" s="532">
        <f>SUM(G525:G526)</f>
        <v>5096.4</v>
      </c>
      <c r="H524" s="452"/>
      <c r="I524" s="452"/>
      <c r="J524" s="497"/>
      <c r="K524" s="497"/>
      <c r="L524" s="453"/>
      <c r="M524" s="533">
        <f>SUM(M525:M526)</f>
        <v>5351.2</v>
      </c>
    </row>
    <row r="525" spans="1:13" s="14" customFormat="1" ht="14.25">
      <c r="A525" s="109" t="s">
        <v>500</v>
      </c>
      <c r="B525" s="133"/>
      <c r="C525" s="530" t="s">
        <v>5</v>
      </c>
      <c r="D525" s="530" t="s">
        <v>106</v>
      </c>
      <c r="E525" s="530" t="s">
        <v>593</v>
      </c>
      <c r="F525" s="531" t="s">
        <v>120</v>
      </c>
      <c r="G525" s="532">
        <v>76.4</v>
      </c>
      <c r="H525" s="452"/>
      <c r="I525" s="452"/>
      <c r="J525" s="497">
        <f>SUM('[2]ведомствен.2015-2016'!G424)</f>
        <v>76.4</v>
      </c>
      <c r="K525" s="497">
        <f>SUM('[2]ведомствен.2015-2016'!H424)</f>
        <v>80.3</v>
      </c>
      <c r="L525" s="453">
        <f t="shared" si="15"/>
        <v>0</v>
      </c>
      <c r="M525" s="533">
        <v>80.3</v>
      </c>
    </row>
    <row r="526" spans="1:13" s="14" customFormat="1" ht="14.25">
      <c r="A526" s="114" t="s">
        <v>505</v>
      </c>
      <c r="B526" s="133"/>
      <c r="C526" s="530" t="s">
        <v>5</v>
      </c>
      <c r="D526" s="530" t="s">
        <v>106</v>
      </c>
      <c r="E526" s="530" t="s">
        <v>593</v>
      </c>
      <c r="F526" s="531" t="s">
        <v>506</v>
      </c>
      <c r="G526" s="532">
        <v>5020</v>
      </c>
      <c r="H526" s="452"/>
      <c r="I526" s="452"/>
      <c r="J526" s="453">
        <f>SUM('[2]ведомствен.2015-2016'!G425)</f>
        <v>5020</v>
      </c>
      <c r="K526" s="453">
        <f>SUM('[2]ведомствен.2015-2016'!H425)</f>
        <v>5270.9</v>
      </c>
      <c r="L526" s="453">
        <f t="shared" si="15"/>
        <v>0</v>
      </c>
      <c r="M526" s="533">
        <v>5270.9</v>
      </c>
    </row>
    <row r="527" spans="1:13" s="14" customFormat="1" ht="42.75">
      <c r="A527" s="498" t="s">
        <v>615</v>
      </c>
      <c r="B527" s="498"/>
      <c r="C527" s="489" t="s">
        <v>5</v>
      </c>
      <c r="D527" s="490" t="s">
        <v>106</v>
      </c>
      <c r="E527" s="490" t="s">
        <v>183</v>
      </c>
      <c r="F527" s="509"/>
      <c r="G527" s="510">
        <f>SUM(G528)</f>
        <v>9455.7</v>
      </c>
      <c r="H527" s="452"/>
      <c r="I527" s="452"/>
      <c r="J527" s="497"/>
      <c r="K527" s="497"/>
      <c r="L527" s="453"/>
      <c r="M527" s="510">
        <f>SUM(M528)</f>
        <v>9455.7</v>
      </c>
    </row>
    <row r="528" spans="1:13" s="14" customFormat="1" ht="14.25">
      <c r="A528" s="498" t="s">
        <v>505</v>
      </c>
      <c r="B528" s="498"/>
      <c r="C528" s="489" t="s">
        <v>5</v>
      </c>
      <c r="D528" s="490" t="s">
        <v>106</v>
      </c>
      <c r="E528" s="490" t="s">
        <v>183</v>
      </c>
      <c r="F528" s="509" t="s">
        <v>506</v>
      </c>
      <c r="G528" s="510">
        <v>9455.7</v>
      </c>
      <c r="H528" s="452"/>
      <c r="I528" s="452"/>
      <c r="J528" s="453">
        <f>SUM('[2]ведомствен.2015-2016'!G590)</f>
        <v>9455.7</v>
      </c>
      <c r="K528" s="453">
        <f>SUM('[2]ведомствен.2015-2016'!H590)</f>
        <v>9455.7</v>
      </c>
      <c r="L528" s="453">
        <f t="shared" si="15"/>
        <v>0</v>
      </c>
      <c r="M528" s="510">
        <v>9455.7</v>
      </c>
    </row>
    <row r="529" spans="1:13" ht="28.5">
      <c r="A529" s="475" t="s">
        <v>184</v>
      </c>
      <c r="B529" s="476"/>
      <c r="C529" s="477" t="s">
        <v>5</v>
      </c>
      <c r="D529" s="478" t="s">
        <v>106</v>
      </c>
      <c r="E529" s="478" t="s">
        <v>185</v>
      </c>
      <c r="F529" s="479"/>
      <c r="G529" s="533">
        <f>SUM(G530)</f>
        <v>492</v>
      </c>
      <c r="H529" s="452"/>
      <c r="I529" s="452"/>
      <c r="J529" s="453"/>
      <c r="K529" s="453"/>
      <c r="L529" s="453"/>
      <c r="M529" s="533">
        <f>SUM(M530)</f>
        <v>787.8</v>
      </c>
    </row>
    <row r="530" spans="1:13" ht="14.25">
      <c r="A530" s="475" t="s">
        <v>186</v>
      </c>
      <c r="B530" s="476"/>
      <c r="C530" s="477" t="s">
        <v>5</v>
      </c>
      <c r="D530" s="478" t="s">
        <v>106</v>
      </c>
      <c r="E530" s="478" t="s">
        <v>187</v>
      </c>
      <c r="F530" s="479"/>
      <c r="G530" s="533">
        <f>SUM(G531:G532)</f>
        <v>492</v>
      </c>
      <c r="H530" s="452"/>
      <c r="I530" s="452"/>
      <c r="J530" s="453"/>
      <c r="K530" s="453"/>
      <c r="L530" s="453"/>
      <c r="M530" s="533">
        <f>SUM(M531:M532)</f>
        <v>787.8</v>
      </c>
    </row>
    <row r="531" spans="1:13" ht="14.25">
      <c r="A531" s="109" t="s">
        <v>500</v>
      </c>
      <c r="B531" s="133"/>
      <c r="C531" s="530" t="s">
        <v>5</v>
      </c>
      <c r="D531" s="530" t="s">
        <v>106</v>
      </c>
      <c r="E531" s="530" t="s">
        <v>187</v>
      </c>
      <c r="F531" s="531" t="s">
        <v>120</v>
      </c>
      <c r="G531" s="533">
        <v>102</v>
      </c>
      <c r="H531" s="452"/>
      <c r="I531" s="452"/>
      <c r="J531" s="453">
        <f>SUM('[2]ведомствен.2015-2016'!G428)</f>
        <v>102</v>
      </c>
      <c r="K531" s="453">
        <f>SUM('[2]ведомствен.2015-2016'!H428)</f>
        <v>397.8</v>
      </c>
      <c r="L531" s="453"/>
      <c r="M531" s="533">
        <v>397.8</v>
      </c>
    </row>
    <row r="532" spans="1:13" s="23" customFormat="1" ht="15">
      <c r="A532" s="475" t="s">
        <v>505</v>
      </c>
      <c r="B532" s="476"/>
      <c r="C532" s="477" t="s">
        <v>5</v>
      </c>
      <c r="D532" s="478" t="s">
        <v>106</v>
      </c>
      <c r="E532" s="478" t="s">
        <v>187</v>
      </c>
      <c r="F532" s="479" t="s">
        <v>506</v>
      </c>
      <c r="G532" s="533">
        <v>390</v>
      </c>
      <c r="H532" s="452"/>
      <c r="I532" s="452"/>
      <c r="J532" s="446">
        <f>SUM('[2]ведомствен.2015-2016'!G429)</f>
        <v>390</v>
      </c>
      <c r="K532" s="446">
        <f>SUM('[2]ведомствен.2015-2016'!H429)</f>
        <v>390</v>
      </c>
      <c r="L532" s="453">
        <f t="shared" si="15"/>
        <v>0</v>
      </c>
      <c r="M532" s="533">
        <v>390</v>
      </c>
    </row>
    <row r="533" spans="1:13" s="23" customFormat="1" ht="15">
      <c r="A533" s="475" t="s">
        <v>594</v>
      </c>
      <c r="B533" s="476"/>
      <c r="C533" s="477" t="s">
        <v>5</v>
      </c>
      <c r="D533" s="478" t="s">
        <v>106</v>
      </c>
      <c r="E533" s="478" t="s">
        <v>129</v>
      </c>
      <c r="F533" s="479"/>
      <c r="G533" s="533">
        <f>G534</f>
        <v>295.8</v>
      </c>
      <c r="H533" s="452"/>
      <c r="I533" s="452"/>
      <c r="J533" s="446"/>
      <c r="K533" s="446"/>
      <c r="L533" s="453"/>
      <c r="M533" s="533">
        <f>M534</f>
        <v>0</v>
      </c>
    </row>
    <row r="534" spans="1:13" s="23" customFormat="1" ht="19.5" customHeight="1">
      <c r="A534" s="114" t="s">
        <v>685</v>
      </c>
      <c r="B534" s="476"/>
      <c r="C534" s="477" t="s">
        <v>5</v>
      </c>
      <c r="D534" s="478" t="s">
        <v>106</v>
      </c>
      <c r="E534" s="478" t="s">
        <v>595</v>
      </c>
      <c r="F534" s="479"/>
      <c r="G534" s="533">
        <f>G535</f>
        <v>295.8</v>
      </c>
      <c r="H534" s="452"/>
      <c r="I534" s="452"/>
      <c r="J534" s="446"/>
      <c r="K534" s="446"/>
      <c r="L534" s="453"/>
      <c r="M534" s="533">
        <f>M535</f>
        <v>0</v>
      </c>
    </row>
    <row r="535" spans="1:13" s="23" customFormat="1" ht="15">
      <c r="A535" s="109" t="s">
        <v>500</v>
      </c>
      <c r="B535" s="476"/>
      <c r="C535" s="477" t="s">
        <v>5</v>
      </c>
      <c r="D535" s="478" t="s">
        <v>106</v>
      </c>
      <c r="E535" s="478" t="s">
        <v>595</v>
      </c>
      <c r="F535" s="531" t="s">
        <v>120</v>
      </c>
      <c r="G535" s="533">
        <v>295.8</v>
      </c>
      <c r="H535" s="452"/>
      <c r="I535" s="452"/>
      <c r="J535" s="446">
        <f>SUM('[2]ведомствен.2015-2016'!G432)</f>
        <v>295.8</v>
      </c>
      <c r="K535" s="446">
        <f>SUM('[2]ведомствен.2015-2016'!H432)</f>
        <v>0</v>
      </c>
      <c r="L535" s="453">
        <f t="shared" si="15"/>
        <v>0</v>
      </c>
      <c r="M535" s="533"/>
    </row>
    <row r="536" spans="1:13" s="23" customFormat="1" ht="15">
      <c r="A536" s="517" t="s">
        <v>158</v>
      </c>
      <c r="B536" s="476"/>
      <c r="C536" s="477" t="s">
        <v>5</v>
      </c>
      <c r="D536" s="478" t="s">
        <v>122</v>
      </c>
      <c r="E536" s="478"/>
      <c r="F536" s="479"/>
      <c r="G536" s="533">
        <f>SUM(G546)+G537</f>
        <v>88744.7</v>
      </c>
      <c r="H536" s="452"/>
      <c r="I536" s="452"/>
      <c r="J536" s="446"/>
      <c r="K536" s="446"/>
      <c r="L536" s="453"/>
      <c r="M536" s="533">
        <f>SUM(M546)+M537</f>
        <v>90735.3</v>
      </c>
    </row>
    <row r="537" spans="1:13" s="23" customFormat="1" ht="15">
      <c r="A537" s="447" t="s">
        <v>26</v>
      </c>
      <c r="B537" s="448"/>
      <c r="C537" s="460" t="s">
        <v>5</v>
      </c>
      <c r="D537" s="461" t="s">
        <v>122</v>
      </c>
      <c r="E537" s="450" t="s">
        <v>27</v>
      </c>
      <c r="F537" s="451"/>
      <c r="G537" s="463">
        <f>SUM(G538)</f>
        <v>30507.6</v>
      </c>
      <c r="H537" s="452"/>
      <c r="I537" s="452"/>
      <c r="J537" s="446"/>
      <c r="K537" s="446"/>
      <c r="L537" s="453"/>
      <c r="M537" s="463">
        <f>SUM(M538)</f>
        <v>31466.3</v>
      </c>
    </row>
    <row r="538" spans="1:13" s="23" customFormat="1" ht="42.75">
      <c r="A538" s="161" t="s">
        <v>564</v>
      </c>
      <c r="B538" s="459"/>
      <c r="C538" s="460" t="s">
        <v>5</v>
      </c>
      <c r="D538" s="461" t="s">
        <v>122</v>
      </c>
      <c r="E538" s="461" t="s">
        <v>207</v>
      </c>
      <c r="F538" s="462"/>
      <c r="G538" s="463">
        <f>G543+G539</f>
        <v>30507.6</v>
      </c>
      <c r="H538" s="452"/>
      <c r="I538" s="452"/>
      <c r="J538" s="446"/>
      <c r="K538" s="446"/>
      <c r="L538" s="453"/>
      <c r="M538" s="463">
        <f>M543+M539</f>
        <v>31466.3</v>
      </c>
    </row>
    <row r="539" spans="1:13" ht="71.25" hidden="1">
      <c r="A539" s="161" t="s">
        <v>1050</v>
      </c>
      <c r="B539" s="459"/>
      <c r="C539" s="460" t="s">
        <v>5</v>
      </c>
      <c r="D539" s="461" t="s">
        <v>122</v>
      </c>
      <c r="E539" s="461" t="s">
        <v>565</v>
      </c>
      <c r="F539" s="462"/>
      <c r="G539" s="463">
        <f>SUM(G540)</f>
        <v>0</v>
      </c>
      <c r="H539" s="452"/>
      <c r="I539" s="452"/>
      <c r="J539" s="446"/>
      <c r="K539" s="446"/>
      <c r="L539" s="453">
        <f t="shared" si="15"/>
        <v>0</v>
      </c>
      <c r="M539" s="463">
        <f>SUM(M540)</f>
        <v>0</v>
      </c>
    </row>
    <row r="540" spans="1:13" s="23" customFormat="1" ht="28.5" hidden="1">
      <c r="A540" s="161" t="s">
        <v>566</v>
      </c>
      <c r="B540" s="459"/>
      <c r="C540" s="460" t="s">
        <v>5</v>
      </c>
      <c r="D540" s="461" t="s">
        <v>122</v>
      </c>
      <c r="E540" s="461" t="s">
        <v>565</v>
      </c>
      <c r="F540" s="462" t="s">
        <v>560</v>
      </c>
      <c r="G540" s="463"/>
      <c r="H540" s="452"/>
      <c r="I540" s="452"/>
      <c r="J540" s="446">
        <f>SUM('[2]ведомствен.2015-2016'!G267)</f>
        <v>0</v>
      </c>
      <c r="K540" s="446">
        <f>SUM('[2]ведомствен.2015-2016'!H267)</f>
        <v>0</v>
      </c>
      <c r="L540" s="453">
        <f t="shared" si="15"/>
        <v>0</v>
      </c>
      <c r="M540" s="463"/>
    </row>
    <row r="541" spans="1:13" s="23" customFormat="1" ht="15" hidden="1">
      <c r="A541" s="161" t="s">
        <v>65</v>
      </c>
      <c r="B541" s="459"/>
      <c r="C541" s="460" t="s">
        <v>5</v>
      </c>
      <c r="D541" s="461" t="s">
        <v>122</v>
      </c>
      <c r="E541" s="461" t="s">
        <v>565</v>
      </c>
      <c r="F541" s="462" t="s">
        <v>567</v>
      </c>
      <c r="G541" s="463"/>
      <c r="H541" s="452">
        <f>SUM(H542+H549+H552+H558+H563+H545+H547)+H561</f>
        <v>260775.1</v>
      </c>
      <c r="I541" s="452" t="e">
        <f aca="true" t="shared" si="16" ref="I541:I619">SUM(H541/G541*100)</f>
        <v>#DIV/0!</v>
      </c>
      <c r="J541" s="446"/>
      <c r="K541" s="446"/>
      <c r="L541" s="453">
        <f t="shared" si="15"/>
        <v>0</v>
      </c>
      <c r="M541" s="463"/>
    </row>
    <row r="542" spans="1:13" s="23" customFormat="1" ht="28.5" hidden="1">
      <c r="A542" s="161" t="s">
        <v>568</v>
      </c>
      <c r="B542" s="459"/>
      <c r="C542" s="460" t="s">
        <v>5</v>
      </c>
      <c r="D542" s="461" t="s">
        <v>122</v>
      </c>
      <c r="E542" s="461" t="s">
        <v>565</v>
      </c>
      <c r="F542" s="462" t="s">
        <v>569</v>
      </c>
      <c r="G542" s="463"/>
      <c r="H542" s="452">
        <v>53118.9</v>
      </c>
      <c r="I542" s="452" t="e">
        <f t="shared" si="16"/>
        <v>#DIV/0!</v>
      </c>
      <c r="J542" s="446"/>
      <c r="K542" s="446"/>
      <c r="L542" s="453">
        <f t="shared" si="15"/>
        <v>0</v>
      </c>
      <c r="M542" s="463"/>
    </row>
    <row r="543" spans="1:13" s="23" customFormat="1" ht="57">
      <c r="A543" s="161" t="s">
        <v>1051</v>
      </c>
      <c r="B543" s="459"/>
      <c r="C543" s="460" t="s">
        <v>5</v>
      </c>
      <c r="D543" s="461" t="s">
        <v>122</v>
      </c>
      <c r="E543" s="461" t="s">
        <v>466</v>
      </c>
      <c r="F543" s="462"/>
      <c r="G543" s="463">
        <f>SUM(G544)</f>
        <v>30507.6</v>
      </c>
      <c r="H543" s="452"/>
      <c r="I543" s="452">
        <f t="shared" si="16"/>
        <v>0</v>
      </c>
      <c r="J543" s="446"/>
      <c r="K543" s="446"/>
      <c r="L543" s="453"/>
      <c r="M543" s="463">
        <f>SUM(M544)</f>
        <v>31466.3</v>
      </c>
    </row>
    <row r="544" spans="1:13" s="23" customFormat="1" ht="28.5">
      <c r="A544" s="161" t="s">
        <v>566</v>
      </c>
      <c r="B544" s="459"/>
      <c r="C544" s="460" t="s">
        <v>5</v>
      </c>
      <c r="D544" s="461" t="s">
        <v>122</v>
      </c>
      <c r="E544" s="461" t="s">
        <v>466</v>
      </c>
      <c r="F544" s="462" t="s">
        <v>560</v>
      </c>
      <c r="G544" s="463">
        <v>30507.6</v>
      </c>
      <c r="H544" s="452"/>
      <c r="I544" s="452">
        <f t="shared" si="16"/>
        <v>0</v>
      </c>
      <c r="J544" s="446">
        <f>SUM('[2]ведомствен.2015-2016'!G271)</f>
        <v>30507.6</v>
      </c>
      <c r="K544" s="446">
        <f>SUM('[2]ведомствен.2015-2016'!H271)</f>
        <v>31466.3</v>
      </c>
      <c r="L544" s="453">
        <f t="shared" si="15"/>
        <v>0</v>
      </c>
      <c r="M544" s="463">
        <v>31466.3</v>
      </c>
    </row>
    <row r="545" spans="1:13" s="23" customFormat="1" ht="0.75" customHeight="1" hidden="1">
      <c r="A545" s="161" t="s">
        <v>65</v>
      </c>
      <c r="B545" s="459"/>
      <c r="C545" s="460" t="s">
        <v>5</v>
      </c>
      <c r="D545" s="461" t="s">
        <v>122</v>
      </c>
      <c r="E545" s="461" t="s">
        <v>466</v>
      </c>
      <c r="F545" s="462" t="s">
        <v>567</v>
      </c>
      <c r="G545" s="463"/>
      <c r="H545" s="452">
        <f>SUM(H546)</f>
        <v>392.5</v>
      </c>
      <c r="I545" s="452" t="e">
        <f t="shared" si="16"/>
        <v>#DIV/0!</v>
      </c>
      <c r="J545" s="446"/>
      <c r="K545" s="446"/>
      <c r="L545" s="453">
        <f t="shared" si="15"/>
        <v>0</v>
      </c>
      <c r="M545" s="463"/>
    </row>
    <row r="546" spans="1:13" s="23" customFormat="1" ht="15">
      <c r="A546" s="475" t="s">
        <v>159</v>
      </c>
      <c r="B546" s="476"/>
      <c r="C546" s="477" t="s">
        <v>5</v>
      </c>
      <c r="D546" s="478" t="s">
        <v>122</v>
      </c>
      <c r="E546" s="478" t="s">
        <v>222</v>
      </c>
      <c r="F546" s="479"/>
      <c r="G546" s="533">
        <f>SUM(G549)+G547</f>
        <v>58237.1</v>
      </c>
      <c r="H546" s="452">
        <v>392.5</v>
      </c>
      <c r="I546" s="452">
        <f t="shared" si="16"/>
        <v>0.6739689991431579</v>
      </c>
      <c r="J546" s="446"/>
      <c r="K546" s="446"/>
      <c r="L546" s="453"/>
      <c r="M546" s="533">
        <f>SUM(M549)+M547</f>
        <v>59269</v>
      </c>
    </row>
    <row r="547" spans="1:13" s="23" customFormat="1" ht="57">
      <c r="A547" s="498" t="s">
        <v>160</v>
      </c>
      <c r="B547" s="498"/>
      <c r="C547" s="489" t="s">
        <v>5</v>
      </c>
      <c r="D547" s="490" t="s">
        <v>122</v>
      </c>
      <c r="E547" s="490" t="s">
        <v>161</v>
      </c>
      <c r="F547" s="509"/>
      <c r="G547" s="510">
        <f>SUM(G548)</f>
        <v>27063.5</v>
      </c>
      <c r="H547" s="452">
        <f>SUM(H548)</f>
        <v>0</v>
      </c>
      <c r="I547" s="452">
        <f t="shared" si="16"/>
        <v>0</v>
      </c>
      <c r="J547" s="446"/>
      <c r="K547" s="446"/>
      <c r="L547" s="453"/>
      <c r="M547" s="510">
        <f>SUM(M548)</f>
        <v>27063.5</v>
      </c>
    </row>
    <row r="548" spans="1:13" s="23" customFormat="1" ht="15">
      <c r="A548" s="498" t="s">
        <v>505</v>
      </c>
      <c r="B548" s="498"/>
      <c r="C548" s="489" t="s">
        <v>5</v>
      </c>
      <c r="D548" s="490" t="s">
        <v>122</v>
      </c>
      <c r="E548" s="490" t="s">
        <v>161</v>
      </c>
      <c r="F548" s="509" t="s">
        <v>506</v>
      </c>
      <c r="G548" s="510">
        <v>27063.5</v>
      </c>
      <c r="H548" s="452"/>
      <c r="I548" s="452">
        <f t="shared" si="16"/>
        <v>0</v>
      </c>
      <c r="J548" s="446">
        <f>SUM('[2]ведомствен.2015-2016'!G594)</f>
        <v>27063.5</v>
      </c>
      <c r="K548" s="446">
        <f>SUM('[2]ведомствен.2015-2016'!H594)</f>
        <v>27063.5</v>
      </c>
      <c r="L548" s="453">
        <f t="shared" si="15"/>
        <v>0</v>
      </c>
      <c r="M548" s="510">
        <v>27063.5</v>
      </c>
    </row>
    <row r="549" spans="1:13" s="23" customFormat="1" ht="28.5">
      <c r="A549" s="475" t="s">
        <v>479</v>
      </c>
      <c r="B549" s="476"/>
      <c r="C549" s="477" t="s">
        <v>5</v>
      </c>
      <c r="D549" s="478" t="s">
        <v>122</v>
      </c>
      <c r="E549" s="478" t="s">
        <v>162</v>
      </c>
      <c r="F549" s="479"/>
      <c r="G549" s="533">
        <f>SUM(G556+G550+G553)</f>
        <v>31173.6</v>
      </c>
      <c r="H549" s="452">
        <f>SUM(H550)</f>
        <v>5014</v>
      </c>
      <c r="I549" s="452">
        <f t="shared" si="16"/>
        <v>16.084122462596557</v>
      </c>
      <c r="J549" s="446"/>
      <c r="K549" s="446"/>
      <c r="L549" s="453"/>
      <c r="M549" s="533">
        <f>SUM(M556+M550+M553)</f>
        <v>32205.5</v>
      </c>
    </row>
    <row r="550" spans="1:13" s="23" customFormat="1" ht="15">
      <c r="A550" s="114" t="s">
        <v>163</v>
      </c>
      <c r="B550" s="133"/>
      <c r="C550" s="530" t="s">
        <v>5</v>
      </c>
      <c r="D550" s="530" t="s">
        <v>122</v>
      </c>
      <c r="E550" s="530" t="s">
        <v>164</v>
      </c>
      <c r="F550" s="531"/>
      <c r="G550" s="532">
        <f>SUM(G551:G552)</f>
        <v>3186.6</v>
      </c>
      <c r="H550" s="452">
        <v>5014</v>
      </c>
      <c r="I550" s="452">
        <f t="shared" si="16"/>
        <v>157.34638799974897</v>
      </c>
      <c r="J550" s="446"/>
      <c r="K550" s="446"/>
      <c r="L550" s="453"/>
      <c r="M550" s="533">
        <f>SUM(M551:M552)</f>
        <v>3292</v>
      </c>
    </row>
    <row r="551" spans="1:13" s="23" customFormat="1" ht="15">
      <c r="A551" s="109" t="s">
        <v>500</v>
      </c>
      <c r="B551" s="133"/>
      <c r="C551" s="530" t="s">
        <v>5</v>
      </c>
      <c r="D551" s="530" t="s">
        <v>122</v>
      </c>
      <c r="E551" s="530" t="s">
        <v>164</v>
      </c>
      <c r="F551" s="531" t="s">
        <v>120</v>
      </c>
      <c r="G551" s="532">
        <v>38</v>
      </c>
      <c r="H551" s="452"/>
      <c r="I551" s="452"/>
      <c r="J551" s="446">
        <f>SUM('[2]ведомствен.2015-2016'!G437)</f>
        <v>38</v>
      </c>
      <c r="K551" s="446">
        <f>SUM('[2]ведомствен.2015-2016'!H437)</f>
        <v>39.3</v>
      </c>
      <c r="L551" s="453">
        <f t="shared" si="15"/>
        <v>0</v>
      </c>
      <c r="M551" s="533">
        <v>39.3</v>
      </c>
    </row>
    <row r="552" spans="1:13" ht="13.5" customHeight="1">
      <c r="A552" s="114" t="s">
        <v>505</v>
      </c>
      <c r="B552" s="133"/>
      <c r="C552" s="530" t="s">
        <v>5</v>
      </c>
      <c r="D552" s="530" t="s">
        <v>122</v>
      </c>
      <c r="E552" s="530" t="s">
        <v>164</v>
      </c>
      <c r="F552" s="531" t="s">
        <v>506</v>
      </c>
      <c r="G552" s="532">
        <v>3148.6</v>
      </c>
      <c r="H552" s="452">
        <f>SUM(H553)</f>
        <v>0</v>
      </c>
      <c r="I552" s="452">
        <f t="shared" si="16"/>
        <v>0</v>
      </c>
      <c r="J552" s="453">
        <f>SUM('[2]ведомствен.2015-2016'!G438)</f>
        <v>3148.6</v>
      </c>
      <c r="K552" s="453">
        <f>SUM('[2]ведомствен.2015-2016'!H438)</f>
        <v>3252.7</v>
      </c>
      <c r="L552" s="453">
        <f aca="true" t="shared" si="17" ref="L552:L614">SUM(G552-J552)</f>
        <v>0</v>
      </c>
      <c r="M552" s="533">
        <v>3252.7</v>
      </c>
    </row>
    <row r="553" spans="1:13" s="23" customFormat="1" ht="15">
      <c r="A553" s="114" t="s">
        <v>480</v>
      </c>
      <c r="B553" s="133"/>
      <c r="C553" s="530" t="s">
        <v>5</v>
      </c>
      <c r="D553" s="530" t="s">
        <v>122</v>
      </c>
      <c r="E553" s="530" t="s">
        <v>165</v>
      </c>
      <c r="F553" s="531"/>
      <c r="G553" s="532">
        <f>SUM(G554:G555)</f>
        <v>2899.1</v>
      </c>
      <c r="H553" s="452"/>
      <c r="I553" s="452">
        <f t="shared" si="16"/>
        <v>0</v>
      </c>
      <c r="J553" s="446"/>
      <c r="K553" s="446"/>
      <c r="L553" s="453"/>
      <c r="M553" s="532">
        <f>SUM(M554:M555)</f>
        <v>2995.2</v>
      </c>
    </row>
    <row r="554" spans="1:13" s="23" customFormat="1" ht="15">
      <c r="A554" s="109" t="s">
        <v>500</v>
      </c>
      <c r="B554" s="133"/>
      <c r="C554" s="530" t="s">
        <v>5</v>
      </c>
      <c r="D554" s="530" t="s">
        <v>122</v>
      </c>
      <c r="E554" s="530" t="s">
        <v>165</v>
      </c>
      <c r="F554" s="531" t="s">
        <v>120</v>
      </c>
      <c r="G554" s="532">
        <v>30</v>
      </c>
      <c r="H554" s="452"/>
      <c r="I554" s="452"/>
      <c r="J554" s="446">
        <f>SUM('[2]ведомствен.2015-2016'!G440)</f>
        <v>30</v>
      </c>
      <c r="K554" s="446">
        <f>SUM('[2]ведомствен.2015-2016'!H440)</f>
        <v>31.1</v>
      </c>
      <c r="L554" s="453"/>
      <c r="M554" s="533">
        <v>31.1</v>
      </c>
    </row>
    <row r="555" spans="1:13" ht="14.25">
      <c r="A555" s="114" t="s">
        <v>505</v>
      </c>
      <c r="B555" s="133"/>
      <c r="C555" s="530" t="s">
        <v>5</v>
      </c>
      <c r="D555" s="530" t="s">
        <v>122</v>
      </c>
      <c r="E555" s="530" t="s">
        <v>165</v>
      </c>
      <c r="F555" s="531" t="s">
        <v>506</v>
      </c>
      <c r="G555" s="532">
        <v>2869.1</v>
      </c>
      <c r="H555" s="452">
        <f>SUM(H556)</f>
        <v>0</v>
      </c>
      <c r="I555" s="452">
        <f>SUM(H555/G555*100)</f>
        <v>0</v>
      </c>
      <c r="J555" s="453">
        <f>SUM('[2]ведомствен.2015-2016'!G441)</f>
        <v>2869.1</v>
      </c>
      <c r="K555" s="453">
        <f>SUM('[2]ведомствен.2015-2016'!H441)</f>
        <v>2964.1</v>
      </c>
      <c r="L555" s="453">
        <f t="shared" si="17"/>
        <v>0</v>
      </c>
      <c r="M555" s="533">
        <v>2964.1</v>
      </c>
    </row>
    <row r="556" spans="1:13" ht="14.25">
      <c r="A556" s="114" t="s">
        <v>481</v>
      </c>
      <c r="B556" s="133"/>
      <c r="C556" s="530" t="s">
        <v>5</v>
      </c>
      <c r="D556" s="530" t="s">
        <v>122</v>
      </c>
      <c r="E556" s="530" t="s">
        <v>482</v>
      </c>
      <c r="F556" s="531"/>
      <c r="G556" s="532">
        <f>SUM(G557:G558)</f>
        <v>25087.9</v>
      </c>
      <c r="H556" s="452"/>
      <c r="I556" s="452">
        <f>SUM(H556/G556*100)</f>
        <v>0</v>
      </c>
      <c r="J556" s="453"/>
      <c r="K556" s="453"/>
      <c r="L556" s="453"/>
      <c r="M556" s="533">
        <f>SUM(M557:M558)</f>
        <v>25918.3</v>
      </c>
    </row>
    <row r="557" spans="1:13" ht="14.25">
      <c r="A557" s="109" t="s">
        <v>500</v>
      </c>
      <c r="B557" s="133"/>
      <c r="C557" s="530" t="s">
        <v>5</v>
      </c>
      <c r="D557" s="530" t="s">
        <v>122</v>
      </c>
      <c r="E557" s="530" t="s">
        <v>482</v>
      </c>
      <c r="F557" s="531" t="s">
        <v>120</v>
      </c>
      <c r="G557" s="532">
        <v>342.9</v>
      </c>
      <c r="H557" s="452"/>
      <c r="I557" s="452"/>
      <c r="J557" s="453">
        <f>SUM('[2]ведомствен.2015-2016'!G443)</f>
        <v>342.9</v>
      </c>
      <c r="K557" s="453">
        <f>SUM('[2]ведомствен.2015-2016'!H443)</f>
        <v>354.3</v>
      </c>
      <c r="L557" s="453">
        <f t="shared" si="17"/>
        <v>0</v>
      </c>
      <c r="M557" s="533">
        <v>354.3</v>
      </c>
    </row>
    <row r="558" spans="1:13" ht="14.25">
      <c r="A558" s="114" t="s">
        <v>505</v>
      </c>
      <c r="B558" s="133"/>
      <c r="C558" s="530" t="s">
        <v>5</v>
      </c>
      <c r="D558" s="530" t="s">
        <v>122</v>
      </c>
      <c r="E558" s="530" t="s">
        <v>482</v>
      </c>
      <c r="F558" s="531" t="s">
        <v>506</v>
      </c>
      <c r="G558" s="532">
        <v>24745</v>
      </c>
      <c r="H558" s="452">
        <f>SUM(H559)</f>
        <v>454</v>
      </c>
      <c r="I558" s="452">
        <f t="shared" si="16"/>
        <v>1.8347140836532634</v>
      </c>
      <c r="J558" s="453">
        <f>SUM('[2]ведомствен.2015-2016'!G444)</f>
        <v>24745</v>
      </c>
      <c r="K558" s="453">
        <f>SUM('[2]ведомствен.2015-2016'!H444)</f>
        <v>25564</v>
      </c>
      <c r="L558" s="453">
        <f t="shared" si="17"/>
        <v>0</v>
      </c>
      <c r="M558" s="533">
        <v>25564</v>
      </c>
    </row>
    <row r="559" spans="1:13" s="23" customFormat="1" ht="15">
      <c r="A559" s="475" t="s">
        <v>166</v>
      </c>
      <c r="B559" s="476"/>
      <c r="C559" s="477" t="s">
        <v>5</v>
      </c>
      <c r="D559" s="478" t="s">
        <v>391</v>
      </c>
      <c r="E559" s="478"/>
      <c r="F559" s="479"/>
      <c r="G559" s="533">
        <f>G560+G572+G582+G580</f>
        <v>42650.7</v>
      </c>
      <c r="H559" s="452">
        <v>454</v>
      </c>
      <c r="I559" s="452">
        <f t="shared" si="16"/>
        <v>1.06446084120542</v>
      </c>
      <c r="J559" s="446"/>
      <c r="K559" s="446"/>
      <c r="L559" s="453"/>
      <c r="M559" s="533">
        <f>M560+M572+M582+M580</f>
        <v>42650.7</v>
      </c>
    </row>
    <row r="560" spans="1:13" ht="42.75">
      <c r="A560" s="475" t="s">
        <v>99</v>
      </c>
      <c r="B560" s="476"/>
      <c r="C560" s="477" t="s">
        <v>5</v>
      </c>
      <c r="D560" s="478" t="s">
        <v>391</v>
      </c>
      <c r="E560" s="478" t="s">
        <v>100</v>
      </c>
      <c r="F560" s="479"/>
      <c r="G560" s="533">
        <f>G561+G564+G567+G569</f>
        <v>27442.7</v>
      </c>
      <c r="H560" s="452"/>
      <c r="I560" s="452">
        <f t="shared" si="16"/>
        <v>0</v>
      </c>
      <c r="J560" s="453"/>
      <c r="K560" s="453"/>
      <c r="L560" s="453"/>
      <c r="M560" s="533">
        <f>M561+M564+M567+M569</f>
        <v>27442.7</v>
      </c>
    </row>
    <row r="561" spans="1:13" ht="14.25">
      <c r="A561" s="475" t="s">
        <v>107</v>
      </c>
      <c r="B561" s="476"/>
      <c r="C561" s="477" t="s">
        <v>5</v>
      </c>
      <c r="D561" s="478" t="s">
        <v>391</v>
      </c>
      <c r="E561" s="478" t="s">
        <v>109</v>
      </c>
      <c r="F561" s="479"/>
      <c r="G561" s="533">
        <f>G562+G563</f>
        <v>3114.9</v>
      </c>
      <c r="H561" s="452">
        <f>SUM(H562)</f>
        <v>0</v>
      </c>
      <c r="I561" s="452">
        <f t="shared" si="16"/>
        <v>0</v>
      </c>
      <c r="J561" s="453"/>
      <c r="K561" s="453"/>
      <c r="L561" s="453"/>
      <c r="M561" s="533">
        <f>M562+M563</f>
        <v>3114.9</v>
      </c>
    </row>
    <row r="562" spans="1:13" ht="42.75">
      <c r="A562" s="475" t="s">
        <v>596</v>
      </c>
      <c r="B562" s="476"/>
      <c r="C562" s="477" t="s">
        <v>5</v>
      </c>
      <c r="D562" s="478" t="s">
        <v>391</v>
      </c>
      <c r="E562" s="478" t="s">
        <v>109</v>
      </c>
      <c r="F562" s="479" t="s">
        <v>496</v>
      </c>
      <c r="G562" s="533">
        <v>3102.3</v>
      </c>
      <c r="H562" s="452"/>
      <c r="I562" s="452">
        <f t="shared" si="16"/>
        <v>0</v>
      </c>
      <c r="J562" s="453">
        <f>SUM('[2]ведомствен.2015-2016'!G448)</f>
        <v>3102.3</v>
      </c>
      <c r="K562" s="453">
        <f>SUM('[2]ведомствен.2015-2016'!H448)</f>
        <v>3102.3</v>
      </c>
      <c r="L562" s="453">
        <f t="shared" si="17"/>
        <v>0</v>
      </c>
      <c r="M562" s="533">
        <v>3102.3</v>
      </c>
    </row>
    <row r="563" spans="1:13" ht="14.25">
      <c r="A563" s="475" t="s">
        <v>500</v>
      </c>
      <c r="B563" s="476"/>
      <c r="C563" s="477" t="s">
        <v>5</v>
      </c>
      <c r="D563" s="478" t="s">
        <v>391</v>
      </c>
      <c r="E563" s="478" t="s">
        <v>109</v>
      </c>
      <c r="F563" s="479" t="s">
        <v>120</v>
      </c>
      <c r="G563" s="533">
        <v>12.6</v>
      </c>
      <c r="H563" s="452">
        <f>SUM(H564)</f>
        <v>201795.7</v>
      </c>
      <c r="I563" s="452">
        <f t="shared" si="16"/>
        <v>1601553.1746031747</v>
      </c>
      <c r="J563" s="453">
        <f>SUM('[2]ведомствен.2015-2016'!G449)</f>
        <v>12.6</v>
      </c>
      <c r="K563" s="453">
        <f>SUM('[2]ведомствен.2015-2016'!H449)</f>
        <v>12.6</v>
      </c>
      <c r="L563" s="453">
        <f t="shared" si="17"/>
        <v>0</v>
      </c>
      <c r="M563" s="533">
        <v>12.6</v>
      </c>
    </row>
    <row r="564" spans="1:13" ht="42.75">
      <c r="A564" s="475" t="s">
        <v>597</v>
      </c>
      <c r="B564" s="476"/>
      <c r="C564" s="477" t="s">
        <v>5</v>
      </c>
      <c r="D564" s="478" t="s">
        <v>391</v>
      </c>
      <c r="E564" s="478" t="s">
        <v>169</v>
      </c>
      <c r="F564" s="479"/>
      <c r="G564" s="533">
        <f>G565+G566</f>
        <v>4233.2</v>
      </c>
      <c r="H564" s="452">
        <v>201795.7</v>
      </c>
      <c r="I564" s="452">
        <f t="shared" si="16"/>
        <v>4766.977700085043</v>
      </c>
      <c r="J564" s="446"/>
      <c r="K564" s="446"/>
      <c r="L564" s="453"/>
      <c r="M564" s="533">
        <f>M565+M566</f>
        <v>4233.2</v>
      </c>
    </row>
    <row r="565" spans="1:13" ht="42.75">
      <c r="A565" s="475" t="s">
        <v>596</v>
      </c>
      <c r="B565" s="476"/>
      <c r="C565" s="477" t="s">
        <v>5</v>
      </c>
      <c r="D565" s="478" t="s">
        <v>391</v>
      </c>
      <c r="E565" s="478" t="s">
        <v>169</v>
      </c>
      <c r="F565" s="479" t="s">
        <v>496</v>
      </c>
      <c r="G565" s="533">
        <v>3602.4</v>
      </c>
      <c r="H565" s="452">
        <f>SUM(H582)</f>
        <v>113444</v>
      </c>
      <c r="I565" s="452">
        <f t="shared" si="16"/>
        <v>3149.122807017544</v>
      </c>
      <c r="J565" s="453">
        <f>SUM('[2]ведомствен.2015-2016'!G451)</f>
        <v>3602.4</v>
      </c>
      <c r="K565" s="453">
        <f>SUM('[2]ведомствен.2015-2016'!H451)</f>
        <v>3602.4</v>
      </c>
      <c r="L565" s="453">
        <f t="shared" si="17"/>
        <v>0</v>
      </c>
      <c r="M565" s="533">
        <v>3602.4</v>
      </c>
    </row>
    <row r="566" spans="1:13" ht="14.25">
      <c r="A566" s="475" t="s">
        <v>500</v>
      </c>
      <c r="B566" s="534"/>
      <c r="C566" s="477" t="s">
        <v>5</v>
      </c>
      <c r="D566" s="478" t="s">
        <v>391</v>
      </c>
      <c r="E566" s="478" t="s">
        <v>169</v>
      </c>
      <c r="F566" s="479" t="s">
        <v>120</v>
      </c>
      <c r="G566" s="533">
        <v>630.8</v>
      </c>
      <c r="H566" s="452">
        <f>SUM(H570+H605+H603)</f>
        <v>70597.40000000001</v>
      </c>
      <c r="I566" s="452">
        <f t="shared" si="16"/>
        <v>11191.724793912495</v>
      </c>
      <c r="J566" s="453">
        <f>SUM('[2]ведомствен.2015-2016'!G452)</f>
        <v>630.8</v>
      </c>
      <c r="K566" s="453">
        <f>SUM('[2]ведомствен.2015-2016'!H452)</f>
        <v>630.8</v>
      </c>
      <c r="L566" s="453">
        <f t="shared" si="17"/>
        <v>0</v>
      </c>
      <c r="M566" s="533">
        <v>630.8</v>
      </c>
    </row>
    <row r="567" spans="1:13" ht="28.5">
      <c r="A567" s="475" t="s">
        <v>167</v>
      </c>
      <c r="B567" s="476"/>
      <c r="C567" s="477" t="s">
        <v>5</v>
      </c>
      <c r="D567" s="478" t="s">
        <v>391</v>
      </c>
      <c r="E567" s="478" t="s">
        <v>168</v>
      </c>
      <c r="F567" s="479"/>
      <c r="G567" s="533">
        <f>SUM(G568)</f>
        <v>14572.9</v>
      </c>
      <c r="H567" s="452"/>
      <c r="I567" s="452"/>
      <c r="J567" s="453"/>
      <c r="K567" s="453"/>
      <c r="L567" s="453"/>
      <c r="M567" s="533">
        <f>SUM(M568)</f>
        <v>14572.9</v>
      </c>
    </row>
    <row r="568" spans="1:13" ht="42.75">
      <c r="A568" s="475" t="s">
        <v>596</v>
      </c>
      <c r="B568" s="476"/>
      <c r="C568" s="477" t="s">
        <v>5</v>
      </c>
      <c r="D568" s="478" t="s">
        <v>391</v>
      </c>
      <c r="E568" s="478" t="s">
        <v>168</v>
      </c>
      <c r="F568" s="479" t="s">
        <v>496</v>
      </c>
      <c r="G568" s="533">
        <v>14572.9</v>
      </c>
      <c r="H568" s="452"/>
      <c r="I568" s="452"/>
      <c r="J568" s="453">
        <f>SUM('[2]ведомствен.2015-2016'!G454)</f>
        <v>14572.9</v>
      </c>
      <c r="K568" s="453">
        <f>SUM('[2]ведомствен.2015-2016'!H454)</f>
        <v>14572.9</v>
      </c>
      <c r="L568" s="453">
        <f t="shared" si="17"/>
        <v>0</v>
      </c>
      <c r="M568" s="533">
        <v>14572.9</v>
      </c>
    </row>
    <row r="569" spans="1:13" ht="42.75">
      <c r="A569" s="475" t="s">
        <v>170</v>
      </c>
      <c r="B569" s="534"/>
      <c r="C569" s="477" t="s">
        <v>5</v>
      </c>
      <c r="D569" s="478" t="s">
        <v>391</v>
      </c>
      <c r="E569" s="478" t="s">
        <v>171</v>
      </c>
      <c r="F569" s="479"/>
      <c r="G569" s="533">
        <f>G570+G571</f>
        <v>5521.700000000001</v>
      </c>
      <c r="H569" s="452"/>
      <c r="I569" s="452"/>
      <c r="J569" s="453"/>
      <c r="K569" s="453"/>
      <c r="L569" s="453"/>
      <c r="M569" s="533">
        <f>M570+M571</f>
        <v>5521.700000000001</v>
      </c>
    </row>
    <row r="570" spans="1:13" ht="42.75">
      <c r="A570" s="475" t="s">
        <v>596</v>
      </c>
      <c r="B570" s="476"/>
      <c r="C570" s="477" t="s">
        <v>5</v>
      </c>
      <c r="D570" s="478" t="s">
        <v>391</v>
      </c>
      <c r="E570" s="478" t="s">
        <v>171</v>
      </c>
      <c r="F570" s="479" t="s">
        <v>496</v>
      </c>
      <c r="G570" s="533">
        <v>4948.6</v>
      </c>
      <c r="H570" s="452">
        <v>56722</v>
      </c>
      <c r="I570" s="452">
        <f t="shared" si="16"/>
        <v>1146.2231742310955</v>
      </c>
      <c r="J570" s="453">
        <f>SUM('[2]ведомствен.2015-2016'!G456)</f>
        <v>4948.6</v>
      </c>
      <c r="K570" s="453">
        <f>SUM('[2]ведомствен.2015-2016'!H456)</f>
        <v>4948.6</v>
      </c>
      <c r="L570" s="453">
        <f t="shared" si="17"/>
        <v>0</v>
      </c>
      <c r="M570" s="533">
        <v>4948.6</v>
      </c>
    </row>
    <row r="571" spans="1:13" ht="14.25">
      <c r="A571" s="475" t="s">
        <v>500</v>
      </c>
      <c r="B571" s="476"/>
      <c r="C571" s="477" t="s">
        <v>5</v>
      </c>
      <c r="D571" s="478" t="s">
        <v>391</v>
      </c>
      <c r="E571" s="478" t="s">
        <v>171</v>
      </c>
      <c r="F571" s="479" t="s">
        <v>120</v>
      </c>
      <c r="G571" s="533">
        <v>573.1</v>
      </c>
      <c r="H571" s="452"/>
      <c r="I571" s="452"/>
      <c r="J571" s="453">
        <f>SUM('[2]ведомствен.2015-2016'!G457)</f>
        <v>573.1</v>
      </c>
      <c r="K571" s="453">
        <f>SUM('[2]ведомствен.2015-2016'!H457)</f>
        <v>573.1</v>
      </c>
      <c r="L571" s="453">
        <f t="shared" si="17"/>
        <v>0</v>
      </c>
      <c r="M571" s="533">
        <v>573.1</v>
      </c>
    </row>
    <row r="572" spans="1:13" ht="28.5">
      <c r="A572" s="475" t="s">
        <v>497</v>
      </c>
      <c r="B572" s="476"/>
      <c r="C572" s="477" t="s">
        <v>5</v>
      </c>
      <c r="D572" s="478" t="s">
        <v>391</v>
      </c>
      <c r="E572" s="478" t="s">
        <v>498</v>
      </c>
      <c r="F572" s="479"/>
      <c r="G572" s="533">
        <f>G573+G575+G577</f>
        <v>2624.8999999999996</v>
      </c>
      <c r="H572" s="452"/>
      <c r="I572" s="452"/>
      <c r="J572" s="453"/>
      <c r="K572" s="453"/>
      <c r="L572" s="453"/>
      <c r="M572" s="533">
        <f>M573+M575+M577</f>
        <v>2624.8999999999996</v>
      </c>
    </row>
    <row r="573" spans="1:13" ht="14.25">
      <c r="A573" s="475" t="s">
        <v>486</v>
      </c>
      <c r="B573" s="534"/>
      <c r="C573" s="477" t="s">
        <v>5</v>
      </c>
      <c r="D573" s="478" t="s">
        <v>391</v>
      </c>
      <c r="E573" s="478" t="s">
        <v>499</v>
      </c>
      <c r="F573" s="479"/>
      <c r="G573" s="533">
        <f>SUM(G574)</f>
        <v>230</v>
      </c>
      <c r="H573" s="452"/>
      <c r="I573" s="452"/>
      <c r="J573" s="453"/>
      <c r="K573" s="453"/>
      <c r="L573" s="453"/>
      <c r="M573" s="533">
        <f>SUM(M574)</f>
        <v>230</v>
      </c>
    </row>
    <row r="574" spans="1:13" ht="14.25">
      <c r="A574" s="475" t="s">
        <v>500</v>
      </c>
      <c r="B574" s="476"/>
      <c r="C574" s="477" t="s">
        <v>5</v>
      </c>
      <c r="D574" s="478" t="s">
        <v>391</v>
      </c>
      <c r="E574" s="478" t="s">
        <v>499</v>
      </c>
      <c r="F574" s="479" t="s">
        <v>120</v>
      </c>
      <c r="G574" s="533">
        <v>230</v>
      </c>
      <c r="H574" s="452"/>
      <c r="I574" s="452"/>
      <c r="J574" s="453">
        <f>SUM('[2]ведомствен.2015-2016'!G460)</f>
        <v>230</v>
      </c>
      <c r="K574" s="453">
        <f>SUM('[2]ведомствен.2015-2016'!H460)</f>
        <v>230</v>
      </c>
      <c r="L574" s="453">
        <f t="shared" si="17"/>
        <v>0</v>
      </c>
      <c r="M574" s="533">
        <v>230</v>
      </c>
    </row>
    <row r="575" spans="1:13" ht="28.5">
      <c r="A575" s="475" t="s">
        <v>487</v>
      </c>
      <c r="B575" s="534"/>
      <c r="C575" s="477" t="s">
        <v>5</v>
      </c>
      <c r="D575" s="478" t="s">
        <v>391</v>
      </c>
      <c r="E575" s="478" t="s">
        <v>502</v>
      </c>
      <c r="F575" s="479"/>
      <c r="G575" s="533">
        <f>SUM(G576)</f>
        <v>1124.6</v>
      </c>
      <c r="H575" s="452"/>
      <c r="I575" s="452"/>
      <c r="J575" s="453"/>
      <c r="K575" s="453"/>
      <c r="L575" s="453"/>
      <c r="M575" s="533">
        <f>SUM(M576)</f>
        <v>1124.6</v>
      </c>
    </row>
    <row r="576" spans="1:13" ht="14.25">
      <c r="A576" s="475" t="s">
        <v>500</v>
      </c>
      <c r="B576" s="476"/>
      <c r="C576" s="477" t="s">
        <v>5</v>
      </c>
      <c r="D576" s="478" t="s">
        <v>391</v>
      </c>
      <c r="E576" s="478" t="s">
        <v>502</v>
      </c>
      <c r="F576" s="479" t="s">
        <v>120</v>
      </c>
      <c r="G576" s="533">
        <v>1124.6</v>
      </c>
      <c r="H576" s="452"/>
      <c r="I576" s="452"/>
      <c r="J576" s="453">
        <f>SUM('[2]ведомствен.2015-2016'!G462)</f>
        <v>1124.6</v>
      </c>
      <c r="K576" s="453">
        <f>SUM('[2]ведомствен.2015-2016'!H462)</f>
        <v>1124.6</v>
      </c>
      <c r="L576" s="453">
        <f t="shared" si="17"/>
        <v>0</v>
      </c>
      <c r="M576" s="533">
        <v>1124.6</v>
      </c>
    </row>
    <row r="577" spans="1:13" ht="27.75" customHeight="1">
      <c r="A577" s="475" t="s">
        <v>503</v>
      </c>
      <c r="B577" s="534"/>
      <c r="C577" s="477" t="s">
        <v>5</v>
      </c>
      <c r="D577" s="478" t="s">
        <v>391</v>
      </c>
      <c r="E577" s="478" t="s">
        <v>504</v>
      </c>
      <c r="F577" s="479"/>
      <c r="G577" s="533">
        <f>G578+G579</f>
        <v>1270.3</v>
      </c>
      <c r="H577" s="452"/>
      <c r="I577" s="452"/>
      <c r="J577" s="453"/>
      <c r="K577" s="453"/>
      <c r="L577" s="453"/>
      <c r="M577" s="533">
        <f>M578+M579</f>
        <v>1270.3</v>
      </c>
    </row>
    <row r="578" spans="1:13" ht="42.75" hidden="1">
      <c r="A578" s="475" t="s">
        <v>596</v>
      </c>
      <c r="B578" s="476"/>
      <c r="C578" s="477" t="s">
        <v>5</v>
      </c>
      <c r="D578" s="478" t="s">
        <v>391</v>
      </c>
      <c r="E578" s="478" t="s">
        <v>504</v>
      </c>
      <c r="F578" s="479" t="s">
        <v>496</v>
      </c>
      <c r="G578" s="533"/>
      <c r="H578" s="452">
        <f>SUM(H579)</f>
        <v>1305.1</v>
      </c>
      <c r="I578" s="452" t="e">
        <f>SUM(H578/G578*100)</f>
        <v>#DIV/0!</v>
      </c>
      <c r="J578" s="453">
        <f>SUM('[2]ведомствен.2015-2016'!G464)</f>
        <v>0</v>
      </c>
      <c r="K578" s="453">
        <f>SUM('[2]ведомствен.2015-2016'!H464)</f>
        <v>0</v>
      </c>
      <c r="L578" s="453">
        <f t="shared" si="17"/>
        <v>0</v>
      </c>
      <c r="M578" s="533"/>
    </row>
    <row r="579" spans="1:13" ht="14.25">
      <c r="A579" s="475" t="s">
        <v>500</v>
      </c>
      <c r="B579" s="476"/>
      <c r="C579" s="477" t="s">
        <v>5</v>
      </c>
      <c r="D579" s="478" t="s">
        <v>391</v>
      </c>
      <c r="E579" s="478" t="s">
        <v>504</v>
      </c>
      <c r="F579" s="479" t="s">
        <v>120</v>
      </c>
      <c r="G579" s="533">
        <v>1270.3</v>
      </c>
      <c r="H579" s="452">
        <v>1305.1</v>
      </c>
      <c r="I579" s="452">
        <f>SUM(H579/G579*100)</f>
        <v>102.73951035188537</v>
      </c>
      <c r="J579" s="453">
        <f>SUM('[2]ведомствен.2015-2016'!G465)</f>
        <v>1270.3</v>
      </c>
      <c r="K579" s="453">
        <f>SUM('[2]ведомствен.2015-2016'!H465)</f>
        <v>1270.3</v>
      </c>
      <c r="L579" s="453">
        <f t="shared" si="17"/>
        <v>0</v>
      </c>
      <c r="M579" s="533">
        <v>1270.3</v>
      </c>
    </row>
    <row r="580" spans="1:13" ht="28.5">
      <c r="A580" s="175" t="s">
        <v>620</v>
      </c>
      <c r="B580" s="448"/>
      <c r="C580" s="449" t="s">
        <v>5</v>
      </c>
      <c r="D580" s="450" t="s">
        <v>391</v>
      </c>
      <c r="E580" s="450" t="s">
        <v>619</v>
      </c>
      <c r="F580" s="451"/>
      <c r="G580" s="452">
        <f>SUM(G581)</f>
        <v>12583.1</v>
      </c>
      <c r="H580" s="452"/>
      <c r="I580" s="452"/>
      <c r="J580" s="453"/>
      <c r="K580" s="453"/>
      <c r="L580" s="453"/>
      <c r="M580" s="452">
        <f>SUM(M581)</f>
        <v>12583.1</v>
      </c>
    </row>
    <row r="581" spans="1:13" ht="14.25">
      <c r="A581" s="447" t="s">
        <v>501</v>
      </c>
      <c r="B581" s="448"/>
      <c r="C581" s="449" t="s">
        <v>5</v>
      </c>
      <c r="D581" s="450" t="s">
        <v>391</v>
      </c>
      <c r="E581" s="450" t="s">
        <v>619</v>
      </c>
      <c r="F581" s="451" t="s">
        <v>176</v>
      </c>
      <c r="G581" s="452">
        <v>12583.1</v>
      </c>
      <c r="H581" s="452"/>
      <c r="I581" s="452"/>
      <c r="J581" s="453">
        <f>SUM('[2]ведомствен.2015-2016'!G306)</f>
        <v>12583.1</v>
      </c>
      <c r="K581" s="453">
        <f>SUM('[2]ведомствен.2015-2016'!H306)</f>
        <v>12583.1</v>
      </c>
      <c r="L581" s="453">
        <f t="shared" si="17"/>
        <v>0</v>
      </c>
      <c r="M581" s="452">
        <v>12583.1</v>
      </c>
    </row>
    <row r="582" spans="1:13" ht="14.25" hidden="1">
      <c r="A582" s="475" t="s">
        <v>594</v>
      </c>
      <c r="B582" s="476"/>
      <c r="C582" s="477" t="s">
        <v>5</v>
      </c>
      <c r="D582" s="478" t="s">
        <v>391</v>
      </c>
      <c r="E582" s="478" t="s">
        <v>129</v>
      </c>
      <c r="F582" s="479"/>
      <c r="G582" s="533">
        <f>G583</f>
        <v>0</v>
      </c>
      <c r="H582" s="452">
        <f>SUM(H583+H588+H586)</f>
        <v>113444</v>
      </c>
      <c r="I582" s="452" t="e">
        <f t="shared" si="16"/>
        <v>#DIV/0!</v>
      </c>
      <c r="J582" s="453"/>
      <c r="K582" s="453"/>
      <c r="L582" s="453">
        <f t="shared" si="17"/>
        <v>0</v>
      </c>
      <c r="M582" s="533">
        <f>M583</f>
        <v>0</v>
      </c>
    </row>
    <row r="583" spans="1:13" ht="57" hidden="1">
      <c r="A583" s="475" t="s">
        <v>598</v>
      </c>
      <c r="B583" s="476"/>
      <c r="C583" s="477" t="s">
        <v>5</v>
      </c>
      <c r="D583" s="478" t="s">
        <v>391</v>
      </c>
      <c r="E583" s="478" t="s">
        <v>365</v>
      </c>
      <c r="F583" s="479"/>
      <c r="G583" s="533">
        <f>G584</f>
        <v>0</v>
      </c>
      <c r="H583" s="452">
        <v>56722</v>
      </c>
      <c r="I583" s="452" t="e">
        <f t="shared" si="16"/>
        <v>#DIV/0!</v>
      </c>
      <c r="J583" s="453"/>
      <c r="K583" s="453"/>
      <c r="L583" s="453">
        <f t="shared" si="17"/>
        <v>0</v>
      </c>
      <c r="M583" s="533">
        <f>M584</f>
        <v>0</v>
      </c>
    </row>
    <row r="584" spans="1:13" ht="42.75" hidden="1">
      <c r="A584" s="475" t="s">
        <v>592</v>
      </c>
      <c r="B584" s="476"/>
      <c r="C584" s="477" t="s">
        <v>5</v>
      </c>
      <c r="D584" s="478" t="s">
        <v>391</v>
      </c>
      <c r="E584" s="478" t="s">
        <v>365</v>
      </c>
      <c r="F584" s="479" t="s">
        <v>513</v>
      </c>
      <c r="G584" s="533"/>
      <c r="H584" s="452"/>
      <c r="I584" s="452" t="e">
        <f t="shared" si="16"/>
        <v>#DIV/0!</v>
      </c>
      <c r="J584" s="453">
        <f>SUM('[2]ведомствен.2015-2016'!G468)</f>
        <v>0</v>
      </c>
      <c r="K584" s="453">
        <f>SUM('[2]ведомствен.2015-2016'!H468)</f>
        <v>0</v>
      </c>
      <c r="L584" s="453">
        <f t="shared" si="17"/>
        <v>0</v>
      </c>
      <c r="M584" s="533"/>
    </row>
    <row r="585" spans="1:13" s="23" customFormat="1" ht="15">
      <c r="A585" s="468" t="s">
        <v>245</v>
      </c>
      <c r="B585" s="469"/>
      <c r="C585" s="470" t="s">
        <v>419</v>
      </c>
      <c r="D585" s="471"/>
      <c r="E585" s="471"/>
      <c r="F585" s="472"/>
      <c r="G585" s="473">
        <f>SUM(G586)</f>
        <v>3892</v>
      </c>
      <c r="H585" s="452"/>
      <c r="I585" s="452">
        <f t="shared" si="16"/>
        <v>0</v>
      </c>
      <c r="J585" s="446"/>
      <c r="K585" s="446"/>
      <c r="L585" s="453"/>
      <c r="M585" s="473">
        <f>SUM(M586)</f>
        <v>3892</v>
      </c>
    </row>
    <row r="586" spans="1:13" s="23" customFormat="1" ht="15">
      <c r="A586" s="447" t="s">
        <v>238</v>
      </c>
      <c r="B586" s="448"/>
      <c r="C586" s="449" t="s">
        <v>419</v>
      </c>
      <c r="D586" s="450" t="s">
        <v>460</v>
      </c>
      <c r="E586" s="450"/>
      <c r="F586" s="451"/>
      <c r="G586" s="452">
        <f>SUM(G587+G593)</f>
        <v>3892</v>
      </c>
      <c r="H586" s="452">
        <f>SUM(H587)</f>
        <v>56722</v>
      </c>
      <c r="I586" s="452">
        <f t="shared" si="16"/>
        <v>1457.3997944501543</v>
      </c>
      <c r="J586" s="446"/>
      <c r="K586" s="446"/>
      <c r="L586" s="453"/>
      <c r="M586" s="452">
        <f>SUM(M587+M593)</f>
        <v>3892</v>
      </c>
    </row>
    <row r="587" spans="1:13" ht="28.5">
      <c r="A587" s="447" t="s">
        <v>489</v>
      </c>
      <c r="B587" s="448"/>
      <c r="C587" s="449" t="s">
        <v>419</v>
      </c>
      <c r="D587" s="450" t="s">
        <v>460</v>
      </c>
      <c r="E587" s="450" t="s">
        <v>490</v>
      </c>
      <c r="F587" s="454"/>
      <c r="G587" s="452">
        <f>SUM(G588)</f>
        <v>3892</v>
      </c>
      <c r="H587" s="452">
        <v>56722</v>
      </c>
      <c r="I587" s="452">
        <f>SUM(H587/G587*100)</f>
        <v>1457.3997944501543</v>
      </c>
      <c r="J587" s="453"/>
      <c r="K587" s="453"/>
      <c r="L587" s="453"/>
      <c r="M587" s="452">
        <f>SUM(M588)</f>
        <v>3892</v>
      </c>
    </row>
    <row r="588" spans="1:13" s="23" customFormat="1" ht="28.5">
      <c r="A588" s="447" t="s">
        <v>56</v>
      </c>
      <c r="B588" s="448"/>
      <c r="C588" s="449" t="s">
        <v>419</v>
      </c>
      <c r="D588" s="450" t="s">
        <v>460</v>
      </c>
      <c r="E588" s="450" t="s">
        <v>491</v>
      </c>
      <c r="F588" s="454"/>
      <c r="G588" s="452">
        <f>SUM(G589)</f>
        <v>3892</v>
      </c>
      <c r="H588" s="452">
        <f>SUM(H589)</f>
        <v>0</v>
      </c>
      <c r="I588" s="452">
        <f t="shared" si="16"/>
        <v>0</v>
      </c>
      <c r="J588" s="446"/>
      <c r="K588" s="446"/>
      <c r="L588" s="453"/>
      <c r="M588" s="452">
        <f>SUM(M589)</f>
        <v>3892</v>
      </c>
    </row>
    <row r="589" spans="1:13" ht="42.75">
      <c r="A589" s="447" t="s">
        <v>636</v>
      </c>
      <c r="B589" s="448"/>
      <c r="C589" s="449" t="s">
        <v>419</v>
      </c>
      <c r="D589" s="450" t="s">
        <v>460</v>
      </c>
      <c r="E589" s="450" t="s">
        <v>570</v>
      </c>
      <c r="F589" s="454"/>
      <c r="G589" s="452">
        <f>SUM(G590:G592)</f>
        <v>3892</v>
      </c>
      <c r="H589" s="452"/>
      <c r="I589" s="452">
        <f t="shared" si="16"/>
        <v>0</v>
      </c>
      <c r="J589" s="453"/>
      <c r="K589" s="453"/>
      <c r="L589" s="453"/>
      <c r="M589" s="452">
        <f>SUM(M590:M592)</f>
        <v>3892</v>
      </c>
    </row>
    <row r="590" spans="1:13" ht="42.75">
      <c r="A590" s="447" t="s">
        <v>495</v>
      </c>
      <c r="B590" s="448"/>
      <c r="C590" s="449" t="s">
        <v>419</v>
      </c>
      <c r="D590" s="450" t="s">
        <v>460</v>
      </c>
      <c r="E590" s="450" t="s">
        <v>570</v>
      </c>
      <c r="F590" s="451" t="s">
        <v>496</v>
      </c>
      <c r="G590" s="452">
        <v>3228.9</v>
      </c>
      <c r="H590" s="452"/>
      <c r="I590" s="452">
        <f t="shared" si="16"/>
        <v>0</v>
      </c>
      <c r="J590" s="453">
        <f>SUM('[2]ведомствен.2015-2016'!G484)</f>
        <v>3228.9</v>
      </c>
      <c r="K590" s="453">
        <f>SUM('[2]ведомствен.2015-2016'!H484)</f>
        <v>3228.9</v>
      </c>
      <c r="L590" s="453">
        <f t="shared" si="17"/>
        <v>0</v>
      </c>
      <c r="M590" s="452">
        <v>3228.9</v>
      </c>
    </row>
    <row r="591" spans="1:13" s="504" customFormat="1" ht="14.25">
      <c r="A591" s="447" t="s">
        <v>500</v>
      </c>
      <c r="B591" s="448"/>
      <c r="C591" s="449" t="s">
        <v>419</v>
      </c>
      <c r="D591" s="450" t="s">
        <v>460</v>
      </c>
      <c r="E591" s="450" t="s">
        <v>570</v>
      </c>
      <c r="F591" s="451" t="s">
        <v>120</v>
      </c>
      <c r="G591" s="455">
        <v>649.6</v>
      </c>
      <c r="H591" s="452">
        <f>SUM(H592)</f>
        <v>25662.5</v>
      </c>
      <c r="I591" s="452">
        <f t="shared" si="16"/>
        <v>3950.5080049261082</v>
      </c>
      <c r="J591" s="453">
        <f>SUM('[2]ведомствен.2015-2016'!G485)</f>
        <v>649.6</v>
      </c>
      <c r="K591" s="453">
        <f>SUM('[2]ведомствен.2015-2016'!H485)</f>
        <v>649.6</v>
      </c>
      <c r="L591" s="453">
        <f t="shared" si="17"/>
        <v>0</v>
      </c>
      <c r="M591" s="455">
        <v>649.6</v>
      </c>
    </row>
    <row r="592" spans="1:13" s="504" customFormat="1" ht="14.25">
      <c r="A592" s="447" t="s">
        <v>501</v>
      </c>
      <c r="B592" s="448"/>
      <c r="C592" s="449" t="s">
        <v>419</v>
      </c>
      <c r="D592" s="450" t="s">
        <v>460</v>
      </c>
      <c r="E592" s="450" t="s">
        <v>570</v>
      </c>
      <c r="F592" s="454" t="s">
        <v>176</v>
      </c>
      <c r="G592" s="452">
        <v>13.5</v>
      </c>
      <c r="H592" s="452">
        <f>SUM(H596+H594+H593)</f>
        <v>25662.5</v>
      </c>
      <c r="I592" s="452">
        <f t="shared" si="16"/>
        <v>190092.59259259258</v>
      </c>
      <c r="J592" s="453">
        <f>SUM('[2]ведомствен.2015-2016'!G486)</f>
        <v>13.5</v>
      </c>
      <c r="K592" s="453">
        <f>SUM('[2]ведомствен.2015-2016'!H486)</f>
        <v>13.5</v>
      </c>
      <c r="L592" s="453">
        <f t="shared" si="17"/>
        <v>0</v>
      </c>
      <c r="M592" s="452">
        <v>13.5</v>
      </c>
    </row>
    <row r="593" spans="1:13" s="504" customFormat="1" ht="14.25" hidden="1">
      <c r="A593" s="475" t="s">
        <v>128</v>
      </c>
      <c r="B593" s="448"/>
      <c r="C593" s="449" t="s">
        <v>419</v>
      </c>
      <c r="D593" s="450" t="s">
        <v>460</v>
      </c>
      <c r="E593" s="535" t="s">
        <v>129</v>
      </c>
      <c r="F593" s="451"/>
      <c r="G593" s="452">
        <f>SUM(G594)</f>
        <v>0</v>
      </c>
      <c r="H593" s="452"/>
      <c r="I593" s="452" t="e">
        <f t="shared" si="16"/>
        <v>#DIV/0!</v>
      </c>
      <c r="J593" s="497"/>
      <c r="K593" s="497"/>
      <c r="L593" s="453">
        <f t="shared" si="17"/>
        <v>0</v>
      </c>
      <c r="M593" s="452">
        <f>SUM(M594)</f>
        <v>0</v>
      </c>
    </row>
    <row r="594" spans="1:13" s="504" customFormat="1" ht="42.75" hidden="1">
      <c r="A594" s="447" t="s">
        <v>1052</v>
      </c>
      <c r="B594" s="448"/>
      <c r="C594" s="449" t="s">
        <v>419</v>
      </c>
      <c r="D594" s="450" t="s">
        <v>460</v>
      </c>
      <c r="E594" s="535" t="s">
        <v>98</v>
      </c>
      <c r="F594" s="451"/>
      <c r="G594" s="452">
        <f>SUM(G595:G596)</f>
        <v>0</v>
      </c>
      <c r="H594" s="452">
        <f>SUM(H595)</f>
        <v>27.5</v>
      </c>
      <c r="I594" s="452" t="e">
        <f t="shared" si="16"/>
        <v>#DIV/0!</v>
      </c>
      <c r="J594" s="497"/>
      <c r="K594" s="497"/>
      <c r="L594" s="453">
        <f t="shared" si="17"/>
        <v>0</v>
      </c>
      <c r="M594" s="452">
        <f>SUM(M595:M596)</f>
        <v>0</v>
      </c>
    </row>
    <row r="595" spans="1:13" s="504" customFormat="1" ht="14.25" hidden="1">
      <c r="A595" s="447" t="s">
        <v>500</v>
      </c>
      <c r="B595" s="448"/>
      <c r="C595" s="449" t="s">
        <v>419</v>
      </c>
      <c r="D595" s="450" t="s">
        <v>460</v>
      </c>
      <c r="E595" s="535" t="s">
        <v>98</v>
      </c>
      <c r="F595" s="451" t="s">
        <v>120</v>
      </c>
      <c r="G595" s="452"/>
      <c r="H595" s="452">
        <v>27.5</v>
      </c>
      <c r="I595" s="452" t="e">
        <f t="shared" si="16"/>
        <v>#DIV/0!</v>
      </c>
      <c r="J595" s="453">
        <f>SUM('[2]ведомствен.2015-2016'!G489)</f>
        <v>0</v>
      </c>
      <c r="K595" s="453">
        <f>SUM('[2]ведомствен.2015-2016'!H489)</f>
        <v>0</v>
      </c>
      <c r="L595" s="453">
        <f t="shared" si="17"/>
        <v>0</v>
      </c>
      <c r="M595" s="452"/>
    </row>
    <row r="596" spans="1:13" s="504" customFormat="1" ht="28.5" hidden="1">
      <c r="A596" s="475" t="s">
        <v>517</v>
      </c>
      <c r="B596" s="448"/>
      <c r="C596" s="449" t="s">
        <v>419</v>
      </c>
      <c r="D596" s="450" t="s">
        <v>460</v>
      </c>
      <c r="E596" s="535" t="s">
        <v>98</v>
      </c>
      <c r="F596" s="451" t="s">
        <v>513</v>
      </c>
      <c r="G596" s="452"/>
      <c r="H596" s="452">
        <f>SUM(H597)</f>
        <v>25635</v>
      </c>
      <c r="I596" s="452" t="e">
        <f t="shared" si="16"/>
        <v>#DIV/0!</v>
      </c>
      <c r="J596" s="453">
        <f>SUM('[2]ведомствен.2015-2016'!G490)</f>
        <v>0</v>
      </c>
      <c r="K596" s="453">
        <f>SUM('[2]ведомствен.2015-2016'!H490)</f>
        <v>0</v>
      </c>
      <c r="L596" s="453">
        <f t="shared" si="17"/>
        <v>0</v>
      </c>
      <c r="M596" s="452"/>
    </row>
    <row r="597" spans="1:13" s="504" customFormat="1" ht="42.75" hidden="1">
      <c r="A597" s="447" t="s">
        <v>152</v>
      </c>
      <c r="B597" s="448"/>
      <c r="C597" s="449" t="s">
        <v>419</v>
      </c>
      <c r="D597" s="450" t="s">
        <v>460</v>
      </c>
      <c r="E597" s="535" t="s">
        <v>412</v>
      </c>
      <c r="F597" s="451"/>
      <c r="G597" s="452">
        <f>SUM(G598)</f>
        <v>0</v>
      </c>
      <c r="H597" s="452">
        <v>25635</v>
      </c>
      <c r="I597" s="452" t="e">
        <f t="shared" si="16"/>
        <v>#DIV/0!</v>
      </c>
      <c r="J597" s="497"/>
      <c r="K597" s="497"/>
      <c r="L597" s="453">
        <f t="shared" si="17"/>
        <v>0</v>
      </c>
      <c r="M597" s="452">
        <f>SUM(M598)</f>
        <v>0</v>
      </c>
    </row>
    <row r="598" spans="1:13" ht="28.5" hidden="1">
      <c r="A598" s="475" t="s">
        <v>143</v>
      </c>
      <c r="B598" s="448"/>
      <c r="C598" s="449" t="s">
        <v>419</v>
      </c>
      <c r="D598" s="450" t="s">
        <v>460</v>
      </c>
      <c r="E598" s="535" t="s">
        <v>412</v>
      </c>
      <c r="F598" s="451" t="s">
        <v>83</v>
      </c>
      <c r="G598" s="452"/>
      <c r="H598" s="452">
        <f>SUM(H599)</f>
        <v>13916.300000000001</v>
      </c>
      <c r="I598" s="452" t="e">
        <f t="shared" si="16"/>
        <v>#DIV/0!</v>
      </c>
      <c r="J598" s="453"/>
      <c r="K598" s="453"/>
      <c r="L598" s="453">
        <f t="shared" si="17"/>
        <v>0</v>
      </c>
      <c r="M598" s="452"/>
    </row>
    <row r="599" spans="1:13" ht="14.25" hidden="1">
      <c r="A599" s="447" t="s">
        <v>155</v>
      </c>
      <c r="B599" s="448"/>
      <c r="C599" s="449" t="s">
        <v>419</v>
      </c>
      <c r="D599" s="450" t="s">
        <v>462</v>
      </c>
      <c r="E599" s="458"/>
      <c r="F599" s="454"/>
      <c r="G599" s="452">
        <f>SUM(G600)</f>
        <v>0</v>
      </c>
      <c r="H599" s="452">
        <f>SUM(H601+H603+H605)</f>
        <v>13916.300000000001</v>
      </c>
      <c r="I599" s="452" t="e">
        <f t="shared" si="16"/>
        <v>#DIV/0!</v>
      </c>
      <c r="J599" s="453"/>
      <c r="K599" s="453"/>
      <c r="L599" s="453">
        <f t="shared" si="17"/>
        <v>0</v>
      </c>
      <c r="M599" s="452">
        <f>SUM(M600)</f>
        <v>0</v>
      </c>
    </row>
    <row r="600" spans="1:13" ht="14.25" hidden="1">
      <c r="A600" s="447" t="s">
        <v>3</v>
      </c>
      <c r="B600" s="448"/>
      <c r="C600" s="449" t="s">
        <v>419</v>
      </c>
      <c r="D600" s="450" t="s">
        <v>462</v>
      </c>
      <c r="E600" s="450" t="s">
        <v>4</v>
      </c>
      <c r="F600" s="454"/>
      <c r="G600" s="452">
        <f>SUM(G601)</f>
        <v>0</v>
      </c>
      <c r="H600" s="452"/>
      <c r="I600" s="452" t="e">
        <f t="shared" si="16"/>
        <v>#DIV/0!</v>
      </c>
      <c r="J600" s="453"/>
      <c r="K600" s="453"/>
      <c r="L600" s="453">
        <f t="shared" si="17"/>
        <v>0</v>
      </c>
      <c r="M600" s="452">
        <f>SUM(M601)</f>
        <v>0</v>
      </c>
    </row>
    <row r="601" spans="1:13" s="23" customFormat="1" ht="28.5" hidden="1">
      <c r="A601" s="447" t="s">
        <v>1053</v>
      </c>
      <c r="B601" s="448"/>
      <c r="C601" s="449" t="s">
        <v>419</v>
      </c>
      <c r="D601" s="450" t="s">
        <v>462</v>
      </c>
      <c r="E601" s="450" t="s">
        <v>1054</v>
      </c>
      <c r="F601" s="454"/>
      <c r="G601" s="452">
        <f>SUM(G602)</f>
        <v>0</v>
      </c>
      <c r="H601" s="452">
        <f>SUM(H602)</f>
        <v>40.9</v>
      </c>
      <c r="I601" s="452" t="e">
        <f t="shared" si="16"/>
        <v>#DIV/0!</v>
      </c>
      <c r="J601" s="446"/>
      <c r="K601" s="446"/>
      <c r="L601" s="453">
        <f t="shared" si="17"/>
        <v>0</v>
      </c>
      <c r="M601" s="452">
        <f>SUM(M602)</f>
        <v>0</v>
      </c>
    </row>
    <row r="602" spans="1:13" s="23" customFormat="1" ht="28.5" hidden="1">
      <c r="A602" s="475" t="s">
        <v>143</v>
      </c>
      <c r="B602" s="448"/>
      <c r="C602" s="449" t="s">
        <v>419</v>
      </c>
      <c r="D602" s="450" t="s">
        <v>462</v>
      </c>
      <c r="E602" s="450" t="s">
        <v>1054</v>
      </c>
      <c r="F602" s="451" t="s">
        <v>83</v>
      </c>
      <c r="G602" s="452"/>
      <c r="H602" s="452">
        <v>40.9</v>
      </c>
      <c r="I602" s="452" t="e">
        <f t="shared" si="16"/>
        <v>#DIV/0!</v>
      </c>
      <c r="J602" s="446"/>
      <c r="K602" s="446"/>
      <c r="L602" s="453">
        <f t="shared" si="17"/>
        <v>0</v>
      </c>
      <c r="M602" s="452"/>
    </row>
    <row r="603" spans="1:13" ht="14.25" hidden="1">
      <c r="A603" s="447" t="s">
        <v>239</v>
      </c>
      <c r="B603" s="448"/>
      <c r="C603" s="449" t="s">
        <v>419</v>
      </c>
      <c r="D603" s="450" t="s">
        <v>131</v>
      </c>
      <c r="E603" s="458"/>
      <c r="F603" s="454"/>
      <c r="G603" s="452">
        <f>SUM(G604+G610+G612)+G607</f>
        <v>0</v>
      </c>
      <c r="H603" s="452">
        <f>SUM(H604)</f>
        <v>12.8</v>
      </c>
      <c r="I603" s="452" t="e">
        <f t="shared" si="16"/>
        <v>#DIV/0!</v>
      </c>
      <c r="J603" s="453"/>
      <c r="K603" s="453"/>
      <c r="L603" s="453">
        <f t="shared" si="17"/>
        <v>0</v>
      </c>
      <c r="M603" s="452">
        <f>SUM(M604+M610+M612)+M607</f>
        <v>0</v>
      </c>
    </row>
    <row r="604" spans="1:13" ht="42.75" hidden="1">
      <c r="A604" s="447" t="s">
        <v>99</v>
      </c>
      <c r="B604" s="448"/>
      <c r="C604" s="449" t="s">
        <v>419</v>
      </c>
      <c r="D604" s="450" t="s">
        <v>131</v>
      </c>
      <c r="E604" s="450" t="s">
        <v>100</v>
      </c>
      <c r="F604" s="454"/>
      <c r="G604" s="452">
        <f>SUM(G605)</f>
        <v>0</v>
      </c>
      <c r="H604" s="452">
        <v>12.8</v>
      </c>
      <c r="I604" s="452" t="e">
        <f t="shared" si="16"/>
        <v>#DIV/0!</v>
      </c>
      <c r="J604" s="446"/>
      <c r="K604" s="446"/>
      <c r="L604" s="453">
        <f t="shared" si="17"/>
        <v>0</v>
      </c>
      <c r="M604" s="452">
        <f>SUM(M605)</f>
        <v>0</v>
      </c>
    </row>
    <row r="605" spans="1:13" ht="14.25" hidden="1">
      <c r="A605" s="447" t="s">
        <v>107</v>
      </c>
      <c r="B605" s="448"/>
      <c r="C605" s="449" t="s">
        <v>419</v>
      </c>
      <c r="D605" s="450" t="s">
        <v>131</v>
      </c>
      <c r="E605" s="450" t="s">
        <v>109</v>
      </c>
      <c r="F605" s="454"/>
      <c r="G605" s="452">
        <f>SUM(G606)</f>
        <v>0</v>
      </c>
      <c r="H605" s="452">
        <f>SUM(H606)</f>
        <v>13862.6</v>
      </c>
      <c r="I605" s="452" t="e">
        <f t="shared" si="16"/>
        <v>#DIV/0!</v>
      </c>
      <c r="J605" s="453"/>
      <c r="K605" s="453"/>
      <c r="L605" s="453">
        <f t="shared" si="17"/>
        <v>0</v>
      </c>
      <c r="M605" s="452">
        <f>SUM(M606)</f>
        <v>0</v>
      </c>
    </row>
    <row r="606" spans="1:13" ht="15" hidden="1">
      <c r="A606" s="447" t="s">
        <v>103</v>
      </c>
      <c r="B606" s="448"/>
      <c r="C606" s="449" t="s">
        <v>419</v>
      </c>
      <c r="D606" s="450" t="s">
        <v>131</v>
      </c>
      <c r="E606" s="450" t="s">
        <v>109</v>
      </c>
      <c r="F606" s="451" t="s">
        <v>104</v>
      </c>
      <c r="G606" s="452"/>
      <c r="H606" s="452">
        <v>13862.6</v>
      </c>
      <c r="I606" s="452" t="e">
        <f t="shared" si="16"/>
        <v>#DIV/0!</v>
      </c>
      <c r="J606" s="446"/>
      <c r="K606" s="446"/>
      <c r="L606" s="453">
        <f t="shared" si="17"/>
        <v>0</v>
      </c>
      <c r="M606" s="452"/>
    </row>
    <row r="607" spans="1:13" ht="14.25" hidden="1">
      <c r="A607" s="475" t="s">
        <v>128</v>
      </c>
      <c r="B607" s="448"/>
      <c r="C607" s="449" t="s">
        <v>419</v>
      </c>
      <c r="D607" s="450" t="s">
        <v>131</v>
      </c>
      <c r="E607" s="535" t="s">
        <v>129</v>
      </c>
      <c r="F607" s="451"/>
      <c r="G607" s="452">
        <f>SUM(G608)</f>
        <v>0</v>
      </c>
      <c r="H607" s="452">
        <f>SUM(H608)</f>
        <v>0</v>
      </c>
      <c r="I607" s="452" t="e">
        <f t="shared" si="16"/>
        <v>#DIV/0!</v>
      </c>
      <c r="J607" s="453"/>
      <c r="K607" s="453"/>
      <c r="L607" s="453">
        <f t="shared" si="17"/>
        <v>0</v>
      </c>
      <c r="M607" s="452">
        <f>SUM(M608)</f>
        <v>0</v>
      </c>
    </row>
    <row r="608" spans="1:13" ht="42.75" hidden="1">
      <c r="A608" s="448" t="s">
        <v>208</v>
      </c>
      <c r="B608" s="448"/>
      <c r="C608" s="449" t="s">
        <v>419</v>
      </c>
      <c r="D608" s="450" t="s">
        <v>131</v>
      </c>
      <c r="E608" s="458" t="s">
        <v>298</v>
      </c>
      <c r="F608" s="451"/>
      <c r="G608" s="452">
        <f>SUM(G609)</f>
        <v>0</v>
      </c>
      <c r="H608" s="452">
        <f>SUM(H609)</f>
        <v>0</v>
      </c>
      <c r="I608" s="452" t="e">
        <f t="shared" si="16"/>
        <v>#DIV/0!</v>
      </c>
      <c r="J608" s="453"/>
      <c r="K608" s="453"/>
      <c r="L608" s="453">
        <f t="shared" si="17"/>
        <v>0</v>
      </c>
      <c r="M608" s="452">
        <f>SUM(M609)</f>
        <v>0</v>
      </c>
    </row>
    <row r="609" spans="1:13" ht="14.25" hidden="1">
      <c r="A609" s="447" t="s">
        <v>103</v>
      </c>
      <c r="B609" s="448"/>
      <c r="C609" s="449" t="s">
        <v>419</v>
      </c>
      <c r="D609" s="450" t="s">
        <v>131</v>
      </c>
      <c r="E609" s="458" t="s">
        <v>298</v>
      </c>
      <c r="F609" s="451" t="s">
        <v>104</v>
      </c>
      <c r="G609" s="452"/>
      <c r="H609" s="452"/>
      <c r="I609" s="452" t="e">
        <f t="shared" si="16"/>
        <v>#DIV/0!</v>
      </c>
      <c r="J609" s="453"/>
      <c r="K609" s="453"/>
      <c r="L609" s="453">
        <f t="shared" si="17"/>
        <v>0</v>
      </c>
      <c r="M609" s="452"/>
    </row>
    <row r="610" spans="1:13" ht="14.25" hidden="1">
      <c r="A610" s="475" t="s">
        <v>387</v>
      </c>
      <c r="B610" s="448"/>
      <c r="C610" s="449" t="s">
        <v>419</v>
      </c>
      <c r="D610" s="450" t="s">
        <v>131</v>
      </c>
      <c r="E610" s="458" t="s">
        <v>388</v>
      </c>
      <c r="F610" s="454"/>
      <c r="G610" s="452">
        <f>SUM(G611)</f>
        <v>0</v>
      </c>
      <c r="H610" s="452">
        <f>SUM(H611)</f>
        <v>0</v>
      </c>
      <c r="I610" s="452" t="e">
        <f t="shared" si="16"/>
        <v>#DIV/0!</v>
      </c>
      <c r="J610" s="453"/>
      <c r="K610" s="453"/>
      <c r="L610" s="453">
        <f t="shared" si="17"/>
        <v>0</v>
      </c>
      <c r="M610" s="452">
        <f>SUM(M611)</f>
        <v>0</v>
      </c>
    </row>
    <row r="611" spans="1:13" ht="14.25" hidden="1">
      <c r="A611" s="447" t="s">
        <v>103</v>
      </c>
      <c r="B611" s="448"/>
      <c r="C611" s="449" t="s">
        <v>419</v>
      </c>
      <c r="D611" s="450" t="s">
        <v>131</v>
      </c>
      <c r="E611" s="458" t="s">
        <v>388</v>
      </c>
      <c r="F611" s="454" t="s">
        <v>104</v>
      </c>
      <c r="G611" s="452"/>
      <c r="H611" s="452">
        <f>SUM(H612)</f>
        <v>0</v>
      </c>
      <c r="I611" s="452" t="e">
        <f t="shared" si="16"/>
        <v>#DIV/0!</v>
      </c>
      <c r="J611" s="453"/>
      <c r="K611" s="453"/>
      <c r="L611" s="453">
        <f t="shared" si="17"/>
        <v>0</v>
      </c>
      <c r="M611" s="452"/>
    </row>
    <row r="612" spans="1:13" ht="28.5" hidden="1">
      <c r="A612" s="175" t="s">
        <v>113</v>
      </c>
      <c r="B612" s="448"/>
      <c r="C612" s="449" t="s">
        <v>419</v>
      </c>
      <c r="D612" s="450" t="s">
        <v>131</v>
      </c>
      <c r="E612" s="450" t="s">
        <v>114</v>
      </c>
      <c r="F612" s="465"/>
      <c r="G612" s="452">
        <f>SUM(G614)</f>
        <v>0</v>
      </c>
      <c r="H612" s="452">
        <f>SUM(H613)</f>
        <v>0</v>
      </c>
      <c r="I612" s="452" t="e">
        <f t="shared" si="16"/>
        <v>#DIV/0!</v>
      </c>
      <c r="J612" s="453"/>
      <c r="K612" s="453"/>
      <c r="L612" s="453">
        <f t="shared" si="17"/>
        <v>0</v>
      </c>
      <c r="M612" s="452">
        <f>SUM(M614)</f>
        <v>0</v>
      </c>
    </row>
    <row r="613" spans="1:13" ht="14.25" hidden="1">
      <c r="A613" s="175" t="s">
        <v>115</v>
      </c>
      <c r="B613" s="448"/>
      <c r="C613" s="449" t="s">
        <v>419</v>
      </c>
      <c r="D613" s="450" t="s">
        <v>131</v>
      </c>
      <c r="E613" s="450" t="s">
        <v>248</v>
      </c>
      <c r="F613" s="465"/>
      <c r="G613" s="452">
        <f>SUM(G614)</f>
        <v>0</v>
      </c>
      <c r="H613" s="452"/>
      <c r="I613" s="452" t="e">
        <f t="shared" si="16"/>
        <v>#DIV/0!</v>
      </c>
      <c r="J613" s="453"/>
      <c r="K613" s="453"/>
      <c r="L613" s="453">
        <f t="shared" si="17"/>
        <v>0</v>
      </c>
      <c r="M613" s="452">
        <f>SUM(M614)</f>
        <v>0</v>
      </c>
    </row>
    <row r="614" spans="1:13" s="536" customFormat="1" ht="14.25" hidden="1">
      <c r="A614" s="447" t="s">
        <v>103</v>
      </c>
      <c r="B614" s="448"/>
      <c r="C614" s="449" t="s">
        <v>419</v>
      </c>
      <c r="D614" s="450" t="s">
        <v>131</v>
      </c>
      <c r="E614" s="450" t="s">
        <v>248</v>
      </c>
      <c r="F614" s="465" t="s">
        <v>104</v>
      </c>
      <c r="G614" s="452"/>
      <c r="H614" s="452"/>
      <c r="I614" s="452"/>
      <c r="J614" s="497"/>
      <c r="K614" s="497"/>
      <c r="L614" s="453">
        <f t="shared" si="17"/>
        <v>0</v>
      </c>
      <c r="M614" s="452"/>
    </row>
    <row r="615" spans="1:13" s="24" customFormat="1" ht="15">
      <c r="A615" s="468" t="s">
        <v>402</v>
      </c>
      <c r="B615" s="469"/>
      <c r="C615" s="493" t="s">
        <v>236</v>
      </c>
      <c r="D615" s="494" t="s">
        <v>189</v>
      </c>
      <c r="E615" s="494"/>
      <c r="F615" s="495"/>
      <c r="G615" s="473">
        <f>SUM(G616)</f>
        <v>38000</v>
      </c>
      <c r="H615" s="452"/>
      <c r="I615" s="452"/>
      <c r="J615" s="453"/>
      <c r="K615" s="453"/>
      <c r="L615" s="453"/>
      <c r="M615" s="473">
        <f>SUM(M616)</f>
        <v>38000</v>
      </c>
    </row>
    <row r="616" spans="1:13" s="24" customFormat="1" ht="28.5">
      <c r="A616" s="447" t="s">
        <v>237</v>
      </c>
      <c r="B616" s="448"/>
      <c r="C616" s="449" t="s">
        <v>236</v>
      </c>
      <c r="D616" s="450" t="s">
        <v>460</v>
      </c>
      <c r="E616" s="450"/>
      <c r="F616" s="451"/>
      <c r="G616" s="452">
        <f>SUM(G617)</f>
        <v>38000</v>
      </c>
      <c r="H616" s="452"/>
      <c r="I616" s="452"/>
      <c r="J616" s="453"/>
      <c r="K616" s="453"/>
      <c r="L616" s="453"/>
      <c r="M616" s="452">
        <f>SUM(M617)</f>
        <v>38000</v>
      </c>
    </row>
    <row r="617" spans="1:13" ht="14.25">
      <c r="A617" s="447" t="s">
        <v>403</v>
      </c>
      <c r="B617" s="448"/>
      <c r="C617" s="449" t="s">
        <v>236</v>
      </c>
      <c r="D617" s="450" t="s">
        <v>460</v>
      </c>
      <c r="E617" s="450" t="s">
        <v>404</v>
      </c>
      <c r="F617" s="465"/>
      <c r="G617" s="452">
        <f>SUM(G619)</f>
        <v>38000</v>
      </c>
      <c r="H617" s="452" t="e">
        <f>SUM(H618+#REF!)</f>
        <v>#REF!</v>
      </c>
      <c r="I617" s="452" t="e">
        <f t="shared" si="16"/>
        <v>#REF!</v>
      </c>
      <c r="J617" s="453"/>
      <c r="K617" s="453"/>
      <c r="L617" s="453"/>
      <c r="M617" s="452">
        <f>SUM(M619)</f>
        <v>38000</v>
      </c>
    </row>
    <row r="618" spans="1:13" ht="14.25">
      <c r="A618" s="447" t="s">
        <v>405</v>
      </c>
      <c r="B618" s="448"/>
      <c r="C618" s="449" t="s">
        <v>236</v>
      </c>
      <c r="D618" s="450" t="s">
        <v>460</v>
      </c>
      <c r="E618" s="450" t="s">
        <v>406</v>
      </c>
      <c r="F618" s="465"/>
      <c r="G618" s="452">
        <f>SUM(G619)</f>
        <v>38000</v>
      </c>
      <c r="H618" s="452">
        <f>SUM(H619)</f>
        <v>7214.3</v>
      </c>
      <c r="I618" s="452">
        <f t="shared" si="16"/>
        <v>18.985</v>
      </c>
      <c r="J618" s="453"/>
      <c r="K618" s="453"/>
      <c r="L618" s="453"/>
      <c r="M618" s="452">
        <f>SUM(M619)</f>
        <v>38000</v>
      </c>
    </row>
    <row r="619" spans="1:13" ht="15" thickBot="1">
      <c r="A619" s="447" t="s">
        <v>508</v>
      </c>
      <c r="B619" s="448"/>
      <c r="C619" s="449" t="s">
        <v>236</v>
      </c>
      <c r="D619" s="450" t="s">
        <v>460</v>
      </c>
      <c r="E619" s="450" t="s">
        <v>406</v>
      </c>
      <c r="F619" s="465" t="s">
        <v>175</v>
      </c>
      <c r="G619" s="452">
        <v>38000</v>
      </c>
      <c r="H619" s="452">
        <v>7214.3</v>
      </c>
      <c r="I619" s="452">
        <f t="shared" si="16"/>
        <v>18.985</v>
      </c>
      <c r="J619" s="453">
        <f>SUM('[2]ведомствен.2015-2016'!G311)</f>
        <v>38000</v>
      </c>
      <c r="K619" s="453">
        <f>SUM('[2]ведомствен.2015-2016'!H311)</f>
        <v>38000</v>
      </c>
      <c r="L619" s="453">
        <f>SUM(G619-J619)</f>
        <v>0</v>
      </c>
      <c r="M619" s="452">
        <v>38000</v>
      </c>
    </row>
    <row r="620" spans="1:13" ht="13.5" customHeight="1" thickBot="1">
      <c r="A620" s="537" t="s">
        <v>172</v>
      </c>
      <c r="B620" s="538"/>
      <c r="C620" s="539"/>
      <c r="D620" s="540"/>
      <c r="E620" s="540"/>
      <c r="F620" s="541"/>
      <c r="G620" s="542">
        <f>SUM(G14+G85+G116+G153+G234+G245+G329+G400+G447+G585+G615)</f>
        <v>3188337.8000000003</v>
      </c>
      <c r="H620" s="452"/>
      <c r="I620" s="452"/>
      <c r="J620" s="453">
        <f>SUM(J14:J619)</f>
        <v>3188337.8000000003</v>
      </c>
      <c r="K620" s="453">
        <f>SUM(K14:K619)</f>
        <v>3202442.7399999998</v>
      </c>
      <c r="L620" s="453">
        <f>SUM(G620-J620)</f>
        <v>0</v>
      </c>
      <c r="M620" s="542">
        <f>SUM(M14+M85+M116+M153+M234+M245+M329+M400+M447+M585+M615)</f>
        <v>3202442.74</v>
      </c>
    </row>
    <row r="621" spans="7:13" ht="18" customHeight="1" hidden="1">
      <c r="G621" s="543">
        <f>SUM(G620-J620)</f>
        <v>0</v>
      </c>
      <c r="J621" s="33">
        <f>SUM('[2]ведомствен.2015-2016'!G791)</f>
        <v>3188337.8000000003</v>
      </c>
      <c r="K621" s="33">
        <f>SUM('[2]ведомствен.2015-2016'!H791)</f>
        <v>3202442.7400000007</v>
      </c>
      <c r="M621" s="60">
        <f>SUM(M620-K620)</f>
        <v>4.656612873077393E-10</v>
      </c>
    </row>
    <row r="623" spans="10:11" ht="12.75">
      <c r="J623" s="33">
        <f>SUM(J620-J621)</f>
        <v>0</v>
      </c>
      <c r="K623" s="33">
        <f>SUM(K620-K621)</f>
        <v>-9.313225746154785E-10</v>
      </c>
    </row>
  </sheetData>
  <sheetProtection/>
  <mergeCells count="1">
    <mergeCell ref="G5:M5"/>
  </mergeCells>
  <printOptions/>
  <pageMargins left="1.1023622047244095" right="0.15748031496062992" top="0.15748031496062992" bottom="0.03937007874015748" header="0.5118110236220472" footer="0.2362204724409449"/>
  <pageSetup fitToHeight="2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29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8.25390625" style="84" customWidth="1"/>
    <col min="2" max="2" width="6.875" style="85" customWidth="1"/>
    <col min="3" max="3" width="7.75390625" style="86" customWidth="1"/>
    <col min="4" max="4" width="6.875" style="86" customWidth="1"/>
    <col min="5" max="5" width="12.75390625" style="86" customWidth="1"/>
    <col min="6" max="6" width="10.125" style="86" customWidth="1"/>
    <col min="7" max="7" width="17.125" style="88" customWidth="1"/>
    <col min="8" max="8" width="11.00390625" style="88" hidden="1" customWidth="1"/>
    <col min="9" max="9" width="4.375" style="88" hidden="1" customWidth="1"/>
    <col min="10" max="10" width="5.75390625" style="86" customWidth="1"/>
    <col min="11" max="11" width="12.375" style="86" hidden="1" customWidth="1"/>
    <col min="12" max="16384" width="9.125" style="86" customWidth="1"/>
  </cols>
  <sheetData>
    <row r="1" spans="6:9" ht="15">
      <c r="F1" s="74" t="s">
        <v>1055</v>
      </c>
      <c r="G1" s="75"/>
      <c r="I1" s="89"/>
    </row>
    <row r="2" spans="1:9" ht="15">
      <c r="A2" s="84" t="s">
        <v>251</v>
      </c>
      <c r="F2" s="73" t="s">
        <v>1109</v>
      </c>
      <c r="G2" s="75"/>
      <c r="I2" s="89"/>
    </row>
    <row r="3" spans="6:9" ht="15">
      <c r="F3" s="73" t="s">
        <v>270</v>
      </c>
      <c r="G3" s="75"/>
      <c r="I3" s="89"/>
    </row>
    <row r="4" spans="6:9" ht="15">
      <c r="F4" s="73" t="s">
        <v>271</v>
      </c>
      <c r="G4" s="75"/>
      <c r="I4" s="89"/>
    </row>
    <row r="5" spans="2:7" ht="15.75" customHeight="1">
      <c r="B5" s="90" t="s">
        <v>252</v>
      </c>
      <c r="F5" s="633" t="s">
        <v>1112</v>
      </c>
      <c r="G5" s="633"/>
    </row>
    <row r="6" ht="15.75">
      <c r="B6" s="90" t="s">
        <v>253</v>
      </c>
    </row>
    <row r="7" ht="15.75">
      <c r="B7" s="90" t="s">
        <v>494</v>
      </c>
    </row>
    <row r="8" ht="16.5" thickBot="1">
      <c r="B8" s="76"/>
    </row>
    <row r="9" spans="1:9" ht="15">
      <c r="A9" s="635" t="s">
        <v>254</v>
      </c>
      <c r="B9" s="143" t="s">
        <v>276</v>
      </c>
      <c r="C9" s="144"/>
      <c r="D9" s="145"/>
      <c r="E9" s="145"/>
      <c r="F9" s="177"/>
      <c r="G9" s="128" t="s">
        <v>277</v>
      </c>
      <c r="H9" s="91" t="s">
        <v>278</v>
      </c>
      <c r="I9" s="91" t="s">
        <v>279</v>
      </c>
    </row>
    <row r="10" spans="1:9" ht="46.5" customHeight="1" thickBot="1">
      <c r="A10" s="636"/>
      <c r="B10" s="146" t="s">
        <v>280</v>
      </c>
      <c r="C10" s="147" t="s">
        <v>281</v>
      </c>
      <c r="D10" s="147" t="s">
        <v>282</v>
      </c>
      <c r="E10" s="147" t="s">
        <v>283</v>
      </c>
      <c r="F10" s="178" t="s">
        <v>509</v>
      </c>
      <c r="G10" s="129" t="s">
        <v>493</v>
      </c>
      <c r="H10" s="92" t="s">
        <v>457</v>
      </c>
      <c r="I10" s="92" t="s">
        <v>458</v>
      </c>
    </row>
    <row r="11" spans="1:9" ht="15.75">
      <c r="A11" s="108" t="s">
        <v>196</v>
      </c>
      <c r="B11" s="271" t="s">
        <v>197</v>
      </c>
      <c r="C11" s="272"/>
      <c r="D11" s="272"/>
      <c r="E11" s="272"/>
      <c r="F11" s="273"/>
      <c r="G11" s="257">
        <f>SUM(G12)</f>
        <v>19523</v>
      </c>
      <c r="H11" s="77" t="e">
        <f>SUM(H12)+#REF!+#REF!</f>
        <v>#REF!</v>
      </c>
      <c r="I11" s="77" t="e">
        <f aca="true" t="shared" si="0" ref="I11:I42">SUM(H11/G11*100)</f>
        <v>#REF!</v>
      </c>
    </row>
    <row r="12" spans="1:9" ht="15">
      <c r="A12" s="109" t="s">
        <v>459</v>
      </c>
      <c r="B12" s="274"/>
      <c r="C12" s="275" t="s">
        <v>460</v>
      </c>
      <c r="D12" s="275"/>
      <c r="E12" s="275"/>
      <c r="F12" s="276"/>
      <c r="G12" s="258">
        <f>SUM(G13+G17+G24)</f>
        <v>19523</v>
      </c>
      <c r="H12" s="20">
        <f>SUM(H13+H17+H24)</f>
        <v>9401.9</v>
      </c>
      <c r="I12" s="20">
        <f t="shared" si="0"/>
        <v>48.1580699687548</v>
      </c>
    </row>
    <row r="13" spans="1:9" ht="28.5">
      <c r="A13" s="109" t="s">
        <v>461</v>
      </c>
      <c r="B13" s="274"/>
      <c r="C13" s="275" t="s">
        <v>460</v>
      </c>
      <c r="D13" s="275" t="s">
        <v>462</v>
      </c>
      <c r="E13" s="275"/>
      <c r="F13" s="276"/>
      <c r="G13" s="258">
        <f>SUM(G14)</f>
        <v>1725</v>
      </c>
      <c r="H13" s="20">
        <f>SUM(H14)</f>
        <v>983.5</v>
      </c>
      <c r="I13" s="20">
        <f t="shared" si="0"/>
        <v>57.014492753623195</v>
      </c>
    </row>
    <row r="14" spans="1:9" ht="28.5">
      <c r="A14" s="109" t="s">
        <v>99</v>
      </c>
      <c r="B14" s="274"/>
      <c r="C14" s="275" t="s">
        <v>460</v>
      </c>
      <c r="D14" s="275" t="s">
        <v>462</v>
      </c>
      <c r="E14" s="275" t="s">
        <v>100</v>
      </c>
      <c r="F14" s="276"/>
      <c r="G14" s="258">
        <f>SUM(G16)</f>
        <v>1725</v>
      </c>
      <c r="H14" s="20">
        <f>SUM(H16:H16)</f>
        <v>983.5</v>
      </c>
      <c r="I14" s="20">
        <f t="shared" si="0"/>
        <v>57.014492753623195</v>
      </c>
    </row>
    <row r="15" spans="1:9" ht="15">
      <c r="A15" s="109" t="s">
        <v>101</v>
      </c>
      <c r="B15" s="274"/>
      <c r="C15" s="275" t="s">
        <v>460</v>
      </c>
      <c r="D15" s="275" t="s">
        <v>462</v>
      </c>
      <c r="E15" s="275" t="s">
        <v>102</v>
      </c>
      <c r="F15" s="276"/>
      <c r="G15" s="258">
        <f>SUM(G16)</f>
        <v>1725</v>
      </c>
      <c r="H15" s="20">
        <f>SUM(H16)</f>
        <v>983.5</v>
      </c>
      <c r="I15" s="20">
        <f t="shared" si="0"/>
        <v>57.014492753623195</v>
      </c>
    </row>
    <row r="16" spans="1:9" ht="28.5">
      <c r="A16" s="109" t="s">
        <v>495</v>
      </c>
      <c r="B16" s="274"/>
      <c r="C16" s="275" t="s">
        <v>460</v>
      </c>
      <c r="D16" s="275" t="s">
        <v>462</v>
      </c>
      <c r="E16" s="275" t="s">
        <v>102</v>
      </c>
      <c r="F16" s="276" t="s">
        <v>496</v>
      </c>
      <c r="G16" s="258">
        <v>1725</v>
      </c>
      <c r="H16" s="20">
        <v>983.5</v>
      </c>
      <c r="I16" s="20">
        <f t="shared" si="0"/>
        <v>57.014492753623195</v>
      </c>
    </row>
    <row r="17" spans="1:9" ht="42.75">
      <c r="A17" s="109" t="s">
        <v>105</v>
      </c>
      <c r="B17" s="274"/>
      <c r="C17" s="275" t="s">
        <v>460</v>
      </c>
      <c r="D17" s="275" t="s">
        <v>106</v>
      </c>
      <c r="E17" s="275"/>
      <c r="F17" s="276"/>
      <c r="G17" s="258">
        <f>SUM(G18)</f>
        <v>11314.2</v>
      </c>
      <c r="H17" s="20">
        <f>SUM(H18)</f>
        <v>8231.8</v>
      </c>
      <c r="I17" s="20">
        <f t="shared" si="0"/>
        <v>72.75635926534795</v>
      </c>
    </row>
    <row r="18" spans="1:9" ht="28.5">
      <c r="A18" s="109" t="s">
        <v>99</v>
      </c>
      <c r="B18" s="274"/>
      <c r="C18" s="275" t="s">
        <v>460</v>
      </c>
      <c r="D18" s="275" t="s">
        <v>106</v>
      </c>
      <c r="E18" s="275" t="s">
        <v>100</v>
      </c>
      <c r="F18" s="277"/>
      <c r="G18" s="258">
        <f>SUM(G19+G22)</f>
        <v>11314.2</v>
      </c>
      <c r="H18" s="20">
        <f>SUM(H19+H22)</f>
        <v>8231.8</v>
      </c>
      <c r="I18" s="20">
        <f t="shared" si="0"/>
        <v>72.75635926534795</v>
      </c>
    </row>
    <row r="19" spans="1:9" ht="15">
      <c r="A19" s="109" t="s">
        <v>107</v>
      </c>
      <c r="B19" s="274"/>
      <c r="C19" s="275" t="s">
        <v>754</v>
      </c>
      <c r="D19" s="275" t="s">
        <v>106</v>
      </c>
      <c r="E19" s="275" t="s">
        <v>109</v>
      </c>
      <c r="F19" s="277"/>
      <c r="G19" s="258">
        <f>SUM(G20+G21)</f>
        <v>11314.2</v>
      </c>
      <c r="H19" s="20">
        <f>SUM(H20)</f>
        <v>8068.7</v>
      </c>
      <c r="I19" s="20">
        <f t="shared" si="0"/>
        <v>71.31480794046419</v>
      </c>
    </row>
    <row r="20" spans="1:9" ht="28.5">
      <c r="A20" s="109" t="s">
        <v>495</v>
      </c>
      <c r="B20" s="274"/>
      <c r="C20" s="275" t="s">
        <v>460</v>
      </c>
      <c r="D20" s="275" t="s">
        <v>106</v>
      </c>
      <c r="E20" s="275" t="s">
        <v>109</v>
      </c>
      <c r="F20" s="276" t="s">
        <v>496</v>
      </c>
      <c r="G20" s="258">
        <v>11314.2</v>
      </c>
      <c r="H20" s="20">
        <v>8068.7</v>
      </c>
      <c r="I20" s="20">
        <f t="shared" si="0"/>
        <v>71.31480794046419</v>
      </c>
    </row>
    <row r="21" spans="1:9" ht="15">
      <c r="A21" s="109" t="s">
        <v>500</v>
      </c>
      <c r="B21" s="274"/>
      <c r="C21" s="275" t="s">
        <v>460</v>
      </c>
      <c r="D21" s="275" t="s">
        <v>106</v>
      </c>
      <c r="E21" s="275" t="s">
        <v>109</v>
      </c>
      <c r="F21" s="276" t="s">
        <v>120</v>
      </c>
      <c r="G21" s="259"/>
      <c r="H21" s="20"/>
      <c r="I21" s="20"/>
    </row>
    <row r="22" spans="1:9" ht="15" hidden="1">
      <c r="A22" s="109" t="s">
        <v>110</v>
      </c>
      <c r="B22" s="274"/>
      <c r="C22" s="275" t="s">
        <v>108</v>
      </c>
      <c r="D22" s="275" t="s">
        <v>106</v>
      </c>
      <c r="E22" s="275" t="s">
        <v>111</v>
      </c>
      <c r="F22" s="276"/>
      <c r="G22" s="258">
        <f>SUM(G23)</f>
        <v>0</v>
      </c>
      <c r="H22" s="20">
        <f>SUM(H23)</f>
        <v>163.1</v>
      </c>
      <c r="I22" s="20" t="e">
        <f t="shared" si="0"/>
        <v>#DIV/0!</v>
      </c>
    </row>
    <row r="23" spans="1:9" ht="15" hidden="1">
      <c r="A23" s="109" t="s">
        <v>103</v>
      </c>
      <c r="B23" s="274"/>
      <c r="C23" s="275" t="s">
        <v>108</v>
      </c>
      <c r="D23" s="275" t="s">
        <v>106</v>
      </c>
      <c r="E23" s="275" t="s">
        <v>111</v>
      </c>
      <c r="F23" s="276" t="s">
        <v>104</v>
      </c>
      <c r="G23" s="258"/>
      <c r="H23" s="20">
        <v>163.1</v>
      </c>
      <c r="I23" s="20" t="e">
        <f t="shared" si="0"/>
        <v>#DIV/0!</v>
      </c>
    </row>
    <row r="24" spans="1:9" ht="15">
      <c r="A24" s="109" t="s">
        <v>112</v>
      </c>
      <c r="B24" s="274"/>
      <c r="C24" s="275" t="s">
        <v>460</v>
      </c>
      <c r="D24" s="275" t="s">
        <v>236</v>
      </c>
      <c r="E24" s="275"/>
      <c r="F24" s="277"/>
      <c r="G24" s="258">
        <f>SUM(G25)</f>
        <v>6483.799999999999</v>
      </c>
      <c r="H24" s="20">
        <f>SUM(H31)</f>
        <v>186.6</v>
      </c>
      <c r="I24" s="20">
        <f t="shared" si="0"/>
        <v>2.8779419476233072</v>
      </c>
    </row>
    <row r="25" spans="1:9" ht="28.5">
      <c r="A25" s="109" t="s">
        <v>497</v>
      </c>
      <c r="B25" s="274"/>
      <c r="C25" s="275" t="s">
        <v>460</v>
      </c>
      <c r="D25" s="275" t="s">
        <v>236</v>
      </c>
      <c r="E25" s="275" t="s">
        <v>498</v>
      </c>
      <c r="F25" s="277"/>
      <c r="G25" s="258">
        <f>SUM(G26+G29+G31)</f>
        <v>6483.799999999999</v>
      </c>
      <c r="H25" s="20"/>
      <c r="I25" s="20"/>
    </row>
    <row r="26" spans="1:9" ht="15">
      <c r="A26" s="109" t="s">
        <v>486</v>
      </c>
      <c r="B26" s="274"/>
      <c r="C26" s="275" t="s">
        <v>460</v>
      </c>
      <c r="D26" s="275" t="s">
        <v>236</v>
      </c>
      <c r="E26" s="275" t="s">
        <v>499</v>
      </c>
      <c r="F26" s="276"/>
      <c r="G26" s="259">
        <f>SUM(G27:G28)</f>
        <v>564.1999999999999</v>
      </c>
      <c r="H26" s="20"/>
      <c r="I26" s="20"/>
    </row>
    <row r="27" spans="1:9" ht="15">
      <c r="A27" s="109" t="s">
        <v>500</v>
      </c>
      <c r="B27" s="274"/>
      <c r="C27" s="275" t="s">
        <v>460</v>
      </c>
      <c r="D27" s="275" t="s">
        <v>236</v>
      </c>
      <c r="E27" s="275" t="s">
        <v>499</v>
      </c>
      <c r="F27" s="276" t="s">
        <v>120</v>
      </c>
      <c r="G27" s="259">
        <v>519.8</v>
      </c>
      <c r="H27" s="20"/>
      <c r="I27" s="20"/>
    </row>
    <row r="28" spans="1:9" ht="15">
      <c r="A28" s="109" t="s">
        <v>501</v>
      </c>
      <c r="B28" s="274"/>
      <c r="C28" s="275" t="s">
        <v>460</v>
      </c>
      <c r="D28" s="275" t="s">
        <v>236</v>
      </c>
      <c r="E28" s="275" t="s">
        <v>499</v>
      </c>
      <c r="F28" s="276" t="s">
        <v>176</v>
      </c>
      <c r="G28" s="259">
        <v>44.4</v>
      </c>
      <c r="H28" s="20"/>
      <c r="I28" s="20"/>
    </row>
    <row r="29" spans="1:9" ht="28.5">
      <c r="A29" s="109" t="s">
        <v>487</v>
      </c>
      <c r="B29" s="274"/>
      <c r="C29" s="275" t="s">
        <v>460</v>
      </c>
      <c r="D29" s="275" t="s">
        <v>236</v>
      </c>
      <c r="E29" s="275" t="s">
        <v>502</v>
      </c>
      <c r="F29" s="276"/>
      <c r="G29" s="259">
        <f>SUM(G30)</f>
        <v>363.4</v>
      </c>
      <c r="H29" s="20"/>
      <c r="I29" s="20"/>
    </row>
    <row r="30" spans="1:9" ht="15">
      <c r="A30" s="109" t="s">
        <v>500</v>
      </c>
      <c r="B30" s="274"/>
      <c r="C30" s="275" t="s">
        <v>460</v>
      </c>
      <c r="D30" s="275" t="s">
        <v>236</v>
      </c>
      <c r="E30" s="275" t="s">
        <v>502</v>
      </c>
      <c r="F30" s="276" t="s">
        <v>120</v>
      </c>
      <c r="G30" s="259">
        <v>363.4</v>
      </c>
      <c r="H30" s="20"/>
      <c r="I30" s="20"/>
    </row>
    <row r="31" spans="1:9" ht="28.5">
      <c r="A31" s="110" t="s">
        <v>503</v>
      </c>
      <c r="B31" s="274"/>
      <c r="C31" s="275" t="s">
        <v>460</v>
      </c>
      <c r="D31" s="275" t="s">
        <v>236</v>
      </c>
      <c r="E31" s="275" t="s">
        <v>504</v>
      </c>
      <c r="F31" s="278"/>
      <c r="G31" s="258">
        <f>SUM(G32:G34)</f>
        <v>5556.2</v>
      </c>
      <c r="H31" s="20">
        <f>SUM(H34)</f>
        <v>186.6</v>
      </c>
      <c r="I31" s="20">
        <f t="shared" si="0"/>
        <v>3.358410424390771</v>
      </c>
    </row>
    <row r="32" spans="1:9" ht="15">
      <c r="A32" s="109" t="s">
        <v>500</v>
      </c>
      <c r="B32" s="274"/>
      <c r="C32" s="275" t="s">
        <v>460</v>
      </c>
      <c r="D32" s="275" t="s">
        <v>236</v>
      </c>
      <c r="E32" s="275" t="s">
        <v>504</v>
      </c>
      <c r="F32" s="278" t="s">
        <v>120</v>
      </c>
      <c r="G32" s="258">
        <v>4877.9</v>
      </c>
      <c r="H32" s="20">
        <f>SUM(H34)</f>
        <v>186.6</v>
      </c>
      <c r="I32" s="20">
        <f t="shared" si="0"/>
        <v>3.825416675208594</v>
      </c>
    </row>
    <row r="33" spans="1:9" ht="15">
      <c r="A33" s="109" t="s">
        <v>505</v>
      </c>
      <c r="B33" s="274"/>
      <c r="C33" s="275" t="s">
        <v>460</v>
      </c>
      <c r="D33" s="275" t="s">
        <v>236</v>
      </c>
      <c r="E33" s="275" t="s">
        <v>504</v>
      </c>
      <c r="F33" s="278" t="s">
        <v>506</v>
      </c>
      <c r="G33" s="258">
        <v>667.7</v>
      </c>
      <c r="H33" s="20"/>
      <c r="I33" s="20"/>
    </row>
    <row r="34" spans="1:9" ht="15">
      <c r="A34" s="109" t="s">
        <v>501</v>
      </c>
      <c r="B34" s="274"/>
      <c r="C34" s="275" t="s">
        <v>460</v>
      </c>
      <c r="D34" s="275" t="s">
        <v>236</v>
      </c>
      <c r="E34" s="275" t="s">
        <v>504</v>
      </c>
      <c r="F34" s="278" t="s">
        <v>176</v>
      </c>
      <c r="G34" s="258">
        <v>10.6</v>
      </c>
      <c r="H34" s="20">
        <v>186.6</v>
      </c>
      <c r="I34" s="20">
        <f t="shared" si="0"/>
        <v>1760.377358490566</v>
      </c>
    </row>
    <row r="35" spans="1:9" ht="15.75">
      <c r="A35" s="111" t="s">
        <v>198</v>
      </c>
      <c r="B35" s="279" t="s">
        <v>199</v>
      </c>
      <c r="C35" s="280"/>
      <c r="D35" s="280"/>
      <c r="E35" s="280"/>
      <c r="F35" s="277"/>
      <c r="G35" s="260">
        <f aca="true" t="shared" si="1" ref="G35:H37">SUM(G36)</f>
        <v>6539.200000000001</v>
      </c>
      <c r="H35" s="78" t="e">
        <f t="shared" si="1"/>
        <v>#REF!</v>
      </c>
      <c r="I35" s="78" t="e">
        <f t="shared" si="0"/>
        <v>#REF!</v>
      </c>
    </row>
    <row r="36" spans="1:9" ht="15">
      <c r="A36" s="109" t="s">
        <v>459</v>
      </c>
      <c r="B36" s="274"/>
      <c r="C36" s="275" t="s">
        <v>460</v>
      </c>
      <c r="D36" s="275"/>
      <c r="E36" s="275"/>
      <c r="F36" s="276"/>
      <c r="G36" s="258">
        <f>SUM(G37)+G44</f>
        <v>6539.200000000001</v>
      </c>
      <c r="H36" s="20" t="e">
        <f t="shared" si="1"/>
        <v>#REF!</v>
      </c>
      <c r="I36" s="20" t="e">
        <f t="shared" si="0"/>
        <v>#REF!</v>
      </c>
    </row>
    <row r="37" spans="1:9" ht="28.5">
      <c r="A37" s="110" t="s">
        <v>390</v>
      </c>
      <c r="B37" s="274"/>
      <c r="C37" s="275" t="s">
        <v>460</v>
      </c>
      <c r="D37" s="275" t="s">
        <v>391</v>
      </c>
      <c r="E37" s="275"/>
      <c r="F37" s="276"/>
      <c r="G37" s="258">
        <f t="shared" si="1"/>
        <v>5576.3</v>
      </c>
      <c r="H37" s="20" t="e">
        <f t="shared" si="1"/>
        <v>#REF!</v>
      </c>
      <c r="I37" s="20" t="e">
        <f t="shared" si="0"/>
        <v>#REF!</v>
      </c>
    </row>
    <row r="38" spans="1:9" ht="28.5">
      <c r="A38" s="109" t="s">
        <v>99</v>
      </c>
      <c r="B38" s="274"/>
      <c r="C38" s="275" t="s">
        <v>460</v>
      </c>
      <c r="D38" s="275" t="s">
        <v>391</v>
      </c>
      <c r="E38" s="275" t="s">
        <v>100</v>
      </c>
      <c r="F38" s="277"/>
      <c r="G38" s="258">
        <f>SUM(G39+G42)</f>
        <v>5576.3</v>
      </c>
      <c r="H38" s="20" t="e">
        <f>SUM(H39+H42)</f>
        <v>#REF!</v>
      </c>
      <c r="I38" s="20" t="e">
        <f t="shared" si="0"/>
        <v>#REF!</v>
      </c>
    </row>
    <row r="39" spans="1:9" ht="15">
      <c r="A39" s="109" t="s">
        <v>107</v>
      </c>
      <c r="B39" s="274"/>
      <c r="C39" s="275" t="s">
        <v>460</v>
      </c>
      <c r="D39" s="275" t="s">
        <v>391</v>
      </c>
      <c r="E39" s="275" t="s">
        <v>109</v>
      </c>
      <c r="F39" s="277"/>
      <c r="G39" s="258">
        <f>SUM(G40)+G41</f>
        <v>3884.3</v>
      </c>
      <c r="H39" s="20">
        <f>SUM(H40)</f>
        <v>2155.5</v>
      </c>
      <c r="I39" s="20">
        <f t="shared" si="0"/>
        <v>55.49262415364416</v>
      </c>
    </row>
    <row r="40" spans="1:9" ht="28.5">
      <c r="A40" s="109" t="s">
        <v>495</v>
      </c>
      <c r="B40" s="274"/>
      <c r="C40" s="275" t="s">
        <v>460</v>
      </c>
      <c r="D40" s="275" t="s">
        <v>391</v>
      </c>
      <c r="E40" s="275" t="s">
        <v>109</v>
      </c>
      <c r="F40" s="276" t="s">
        <v>496</v>
      </c>
      <c r="G40" s="258">
        <f>3229.6+547.9+77.8+19.9</f>
        <v>3875.2000000000003</v>
      </c>
      <c r="H40" s="20">
        <v>2155.5</v>
      </c>
      <c r="I40" s="20">
        <f t="shared" si="0"/>
        <v>55.62293559042114</v>
      </c>
    </row>
    <row r="41" spans="1:9" ht="15">
      <c r="A41" s="109" t="s">
        <v>500</v>
      </c>
      <c r="B41" s="274"/>
      <c r="C41" s="275" t="s">
        <v>460</v>
      </c>
      <c r="D41" s="275" t="s">
        <v>391</v>
      </c>
      <c r="E41" s="275" t="s">
        <v>109</v>
      </c>
      <c r="F41" s="276" t="s">
        <v>120</v>
      </c>
      <c r="G41" s="259">
        <f>8.3+0.8</f>
        <v>9.100000000000001</v>
      </c>
      <c r="H41" s="20"/>
      <c r="I41" s="20"/>
    </row>
    <row r="42" spans="1:9" s="93" customFormat="1" ht="28.5">
      <c r="A42" s="109" t="s">
        <v>394</v>
      </c>
      <c r="B42" s="274"/>
      <c r="C42" s="275" t="s">
        <v>108</v>
      </c>
      <c r="D42" s="275" t="s">
        <v>391</v>
      </c>
      <c r="E42" s="275" t="s">
        <v>395</v>
      </c>
      <c r="F42" s="278"/>
      <c r="G42" s="258">
        <f>SUM(G43)</f>
        <v>1692</v>
      </c>
      <c r="H42" s="20" t="e">
        <f>SUM(#REF!)</f>
        <v>#REF!</v>
      </c>
      <c r="I42" s="20" t="e">
        <f t="shared" si="0"/>
        <v>#REF!</v>
      </c>
    </row>
    <row r="43" spans="1:9" s="93" customFormat="1" ht="28.5">
      <c r="A43" s="109" t="s">
        <v>495</v>
      </c>
      <c r="B43" s="274"/>
      <c r="C43" s="275" t="s">
        <v>108</v>
      </c>
      <c r="D43" s="275" t="s">
        <v>391</v>
      </c>
      <c r="E43" s="275" t="s">
        <v>395</v>
      </c>
      <c r="F43" s="276" t="s">
        <v>496</v>
      </c>
      <c r="G43" s="258">
        <v>1692</v>
      </c>
      <c r="H43" s="20"/>
      <c r="I43" s="20"/>
    </row>
    <row r="44" spans="1:9" s="93" customFormat="1" ht="15">
      <c r="A44" s="109" t="s">
        <v>112</v>
      </c>
      <c r="B44" s="274"/>
      <c r="C44" s="275" t="s">
        <v>460</v>
      </c>
      <c r="D44" s="275" t="s">
        <v>236</v>
      </c>
      <c r="E44" s="275"/>
      <c r="F44" s="277"/>
      <c r="G44" s="258">
        <f>SUM(G45)</f>
        <v>962.9000000000001</v>
      </c>
      <c r="H44" s="20"/>
      <c r="I44" s="20"/>
    </row>
    <row r="45" spans="1:9" s="93" customFormat="1" ht="28.5">
      <c r="A45" s="109" t="s">
        <v>497</v>
      </c>
      <c r="B45" s="274"/>
      <c r="C45" s="275" t="s">
        <v>460</v>
      </c>
      <c r="D45" s="275" t="s">
        <v>236</v>
      </c>
      <c r="E45" s="275" t="s">
        <v>498</v>
      </c>
      <c r="F45" s="277"/>
      <c r="G45" s="258">
        <f>SUM(G46+G49+G51)</f>
        <v>962.9000000000001</v>
      </c>
      <c r="H45" s="20"/>
      <c r="I45" s="20"/>
    </row>
    <row r="46" spans="1:9" s="93" customFormat="1" ht="15">
      <c r="A46" s="109" t="s">
        <v>486</v>
      </c>
      <c r="B46" s="274"/>
      <c r="C46" s="275" t="s">
        <v>460</v>
      </c>
      <c r="D46" s="275" t="s">
        <v>236</v>
      </c>
      <c r="E46" s="275" t="s">
        <v>499</v>
      </c>
      <c r="F46" s="276"/>
      <c r="G46" s="259">
        <f>SUM(G47:G48)</f>
        <v>159.8</v>
      </c>
      <c r="H46" s="20"/>
      <c r="I46" s="20"/>
    </row>
    <row r="47" spans="1:9" s="93" customFormat="1" ht="15">
      <c r="A47" s="109" t="s">
        <v>500</v>
      </c>
      <c r="B47" s="274"/>
      <c r="C47" s="275" t="s">
        <v>460</v>
      </c>
      <c r="D47" s="275" t="s">
        <v>236</v>
      </c>
      <c r="E47" s="275" t="s">
        <v>499</v>
      </c>
      <c r="F47" s="276" t="s">
        <v>120</v>
      </c>
      <c r="G47" s="259">
        <v>157</v>
      </c>
      <c r="H47" s="20"/>
      <c r="I47" s="20"/>
    </row>
    <row r="48" spans="1:9" s="93" customFormat="1" ht="15">
      <c r="A48" s="109" t="s">
        <v>501</v>
      </c>
      <c r="B48" s="274"/>
      <c r="C48" s="275" t="s">
        <v>460</v>
      </c>
      <c r="D48" s="275" t="s">
        <v>236</v>
      </c>
      <c r="E48" s="275" t="s">
        <v>499</v>
      </c>
      <c r="F48" s="276" t="s">
        <v>176</v>
      </c>
      <c r="G48" s="259">
        <v>2.8</v>
      </c>
      <c r="H48" s="20"/>
      <c r="I48" s="20"/>
    </row>
    <row r="49" spans="1:9" s="93" customFormat="1" ht="28.5">
      <c r="A49" s="109" t="s">
        <v>487</v>
      </c>
      <c r="B49" s="274"/>
      <c r="C49" s="275" t="s">
        <v>460</v>
      </c>
      <c r="D49" s="275" t="s">
        <v>236</v>
      </c>
      <c r="E49" s="275" t="s">
        <v>502</v>
      </c>
      <c r="F49" s="276"/>
      <c r="G49" s="259">
        <f>SUM(G50)</f>
        <v>199.5</v>
      </c>
      <c r="H49" s="20"/>
      <c r="I49" s="20"/>
    </row>
    <row r="50" spans="1:9" s="93" customFormat="1" ht="15">
      <c r="A50" s="109" t="s">
        <v>500</v>
      </c>
      <c r="B50" s="274"/>
      <c r="C50" s="275" t="s">
        <v>460</v>
      </c>
      <c r="D50" s="275" t="s">
        <v>236</v>
      </c>
      <c r="E50" s="275" t="s">
        <v>502</v>
      </c>
      <c r="F50" s="276" t="s">
        <v>120</v>
      </c>
      <c r="G50" s="259">
        <v>199.5</v>
      </c>
      <c r="H50" s="20"/>
      <c r="I50" s="20"/>
    </row>
    <row r="51" spans="1:9" s="93" customFormat="1" ht="28.5">
      <c r="A51" s="110" t="s">
        <v>503</v>
      </c>
      <c r="B51" s="274"/>
      <c r="C51" s="275" t="s">
        <v>460</v>
      </c>
      <c r="D51" s="275" t="s">
        <v>236</v>
      </c>
      <c r="E51" s="275" t="s">
        <v>504</v>
      </c>
      <c r="F51" s="278"/>
      <c r="G51" s="258">
        <f>SUM(G52:G53)</f>
        <v>603.6</v>
      </c>
      <c r="H51" s="20"/>
      <c r="I51" s="20"/>
    </row>
    <row r="52" spans="1:9" s="93" customFormat="1" ht="15">
      <c r="A52" s="109" t="s">
        <v>500</v>
      </c>
      <c r="B52" s="274"/>
      <c r="C52" s="275" t="s">
        <v>460</v>
      </c>
      <c r="D52" s="275" t="s">
        <v>236</v>
      </c>
      <c r="E52" s="275" t="s">
        <v>504</v>
      </c>
      <c r="F52" s="278" t="s">
        <v>120</v>
      </c>
      <c r="G52" s="258">
        <v>597</v>
      </c>
      <c r="H52" s="20"/>
      <c r="I52" s="20"/>
    </row>
    <row r="53" spans="1:9" s="93" customFormat="1" ht="15">
      <c r="A53" s="109" t="s">
        <v>501</v>
      </c>
      <c r="B53" s="274"/>
      <c r="C53" s="275" t="s">
        <v>460</v>
      </c>
      <c r="D53" s="275" t="s">
        <v>236</v>
      </c>
      <c r="E53" s="275" t="s">
        <v>504</v>
      </c>
      <c r="F53" s="278" t="s">
        <v>176</v>
      </c>
      <c r="G53" s="258">
        <v>6.6</v>
      </c>
      <c r="H53" s="20"/>
      <c r="I53" s="20"/>
    </row>
    <row r="54" spans="1:11" ht="15.75">
      <c r="A54" s="112" t="s">
        <v>200</v>
      </c>
      <c r="B54" s="281" t="s">
        <v>201</v>
      </c>
      <c r="C54" s="282"/>
      <c r="D54" s="282"/>
      <c r="E54" s="282"/>
      <c r="F54" s="283"/>
      <c r="G54" s="260">
        <f>SUM(G55+G101+G133+G176+G284+G296+G302)+G327</f>
        <v>675263.6</v>
      </c>
      <c r="H54" s="78" t="e">
        <f>SUM(H55+H103+#REF!+#REF!+#REF!+#REF!+#REF!+#REF!+#REF!)</f>
        <v>#REF!</v>
      </c>
      <c r="I54" s="78" t="e">
        <f>SUM(H54/G54*100)</f>
        <v>#REF!</v>
      </c>
      <c r="K54" s="86">
        <f>332817.3+100499.7+16967.1+205951.1+21459.4+38.6+51.7+86.3-916.7-683.2+172.8-1181.2</f>
        <v>675262.9000000001</v>
      </c>
    </row>
    <row r="55" spans="1:11" ht="15">
      <c r="A55" s="109" t="s">
        <v>459</v>
      </c>
      <c r="B55" s="274"/>
      <c r="C55" s="275" t="s">
        <v>460</v>
      </c>
      <c r="D55" s="275"/>
      <c r="E55" s="275"/>
      <c r="F55" s="276"/>
      <c r="G55" s="258">
        <f>SUM(G56+G78+G75)</f>
        <v>137266.5</v>
      </c>
      <c r="H55" s="20" t="e">
        <f>SUM(H56+H76+#REF!+H74+#REF!)</f>
        <v>#REF!</v>
      </c>
      <c r="I55" s="20" t="e">
        <f>SUM(H55/G55*100)</f>
        <v>#REF!</v>
      </c>
      <c r="K55" s="105">
        <f>SUM(K54-G54)</f>
        <v>-0.6999999998370185</v>
      </c>
    </row>
    <row r="56" spans="1:11" ht="28.5">
      <c r="A56" s="109" t="s">
        <v>256</v>
      </c>
      <c r="B56" s="274"/>
      <c r="C56" s="275" t="s">
        <v>460</v>
      </c>
      <c r="D56" s="275" t="s">
        <v>122</v>
      </c>
      <c r="E56" s="275"/>
      <c r="F56" s="276"/>
      <c r="G56" s="258">
        <f>SUM(G57)</f>
        <v>96305.4</v>
      </c>
      <c r="H56" s="20" t="e">
        <f>SUM(H57)+#REF!+H69</f>
        <v>#REF!</v>
      </c>
      <c r="I56" s="20" t="e">
        <f>SUM(H56/G56*100)</f>
        <v>#REF!</v>
      </c>
      <c r="K56" s="86">
        <f>116547.2+21459.4+38.6+51.7-916.7+86.3</f>
        <v>137266.5</v>
      </c>
    </row>
    <row r="57" spans="1:9" ht="28.5">
      <c r="A57" s="109" t="s">
        <v>99</v>
      </c>
      <c r="B57" s="274"/>
      <c r="C57" s="275" t="s">
        <v>460</v>
      </c>
      <c r="D57" s="275" t="s">
        <v>122</v>
      </c>
      <c r="E57" s="275" t="s">
        <v>100</v>
      </c>
      <c r="F57" s="277"/>
      <c r="G57" s="258">
        <f>SUM(G58+G73+G61+G64+G67+G70)</f>
        <v>96305.4</v>
      </c>
      <c r="H57" s="20" t="e">
        <f>SUM(H58+H68)</f>
        <v>#REF!</v>
      </c>
      <c r="I57" s="20" t="e">
        <f>SUM(H57/G57*100)</f>
        <v>#REF!</v>
      </c>
    </row>
    <row r="58" spans="1:9" ht="15">
      <c r="A58" s="109" t="s">
        <v>107</v>
      </c>
      <c r="B58" s="274"/>
      <c r="C58" s="275" t="s">
        <v>460</v>
      </c>
      <c r="D58" s="275" t="s">
        <v>122</v>
      </c>
      <c r="E58" s="275" t="s">
        <v>109</v>
      </c>
      <c r="F58" s="277"/>
      <c r="G58" s="258">
        <f>SUM(G59+G60)</f>
        <v>92995.4</v>
      </c>
      <c r="H58" s="20" t="e">
        <f>SUM(H59:H59+H60+H61+H63)+#REF!+H64</f>
        <v>#REF!</v>
      </c>
      <c r="I58" s="20" t="e">
        <f>SUM(H58/G58*100)</f>
        <v>#REF!</v>
      </c>
    </row>
    <row r="59" spans="1:9" ht="28.5">
      <c r="A59" s="109" t="s">
        <v>495</v>
      </c>
      <c r="B59" s="274"/>
      <c r="C59" s="275" t="s">
        <v>460</v>
      </c>
      <c r="D59" s="275" t="s">
        <v>122</v>
      </c>
      <c r="E59" s="275" t="s">
        <v>109</v>
      </c>
      <c r="F59" s="276" t="s">
        <v>496</v>
      </c>
      <c r="G59" s="258">
        <f>71505.9+21459.4</f>
        <v>92965.29999999999</v>
      </c>
      <c r="H59" s="20">
        <v>50612.1</v>
      </c>
      <c r="I59" s="20" t="e">
        <f>SUM(H59/#REF!*100)</f>
        <v>#REF!</v>
      </c>
    </row>
    <row r="60" spans="1:9" ht="15">
      <c r="A60" s="109" t="s">
        <v>500</v>
      </c>
      <c r="B60" s="274"/>
      <c r="C60" s="275" t="s">
        <v>460</v>
      </c>
      <c r="D60" s="275" t="s">
        <v>122</v>
      </c>
      <c r="E60" s="275" t="s">
        <v>109</v>
      </c>
      <c r="F60" s="276" t="s">
        <v>120</v>
      </c>
      <c r="G60" s="259">
        <v>30.1</v>
      </c>
      <c r="H60" s="20">
        <v>507.8</v>
      </c>
      <c r="I60" s="20">
        <f>SUM(H60/G61*100)</f>
        <v>36.46940534329216</v>
      </c>
    </row>
    <row r="61" spans="1:9" ht="28.5">
      <c r="A61" s="109" t="s">
        <v>126</v>
      </c>
      <c r="B61" s="274"/>
      <c r="C61" s="275" t="s">
        <v>460</v>
      </c>
      <c r="D61" s="275" t="s">
        <v>122</v>
      </c>
      <c r="E61" s="275" t="s">
        <v>127</v>
      </c>
      <c r="F61" s="276"/>
      <c r="G61" s="258">
        <f>SUM(G62:G63)</f>
        <v>1392.3999999999999</v>
      </c>
      <c r="H61" s="20">
        <v>41.9</v>
      </c>
      <c r="I61" s="20">
        <f>SUM(H61/G64*100)</f>
        <v>44.669509594882726</v>
      </c>
    </row>
    <row r="62" spans="1:9" ht="28.5">
      <c r="A62" s="109" t="s">
        <v>495</v>
      </c>
      <c r="B62" s="274"/>
      <c r="C62" s="275" t="s">
        <v>460</v>
      </c>
      <c r="D62" s="275" t="s">
        <v>122</v>
      </c>
      <c r="E62" s="275" t="s">
        <v>127</v>
      </c>
      <c r="F62" s="276" t="s">
        <v>496</v>
      </c>
      <c r="G62" s="258">
        <v>1368.8</v>
      </c>
      <c r="H62" s="20"/>
      <c r="I62" s="20"/>
    </row>
    <row r="63" spans="1:9" ht="15">
      <c r="A63" s="109" t="s">
        <v>500</v>
      </c>
      <c r="B63" s="274"/>
      <c r="C63" s="275" t="s">
        <v>460</v>
      </c>
      <c r="D63" s="275" t="s">
        <v>122</v>
      </c>
      <c r="E63" s="275" t="s">
        <v>127</v>
      </c>
      <c r="F63" s="276" t="s">
        <v>120</v>
      </c>
      <c r="G63" s="259">
        <v>23.6</v>
      </c>
      <c r="H63" s="20"/>
      <c r="I63" s="20">
        <f>SUM(H63/G66*100)</f>
        <v>0</v>
      </c>
    </row>
    <row r="64" spans="1:9" s="87" customFormat="1" ht="42.75">
      <c r="A64" s="109" t="s">
        <v>383</v>
      </c>
      <c r="B64" s="274"/>
      <c r="C64" s="275" t="s">
        <v>460</v>
      </c>
      <c r="D64" s="275" t="s">
        <v>122</v>
      </c>
      <c r="E64" s="275" t="s">
        <v>384</v>
      </c>
      <c r="F64" s="276"/>
      <c r="G64" s="258">
        <f>SUM(G65:G66)</f>
        <v>93.8</v>
      </c>
      <c r="H64" s="20"/>
      <c r="I64" s="20">
        <f>SUM(H64/G69*100)</f>
        <v>0</v>
      </c>
    </row>
    <row r="65" spans="1:9" s="87" customFormat="1" ht="28.5">
      <c r="A65" s="109" t="s">
        <v>495</v>
      </c>
      <c r="B65" s="274"/>
      <c r="C65" s="275" t="s">
        <v>460</v>
      </c>
      <c r="D65" s="275" t="s">
        <v>122</v>
      </c>
      <c r="E65" s="275" t="s">
        <v>384</v>
      </c>
      <c r="F65" s="276" t="s">
        <v>496</v>
      </c>
      <c r="G65" s="258">
        <v>72.3</v>
      </c>
      <c r="H65" s="20"/>
      <c r="I65" s="20"/>
    </row>
    <row r="66" spans="1:9" s="87" customFormat="1" ht="15">
      <c r="A66" s="109" t="s">
        <v>500</v>
      </c>
      <c r="B66" s="274"/>
      <c r="C66" s="275" t="s">
        <v>460</v>
      </c>
      <c r="D66" s="275" t="s">
        <v>122</v>
      </c>
      <c r="E66" s="275" t="s">
        <v>384</v>
      </c>
      <c r="F66" s="276" t="s">
        <v>120</v>
      </c>
      <c r="G66" s="259">
        <v>21.5</v>
      </c>
      <c r="H66" s="20"/>
      <c r="I66" s="20"/>
    </row>
    <row r="67" spans="1:9" s="87" customFormat="1" ht="28.5">
      <c r="A67" s="113" t="s">
        <v>60</v>
      </c>
      <c r="B67" s="284"/>
      <c r="C67" s="280" t="s">
        <v>460</v>
      </c>
      <c r="D67" s="280" t="s">
        <v>122</v>
      </c>
      <c r="E67" s="280" t="s">
        <v>61</v>
      </c>
      <c r="F67" s="277"/>
      <c r="G67" s="258">
        <f>SUM(G68:G69)</f>
        <v>179.6</v>
      </c>
      <c r="H67" s="20"/>
      <c r="I67" s="20"/>
    </row>
    <row r="68" spans="1:9" s="93" customFormat="1" ht="28.5">
      <c r="A68" s="109" t="s">
        <v>495</v>
      </c>
      <c r="B68" s="274"/>
      <c r="C68" s="275" t="s">
        <v>460</v>
      </c>
      <c r="D68" s="275" t="s">
        <v>122</v>
      </c>
      <c r="E68" s="280" t="s">
        <v>61</v>
      </c>
      <c r="F68" s="276" t="s">
        <v>496</v>
      </c>
      <c r="G68" s="258">
        <v>140</v>
      </c>
      <c r="H68" s="20" t="e">
        <f>SUM(#REF!)</f>
        <v>#REF!</v>
      </c>
      <c r="I68" s="20" t="e">
        <f>SUM(H68/G73*100)</f>
        <v>#REF!</v>
      </c>
    </row>
    <row r="69" spans="1:9" s="93" customFormat="1" ht="15">
      <c r="A69" s="109" t="s">
        <v>500</v>
      </c>
      <c r="B69" s="274"/>
      <c r="C69" s="275" t="s">
        <v>460</v>
      </c>
      <c r="D69" s="275" t="s">
        <v>122</v>
      </c>
      <c r="E69" s="280" t="s">
        <v>61</v>
      </c>
      <c r="F69" s="276" t="s">
        <v>120</v>
      </c>
      <c r="G69" s="259">
        <v>39.6</v>
      </c>
      <c r="H69" s="20" t="e">
        <f>SUM(#REF!)</f>
        <v>#REF!</v>
      </c>
      <c r="I69" s="20" t="e">
        <f>SUM(H69/#REF!*100)</f>
        <v>#REF!</v>
      </c>
    </row>
    <row r="70" spans="1:9" s="93" customFormat="1" ht="28.5">
      <c r="A70" s="113" t="s">
        <v>148</v>
      </c>
      <c r="B70" s="284"/>
      <c r="C70" s="280" t="s">
        <v>460</v>
      </c>
      <c r="D70" s="280" t="s">
        <v>122</v>
      </c>
      <c r="E70" s="280" t="s">
        <v>149</v>
      </c>
      <c r="F70" s="277"/>
      <c r="G70" s="258">
        <f>SUM(G71:G72)</f>
        <v>357.70000000000005</v>
      </c>
      <c r="H70" s="20"/>
      <c r="I70" s="20"/>
    </row>
    <row r="71" spans="1:9" s="93" customFormat="1" ht="28.5">
      <c r="A71" s="109" t="s">
        <v>495</v>
      </c>
      <c r="B71" s="274"/>
      <c r="C71" s="275" t="s">
        <v>460</v>
      </c>
      <c r="D71" s="275" t="s">
        <v>122</v>
      </c>
      <c r="E71" s="280" t="s">
        <v>149</v>
      </c>
      <c r="F71" s="276" t="s">
        <v>496</v>
      </c>
      <c r="G71" s="258">
        <v>288.8</v>
      </c>
      <c r="H71" s="20"/>
      <c r="I71" s="20"/>
    </row>
    <row r="72" spans="1:9" s="93" customFormat="1" ht="15">
      <c r="A72" s="109" t="s">
        <v>500</v>
      </c>
      <c r="B72" s="274"/>
      <c r="C72" s="275" t="s">
        <v>460</v>
      </c>
      <c r="D72" s="275" t="s">
        <v>122</v>
      </c>
      <c r="E72" s="280" t="s">
        <v>149</v>
      </c>
      <c r="F72" s="276" t="s">
        <v>120</v>
      </c>
      <c r="G72" s="259">
        <v>68.9</v>
      </c>
      <c r="H72" s="20"/>
      <c r="I72" s="20"/>
    </row>
    <row r="73" spans="1:9" s="93" customFormat="1" ht="28.5">
      <c r="A73" s="109" t="s">
        <v>385</v>
      </c>
      <c r="B73" s="274"/>
      <c r="C73" s="275" t="s">
        <v>108</v>
      </c>
      <c r="D73" s="275" t="s">
        <v>122</v>
      </c>
      <c r="E73" s="275" t="s">
        <v>386</v>
      </c>
      <c r="F73" s="277"/>
      <c r="G73" s="258">
        <f>SUM(G74)</f>
        <v>1286.5</v>
      </c>
      <c r="H73" s="20">
        <v>155.9</v>
      </c>
      <c r="I73" s="20" t="e">
        <f>SUM(H73/#REF!*100)</f>
        <v>#REF!</v>
      </c>
    </row>
    <row r="74" spans="1:9" s="93" customFormat="1" ht="28.5">
      <c r="A74" s="109" t="s">
        <v>495</v>
      </c>
      <c r="B74" s="274"/>
      <c r="C74" s="275" t="s">
        <v>460</v>
      </c>
      <c r="D74" s="275" t="s">
        <v>122</v>
      </c>
      <c r="E74" s="275" t="s">
        <v>386</v>
      </c>
      <c r="F74" s="276" t="s">
        <v>496</v>
      </c>
      <c r="G74" s="258">
        <f>1247.9+38.6</f>
        <v>1286.5</v>
      </c>
      <c r="H74" s="20" t="e">
        <f>SUM(#REF!)</f>
        <v>#REF!</v>
      </c>
      <c r="I74" s="20" t="e">
        <f>SUM(H74/G75*100)</f>
        <v>#REF!</v>
      </c>
    </row>
    <row r="75" spans="1:9" ht="15" hidden="1">
      <c r="A75" s="109" t="s">
        <v>130</v>
      </c>
      <c r="B75" s="274"/>
      <c r="C75" s="275" t="s">
        <v>460</v>
      </c>
      <c r="D75" s="275" t="s">
        <v>131</v>
      </c>
      <c r="E75" s="275"/>
      <c r="F75" s="277"/>
      <c r="G75" s="258">
        <f>SUM(G76)</f>
        <v>0</v>
      </c>
      <c r="H75" s="20"/>
      <c r="I75" s="20" t="e">
        <f>SUM(H75/#REF!*100)</f>
        <v>#REF!</v>
      </c>
    </row>
    <row r="76" spans="1:9" ht="28.5" hidden="1">
      <c r="A76" s="110" t="s">
        <v>250</v>
      </c>
      <c r="B76" s="274"/>
      <c r="C76" s="275" t="s">
        <v>460</v>
      </c>
      <c r="D76" s="275" t="s">
        <v>131</v>
      </c>
      <c r="E76" s="275" t="s">
        <v>389</v>
      </c>
      <c r="F76" s="277"/>
      <c r="G76" s="258">
        <f>SUM(G77)</f>
        <v>0</v>
      </c>
      <c r="H76" s="20" t="e">
        <f>SUM(H77)</f>
        <v>#REF!</v>
      </c>
      <c r="I76" s="20" t="e">
        <f>SUM(H76/#REF!*100)</f>
        <v>#REF!</v>
      </c>
    </row>
    <row r="77" spans="1:9" ht="15" hidden="1">
      <c r="A77" s="109" t="s">
        <v>103</v>
      </c>
      <c r="B77" s="274"/>
      <c r="C77" s="275" t="s">
        <v>460</v>
      </c>
      <c r="D77" s="275" t="s">
        <v>131</v>
      </c>
      <c r="E77" s="275" t="s">
        <v>389</v>
      </c>
      <c r="F77" s="276" t="s">
        <v>104</v>
      </c>
      <c r="G77" s="258"/>
      <c r="H77" s="20" t="e">
        <f>SUM(#REF!+#REF!)</f>
        <v>#REF!</v>
      </c>
      <c r="I77" s="20" t="e">
        <f>SUM(H77/#REF!*100)</f>
        <v>#REF!</v>
      </c>
    </row>
    <row r="78" spans="1:9" ht="15">
      <c r="A78" s="109" t="s">
        <v>112</v>
      </c>
      <c r="B78" s="274"/>
      <c r="C78" s="275" t="s">
        <v>460</v>
      </c>
      <c r="D78" s="275" t="s">
        <v>236</v>
      </c>
      <c r="E78" s="275"/>
      <c r="F78" s="277"/>
      <c r="G78" s="258">
        <f>SUM(G81+G93)+G79</f>
        <v>40961.1</v>
      </c>
      <c r="H78" s="20">
        <f>SUM(H81)</f>
        <v>836.4</v>
      </c>
      <c r="I78" s="20">
        <f>SUM(H78/G84*100)</f>
        <v>1127.2237196765498</v>
      </c>
    </row>
    <row r="79" spans="1:9" ht="15">
      <c r="A79" s="109" t="s">
        <v>387</v>
      </c>
      <c r="B79" s="274"/>
      <c r="C79" s="275" t="s">
        <v>460</v>
      </c>
      <c r="D79" s="275" t="s">
        <v>236</v>
      </c>
      <c r="E79" s="275" t="s">
        <v>507</v>
      </c>
      <c r="F79" s="276"/>
      <c r="G79" s="258">
        <f>SUM(G80)</f>
        <v>100</v>
      </c>
      <c r="H79" s="20"/>
      <c r="I79" s="20"/>
    </row>
    <row r="80" spans="1:9" ht="18.75" customHeight="1">
      <c r="A80" s="109" t="s">
        <v>500</v>
      </c>
      <c r="B80" s="285"/>
      <c r="C80" s="275" t="s">
        <v>460</v>
      </c>
      <c r="D80" s="275" t="s">
        <v>236</v>
      </c>
      <c r="E80" s="275" t="s">
        <v>507</v>
      </c>
      <c r="F80" s="286" t="s">
        <v>120</v>
      </c>
      <c r="G80" s="258">
        <v>100</v>
      </c>
      <c r="H80" s="20"/>
      <c r="I80" s="20"/>
    </row>
    <row r="81" spans="1:9" ht="28.5">
      <c r="A81" s="113" t="s">
        <v>497</v>
      </c>
      <c r="B81" s="287"/>
      <c r="C81" s="288" t="s">
        <v>460</v>
      </c>
      <c r="D81" s="288" t="s">
        <v>236</v>
      </c>
      <c r="E81" s="288" t="s">
        <v>498</v>
      </c>
      <c r="F81" s="289"/>
      <c r="G81" s="615">
        <f>G82+G85+G87+G90</f>
        <v>38395.2</v>
      </c>
      <c r="H81" s="20">
        <f>SUM(H82)</f>
        <v>836.4</v>
      </c>
      <c r="I81" s="20" t="e">
        <f>SUM(H81/#REF!*100)</f>
        <v>#REF!</v>
      </c>
    </row>
    <row r="82" spans="1:9" ht="15">
      <c r="A82" s="113" t="s">
        <v>486</v>
      </c>
      <c r="B82" s="290"/>
      <c r="C82" s="291" t="s">
        <v>460</v>
      </c>
      <c r="D82" s="291" t="s">
        <v>236</v>
      </c>
      <c r="E82" s="291" t="s">
        <v>499</v>
      </c>
      <c r="F82" s="292"/>
      <c r="G82" s="615">
        <f>G83+G84</f>
        <v>3082.7</v>
      </c>
      <c r="H82" s="20">
        <v>836.4</v>
      </c>
      <c r="I82" s="20" t="e">
        <f>SUM(H82/#REF!*100)</f>
        <v>#REF!</v>
      </c>
    </row>
    <row r="83" spans="1:9" ht="15">
      <c r="A83" s="113" t="s">
        <v>500</v>
      </c>
      <c r="B83" s="290"/>
      <c r="C83" s="291" t="s">
        <v>460</v>
      </c>
      <c r="D83" s="291" t="s">
        <v>236</v>
      </c>
      <c r="E83" s="291" t="s">
        <v>499</v>
      </c>
      <c r="F83" s="292" t="s">
        <v>120</v>
      </c>
      <c r="G83" s="615">
        <v>3008.5</v>
      </c>
      <c r="H83" s="20" t="e">
        <f>SUM(#REF!)</f>
        <v>#REF!</v>
      </c>
      <c r="I83" s="20" t="e">
        <f>SUM(H83/G85*100)</f>
        <v>#REF!</v>
      </c>
    </row>
    <row r="84" spans="1:9" ht="15">
      <c r="A84" s="113" t="s">
        <v>501</v>
      </c>
      <c r="B84" s="290"/>
      <c r="C84" s="291" t="s">
        <v>460</v>
      </c>
      <c r="D84" s="291" t="s">
        <v>236</v>
      </c>
      <c r="E84" s="291" t="s">
        <v>499</v>
      </c>
      <c r="F84" s="292" t="s">
        <v>176</v>
      </c>
      <c r="G84" s="615">
        <v>74.2</v>
      </c>
      <c r="H84" s="20" t="e">
        <f>SUM(#REF!)</f>
        <v>#REF!</v>
      </c>
      <c r="I84" s="20" t="e">
        <f>SUM(H84/#REF!*100)</f>
        <v>#REF!</v>
      </c>
    </row>
    <row r="85" spans="1:9" ht="28.5">
      <c r="A85" s="113" t="s">
        <v>487</v>
      </c>
      <c r="B85" s="290"/>
      <c r="C85" s="291" t="s">
        <v>460</v>
      </c>
      <c r="D85" s="291" t="s">
        <v>236</v>
      </c>
      <c r="E85" s="291" t="s">
        <v>502</v>
      </c>
      <c r="F85" s="292"/>
      <c r="G85" s="615">
        <f>SUM(G86)</f>
        <v>10995.900000000001</v>
      </c>
      <c r="H85" s="20"/>
      <c r="I85" s="20"/>
    </row>
    <row r="86" spans="1:9" ht="15">
      <c r="A86" s="113" t="s">
        <v>500</v>
      </c>
      <c r="B86" s="290"/>
      <c r="C86" s="291" t="s">
        <v>460</v>
      </c>
      <c r="D86" s="291" t="s">
        <v>236</v>
      </c>
      <c r="E86" s="291" t="s">
        <v>502</v>
      </c>
      <c r="F86" s="292" t="s">
        <v>120</v>
      </c>
      <c r="G86" s="615">
        <f>10944.2+51.7</f>
        <v>10995.900000000001</v>
      </c>
      <c r="H86" s="20"/>
      <c r="I86" s="20"/>
    </row>
    <row r="87" spans="1:9" ht="28.5">
      <c r="A87" s="113" t="s">
        <v>522</v>
      </c>
      <c r="B87" s="290"/>
      <c r="C87" s="291" t="s">
        <v>460</v>
      </c>
      <c r="D87" s="291" t="s">
        <v>236</v>
      </c>
      <c r="E87" s="291" t="s">
        <v>523</v>
      </c>
      <c r="F87" s="292"/>
      <c r="G87" s="615">
        <f>SUM(G88)+G89</f>
        <v>6795.8</v>
      </c>
      <c r="H87" s="20" t="e">
        <f>SUM(H88)</f>
        <v>#REF!</v>
      </c>
      <c r="I87" s="20" t="e">
        <f>SUM(H87/G91*100)</f>
        <v>#REF!</v>
      </c>
    </row>
    <row r="88" spans="1:9" ht="15">
      <c r="A88" s="113" t="s">
        <v>500</v>
      </c>
      <c r="B88" s="290"/>
      <c r="C88" s="291" t="s">
        <v>460</v>
      </c>
      <c r="D88" s="291" t="s">
        <v>236</v>
      </c>
      <c r="E88" s="291" t="s">
        <v>523</v>
      </c>
      <c r="F88" s="292" t="s">
        <v>120</v>
      </c>
      <c r="G88" s="615">
        <f>7598.8-916.7+86.3</f>
        <v>6768.400000000001</v>
      </c>
      <c r="H88" s="20" t="e">
        <f>SUM(#REF!)</f>
        <v>#REF!</v>
      </c>
      <c r="I88" s="20" t="e">
        <f>SUM(H88/#REF!*100)</f>
        <v>#REF!</v>
      </c>
    </row>
    <row r="89" spans="1:9" ht="15">
      <c r="A89" s="113" t="s">
        <v>501</v>
      </c>
      <c r="B89" s="290"/>
      <c r="C89" s="291" t="s">
        <v>460</v>
      </c>
      <c r="D89" s="291" t="s">
        <v>236</v>
      </c>
      <c r="E89" s="291" t="s">
        <v>523</v>
      </c>
      <c r="F89" s="292" t="s">
        <v>176</v>
      </c>
      <c r="G89" s="615">
        <v>27.4</v>
      </c>
      <c r="H89" s="20"/>
      <c r="I89" s="20"/>
    </row>
    <row r="90" spans="1:9" ht="28.5">
      <c r="A90" s="113" t="s">
        <v>503</v>
      </c>
      <c r="B90" s="290"/>
      <c r="C90" s="291" t="s">
        <v>460</v>
      </c>
      <c r="D90" s="291" t="s">
        <v>236</v>
      </c>
      <c r="E90" s="291" t="s">
        <v>504</v>
      </c>
      <c r="F90" s="292"/>
      <c r="G90" s="615">
        <f>G91+G92</f>
        <v>17520.8</v>
      </c>
      <c r="H90" s="20" t="e">
        <f>SUM(#REF!)</f>
        <v>#REF!</v>
      </c>
      <c r="I90" s="20" t="e">
        <f>SUM(H90/#REF!*100)</f>
        <v>#REF!</v>
      </c>
    </row>
    <row r="91" spans="1:9" ht="15">
      <c r="A91" s="113" t="s">
        <v>500</v>
      </c>
      <c r="B91" s="290"/>
      <c r="C91" s="291" t="s">
        <v>460</v>
      </c>
      <c r="D91" s="291" t="s">
        <v>236</v>
      </c>
      <c r="E91" s="291" t="s">
        <v>504</v>
      </c>
      <c r="F91" s="292" t="s">
        <v>120</v>
      </c>
      <c r="G91" s="615">
        <f>10404+92.1</f>
        <v>10496.1</v>
      </c>
      <c r="H91" s="20" t="e">
        <f>SUM(#REF!)</f>
        <v>#REF!</v>
      </c>
      <c r="I91" s="20" t="e">
        <f>SUM(H91/#REF!*100)</f>
        <v>#REF!</v>
      </c>
    </row>
    <row r="92" spans="1:9" ht="15">
      <c r="A92" s="113" t="s">
        <v>501</v>
      </c>
      <c r="B92" s="290"/>
      <c r="C92" s="291" t="s">
        <v>460</v>
      </c>
      <c r="D92" s="291" t="s">
        <v>236</v>
      </c>
      <c r="E92" s="291" t="s">
        <v>504</v>
      </c>
      <c r="F92" s="292" t="s">
        <v>176</v>
      </c>
      <c r="G92" s="615">
        <f>7116.8-92.1</f>
        <v>7024.7</v>
      </c>
      <c r="H92" s="20">
        <v>1317.4</v>
      </c>
      <c r="I92" s="20" t="e">
        <f>SUM(H92/#REF!*100)</f>
        <v>#REF!</v>
      </c>
    </row>
    <row r="93" spans="1:9" ht="28.5">
      <c r="A93" s="113" t="s">
        <v>599</v>
      </c>
      <c r="B93" s="290"/>
      <c r="C93" s="291" t="s">
        <v>460</v>
      </c>
      <c r="D93" s="291" t="s">
        <v>236</v>
      </c>
      <c r="E93" s="291" t="s">
        <v>136</v>
      </c>
      <c r="F93" s="292"/>
      <c r="G93" s="615">
        <f>G94</f>
        <v>2465.9</v>
      </c>
      <c r="H93" s="20"/>
      <c r="I93" s="20"/>
    </row>
    <row r="94" spans="1:9" ht="15">
      <c r="A94" s="113" t="s">
        <v>15</v>
      </c>
      <c r="B94" s="290"/>
      <c r="C94" s="291" t="s">
        <v>460</v>
      </c>
      <c r="D94" s="291" t="s">
        <v>236</v>
      </c>
      <c r="E94" s="291" t="s">
        <v>204</v>
      </c>
      <c r="F94" s="292"/>
      <c r="G94" s="615">
        <f>G95+G97</f>
        <v>2465.9</v>
      </c>
      <c r="H94" s="20"/>
      <c r="I94" s="20"/>
    </row>
    <row r="95" spans="1:9" ht="28.5">
      <c r="A95" s="161" t="s">
        <v>633</v>
      </c>
      <c r="B95" s="290"/>
      <c r="C95" s="291" t="s">
        <v>460</v>
      </c>
      <c r="D95" s="291" t="s">
        <v>236</v>
      </c>
      <c r="E95" s="291" t="s">
        <v>206</v>
      </c>
      <c r="F95" s="292"/>
      <c r="G95" s="615">
        <f>SUM(G96)</f>
        <v>2380.3</v>
      </c>
      <c r="H95" s="20"/>
      <c r="I95" s="20"/>
    </row>
    <row r="96" spans="1:9" ht="28.5">
      <c r="A96" s="113" t="s">
        <v>524</v>
      </c>
      <c r="B96" s="290"/>
      <c r="C96" s="291" t="s">
        <v>460</v>
      </c>
      <c r="D96" s="291" t="s">
        <v>236</v>
      </c>
      <c r="E96" s="291" t="s">
        <v>206</v>
      </c>
      <c r="F96" s="292" t="s">
        <v>513</v>
      </c>
      <c r="G96" s="615">
        <v>2380.3</v>
      </c>
      <c r="H96" s="20"/>
      <c r="I96" s="20"/>
    </row>
    <row r="97" spans="1:9" ht="15">
      <c r="A97" s="109" t="s">
        <v>157</v>
      </c>
      <c r="B97" s="290"/>
      <c r="C97" s="291" t="s">
        <v>460</v>
      </c>
      <c r="D97" s="291" t="s">
        <v>236</v>
      </c>
      <c r="E97" s="291" t="s">
        <v>415</v>
      </c>
      <c r="F97" s="292"/>
      <c r="G97" s="615">
        <f>SUM(G98)</f>
        <v>85.6</v>
      </c>
      <c r="H97" s="20"/>
      <c r="I97" s="20"/>
    </row>
    <row r="98" spans="1:9" ht="28.5">
      <c r="A98" s="113" t="s">
        <v>144</v>
      </c>
      <c r="B98" s="290"/>
      <c r="C98" s="291" t="s">
        <v>460</v>
      </c>
      <c r="D98" s="291" t="s">
        <v>236</v>
      </c>
      <c r="E98" s="291" t="s">
        <v>416</v>
      </c>
      <c r="F98" s="292"/>
      <c r="G98" s="615">
        <f>SUM(G99)</f>
        <v>85.6</v>
      </c>
      <c r="H98" s="20"/>
      <c r="I98" s="20"/>
    </row>
    <row r="99" spans="1:9" ht="28.5">
      <c r="A99" s="113" t="s">
        <v>524</v>
      </c>
      <c r="B99" s="290"/>
      <c r="C99" s="291" t="s">
        <v>460</v>
      </c>
      <c r="D99" s="291" t="s">
        <v>236</v>
      </c>
      <c r="E99" s="291" t="s">
        <v>416</v>
      </c>
      <c r="F99" s="292" t="s">
        <v>513</v>
      </c>
      <c r="G99" s="615">
        <v>85.6</v>
      </c>
      <c r="H99" s="20">
        <f>SUM(H100)</f>
        <v>0</v>
      </c>
      <c r="I99" s="20">
        <f>SUM(H99/G105*100)</f>
        <v>0</v>
      </c>
    </row>
    <row r="100" spans="1:9" ht="28.5" hidden="1">
      <c r="A100" s="113" t="s">
        <v>144</v>
      </c>
      <c r="B100" s="290"/>
      <c r="C100" s="291" t="s">
        <v>460</v>
      </c>
      <c r="D100" s="291" t="s">
        <v>236</v>
      </c>
      <c r="E100" s="291" t="s">
        <v>416</v>
      </c>
      <c r="F100" s="292"/>
      <c r="G100" s="615"/>
      <c r="H100" s="20">
        <f>SUM(H101:H102)</f>
        <v>0</v>
      </c>
      <c r="I100" s="20" t="e">
        <f>SUM(H100/#REF!*100)</f>
        <v>#REF!</v>
      </c>
    </row>
    <row r="101" spans="1:11" ht="15">
      <c r="A101" s="113" t="s">
        <v>139</v>
      </c>
      <c r="B101" s="290"/>
      <c r="C101" s="291" t="s">
        <v>106</v>
      </c>
      <c r="D101" s="291"/>
      <c r="E101" s="291"/>
      <c r="F101" s="292"/>
      <c r="G101" s="615">
        <f>SUM(G108)+G102</f>
        <v>22674.199999999997</v>
      </c>
      <c r="H101" s="20"/>
      <c r="I101" s="20" t="e">
        <f>SUM(H101/#REF!*100)</f>
        <v>#REF!</v>
      </c>
      <c r="K101" s="86">
        <f>5707.1+16967.1</f>
        <v>22674.199999999997</v>
      </c>
    </row>
    <row r="102" spans="1:9" ht="15">
      <c r="A102" s="149" t="s">
        <v>59</v>
      </c>
      <c r="B102" s="290"/>
      <c r="C102" s="291" t="s">
        <v>106</v>
      </c>
      <c r="D102" s="291" t="s">
        <v>122</v>
      </c>
      <c r="E102" s="291"/>
      <c r="F102" s="292"/>
      <c r="G102" s="615">
        <f>SUM(G104)</f>
        <v>5707.1</v>
      </c>
      <c r="H102" s="20"/>
      <c r="I102" s="20">
        <f>SUM(H102/G106*100)</f>
        <v>0</v>
      </c>
    </row>
    <row r="103" spans="1:9" ht="15">
      <c r="A103" s="113" t="s">
        <v>410</v>
      </c>
      <c r="B103" s="290"/>
      <c r="C103" s="291" t="s">
        <v>106</v>
      </c>
      <c r="D103" s="291" t="s">
        <v>122</v>
      </c>
      <c r="E103" s="291" t="s">
        <v>411</v>
      </c>
      <c r="F103" s="292"/>
      <c r="G103" s="615">
        <f>SUM(G104)</f>
        <v>5707.1</v>
      </c>
      <c r="H103" s="20" t="e">
        <f>SUM(H106)+H105+#REF!</f>
        <v>#REF!</v>
      </c>
      <c r="I103" s="20" t="e">
        <f>SUM(H103/#REF!*100)</f>
        <v>#REF!</v>
      </c>
    </row>
    <row r="104" spans="1:9" s="87" customFormat="1" ht="28.5">
      <c r="A104" s="113" t="s">
        <v>616</v>
      </c>
      <c r="B104" s="290"/>
      <c r="C104" s="291" t="s">
        <v>106</v>
      </c>
      <c r="D104" s="291" t="s">
        <v>122</v>
      </c>
      <c r="E104" s="291" t="s">
        <v>646</v>
      </c>
      <c r="F104" s="292"/>
      <c r="G104" s="615">
        <f>G105+G106+G107</f>
        <v>5707.1</v>
      </c>
      <c r="H104" s="20" t="e">
        <f>SUM(#REF!)</f>
        <v>#REF!</v>
      </c>
      <c r="I104" s="20" t="e">
        <f>SUM(H104/#REF!*100)</f>
        <v>#REF!</v>
      </c>
    </row>
    <row r="105" spans="1:9" s="87" customFormat="1" ht="28.5">
      <c r="A105" s="113" t="s">
        <v>495</v>
      </c>
      <c r="B105" s="290"/>
      <c r="C105" s="291" t="s">
        <v>106</v>
      </c>
      <c r="D105" s="291" t="s">
        <v>122</v>
      </c>
      <c r="E105" s="291" t="s">
        <v>646</v>
      </c>
      <c r="F105" s="292" t="s">
        <v>496</v>
      </c>
      <c r="G105" s="615">
        <v>3844.6</v>
      </c>
      <c r="H105" s="20"/>
      <c r="I105" s="20"/>
    </row>
    <row r="106" spans="1:9" ht="15">
      <c r="A106" s="113" t="s">
        <v>500</v>
      </c>
      <c r="B106" s="290"/>
      <c r="C106" s="291" t="s">
        <v>106</v>
      </c>
      <c r="D106" s="291" t="s">
        <v>122</v>
      </c>
      <c r="E106" s="291" t="s">
        <v>646</v>
      </c>
      <c r="F106" s="292" t="s">
        <v>120</v>
      </c>
      <c r="G106" s="615">
        <v>1764.5</v>
      </c>
      <c r="H106" s="20" t="e">
        <f>SUM(#REF!+H111+H114+H117)+#REF!</f>
        <v>#REF!</v>
      </c>
      <c r="I106" s="20" t="e">
        <f>SUM(H106/G108*100)</f>
        <v>#REF!</v>
      </c>
    </row>
    <row r="107" spans="1:9" ht="15">
      <c r="A107" s="113" t="s">
        <v>501</v>
      </c>
      <c r="B107" s="290"/>
      <c r="C107" s="291" t="s">
        <v>106</v>
      </c>
      <c r="D107" s="291" t="s">
        <v>122</v>
      </c>
      <c r="E107" s="291" t="s">
        <v>646</v>
      </c>
      <c r="F107" s="292" t="s">
        <v>176</v>
      </c>
      <c r="G107" s="615">
        <v>98</v>
      </c>
      <c r="H107" s="20"/>
      <c r="I107" s="20">
        <f>SUM(H107/G111*100)</f>
        <v>0</v>
      </c>
    </row>
    <row r="108" spans="1:9" ht="28.5">
      <c r="A108" s="114" t="s">
        <v>299</v>
      </c>
      <c r="B108" s="293"/>
      <c r="C108" s="294" t="s">
        <v>106</v>
      </c>
      <c r="D108" s="294" t="s">
        <v>300</v>
      </c>
      <c r="E108" s="294"/>
      <c r="F108" s="295"/>
      <c r="G108" s="616">
        <f>G118+G123+G109+G128</f>
        <v>16967.1</v>
      </c>
      <c r="H108" s="20">
        <v>438.8</v>
      </c>
      <c r="I108" s="20" t="e">
        <f aca="true" t="shared" si="2" ref="I108:I113">SUM(H108/G114*100)</f>
        <v>#DIV/0!</v>
      </c>
    </row>
    <row r="109" spans="1:9" ht="28.5">
      <c r="A109" s="113" t="s">
        <v>600</v>
      </c>
      <c r="B109" s="290"/>
      <c r="C109" s="291" t="s">
        <v>106</v>
      </c>
      <c r="D109" s="291" t="s">
        <v>300</v>
      </c>
      <c r="E109" s="291" t="s">
        <v>528</v>
      </c>
      <c r="F109" s="292"/>
      <c r="G109" s="615">
        <f>SUM(G110)</f>
        <v>12677.099999999999</v>
      </c>
      <c r="H109" s="20">
        <f>SUM(H110)</f>
        <v>9825.3</v>
      </c>
      <c r="I109" s="20">
        <f t="shared" si="2"/>
        <v>382.24789915966386</v>
      </c>
    </row>
    <row r="110" spans="1:9" ht="28.5">
      <c r="A110" s="113" t="s">
        <v>56</v>
      </c>
      <c r="B110" s="290"/>
      <c r="C110" s="291" t="s">
        <v>106</v>
      </c>
      <c r="D110" s="291" t="s">
        <v>300</v>
      </c>
      <c r="E110" s="291" t="s">
        <v>529</v>
      </c>
      <c r="F110" s="292"/>
      <c r="G110" s="615">
        <f>G111+G115+G117</f>
        <v>12677.099999999999</v>
      </c>
      <c r="H110" s="20">
        <v>9825.3</v>
      </c>
      <c r="I110" s="20" t="e">
        <f t="shared" si="2"/>
        <v>#DIV/0!</v>
      </c>
    </row>
    <row r="111" spans="1:9" ht="28.5">
      <c r="A111" s="113" t="s">
        <v>495</v>
      </c>
      <c r="B111" s="290"/>
      <c r="C111" s="291" t="s">
        <v>106</v>
      </c>
      <c r="D111" s="291" t="s">
        <v>300</v>
      </c>
      <c r="E111" s="291" t="s">
        <v>529</v>
      </c>
      <c r="F111" s="292" t="s">
        <v>496</v>
      </c>
      <c r="G111" s="615">
        <v>9896.4</v>
      </c>
      <c r="H111" s="20">
        <f>SUM(H112)</f>
        <v>227.3</v>
      </c>
      <c r="I111" s="20">
        <f t="shared" si="2"/>
        <v>108.08368996671422</v>
      </c>
    </row>
    <row r="112" spans="1:9" ht="15" hidden="1">
      <c r="A112" s="113" t="s">
        <v>530</v>
      </c>
      <c r="B112" s="290"/>
      <c r="C112" s="291" t="s">
        <v>106</v>
      </c>
      <c r="D112" s="291" t="s">
        <v>300</v>
      </c>
      <c r="E112" s="291" t="s">
        <v>529</v>
      </c>
      <c r="F112" s="292" t="s">
        <v>531</v>
      </c>
      <c r="G112" s="615"/>
      <c r="H112" s="20">
        <f>SUM(H113)</f>
        <v>227.3</v>
      </c>
      <c r="I112" s="20">
        <f t="shared" si="2"/>
        <v>7.705084745762712</v>
      </c>
    </row>
    <row r="113" spans="1:9" ht="28.5" hidden="1">
      <c r="A113" s="113" t="s">
        <v>532</v>
      </c>
      <c r="B113" s="296"/>
      <c r="C113" s="291" t="s">
        <v>106</v>
      </c>
      <c r="D113" s="291" t="s">
        <v>300</v>
      </c>
      <c r="E113" s="291" t="s">
        <v>529</v>
      </c>
      <c r="F113" s="292" t="s">
        <v>533</v>
      </c>
      <c r="G113" s="615"/>
      <c r="H113" s="20">
        <v>227.3</v>
      </c>
      <c r="I113" s="20">
        <f t="shared" si="2"/>
        <v>23.926315789473684</v>
      </c>
    </row>
    <row r="114" spans="1:9" ht="28.5" hidden="1">
      <c r="A114" s="113" t="s">
        <v>534</v>
      </c>
      <c r="B114" s="296"/>
      <c r="C114" s="291" t="s">
        <v>106</v>
      </c>
      <c r="D114" s="291" t="s">
        <v>300</v>
      </c>
      <c r="E114" s="291" t="s">
        <v>529</v>
      </c>
      <c r="F114" s="292" t="s">
        <v>535</v>
      </c>
      <c r="G114" s="615"/>
      <c r="H114" s="20">
        <f>SUM(H115)</f>
        <v>5387.8</v>
      </c>
      <c r="I114" s="20" t="e">
        <f>SUM(H114/#REF!*100)</f>
        <v>#REF!</v>
      </c>
    </row>
    <row r="115" spans="1:9" ht="15">
      <c r="A115" s="113" t="s">
        <v>500</v>
      </c>
      <c r="B115" s="296"/>
      <c r="C115" s="291" t="s">
        <v>106</v>
      </c>
      <c r="D115" s="291" t="s">
        <v>300</v>
      </c>
      <c r="E115" s="291" t="s">
        <v>529</v>
      </c>
      <c r="F115" s="292" t="s">
        <v>120</v>
      </c>
      <c r="G115" s="615">
        <v>2570.4</v>
      </c>
      <c r="H115" s="20">
        <f>SUM(H116)</f>
        <v>5387.8</v>
      </c>
      <c r="I115" s="20" t="e">
        <f>SUM(H115/#REF!*100)</f>
        <v>#REF!</v>
      </c>
    </row>
    <row r="116" spans="1:9" ht="15" hidden="1">
      <c r="A116" s="113" t="s">
        <v>518</v>
      </c>
      <c r="B116" s="296"/>
      <c r="C116" s="291" t="s">
        <v>106</v>
      </c>
      <c r="D116" s="291" t="s">
        <v>300</v>
      </c>
      <c r="E116" s="291" t="s">
        <v>529</v>
      </c>
      <c r="F116" s="292" t="s">
        <v>519</v>
      </c>
      <c r="G116" s="615"/>
      <c r="H116" s="20">
        <v>5387.8</v>
      </c>
      <c r="I116" s="20" t="e">
        <f>SUM(H116/#REF!*100)</f>
        <v>#REF!</v>
      </c>
    </row>
    <row r="117" spans="1:9" ht="15">
      <c r="A117" s="170" t="s">
        <v>501</v>
      </c>
      <c r="B117" s="297"/>
      <c r="C117" s="298" t="s">
        <v>106</v>
      </c>
      <c r="D117" s="298" t="s">
        <v>300</v>
      </c>
      <c r="E117" s="298" t="s">
        <v>529</v>
      </c>
      <c r="F117" s="299" t="s">
        <v>176</v>
      </c>
      <c r="G117" s="619">
        <v>210.3</v>
      </c>
      <c r="H117" s="20">
        <f>SUM(H119)</f>
        <v>0</v>
      </c>
      <c r="I117" s="20">
        <f>SUM(H117/G121*100)</f>
        <v>0</v>
      </c>
    </row>
    <row r="118" spans="1:9" ht="28.5">
      <c r="A118" s="113" t="s">
        <v>601</v>
      </c>
      <c r="B118" s="290"/>
      <c r="C118" s="291" t="s">
        <v>106</v>
      </c>
      <c r="D118" s="291" t="s">
        <v>300</v>
      </c>
      <c r="E118" s="291" t="s">
        <v>536</v>
      </c>
      <c r="F118" s="292"/>
      <c r="G118" s="615">
        <f>SUM(G120+G122)</f>
        <v>2950</v>
      </c>
      <c r="H118" s="20">
        <f>SUM(H119)</f>
        <v>0</v>
      </c>
      <c r="I118" s="20">
        <f>SUM(H118/G122*100)</f>
        <v>0</v>
      </c>
    </row>
    <row r="119" spans="1:9" ht="28.5">
      <c r="A119" s="113" t="s">
        <v>602</v>
      </c>
      <c r="B119" s="290"/>
      <c r="C119" s="291" t="s">
        <v>106</v>
      </c>
      <c r="D119" s="291" t="s">
        <v>300</v>
      </c>
      <c r="E119" s="291" t="s">
        <v>537</v>
      </c>
      <c r="F119" s="292"/>
      <c r="G119" s="615">
        <f>SUM(G120)</f>
        <v>950</v>
      </c>
      <c r="H119" s="20"/>
      <c r="I119" s="20">
        <f>SUM(H119/G123*100)</f>
        <v>0</v>
      </c>
    </row>
    <row r="120" spans="1:9" ht="15">
      <c r="A120" s="113" t="s">
        <v>500</v>
      </c>
      <c r="B120" s="290"/>
      <c r="C120" s="291" t="s">
        <v>106</v>
      </c>
      <c r="D120" s="291" t="s">
        <v>300</v>
      </c>
      <c r="E120" s="291" t="s">
        <v>537</v>
      </c>
      <c r="F120" s="292" t="s">
        <v>120</v>
      </c>
      <c r="G120" s="615">
        <v>950</v>
      </c>
      <c r="H120" s="20"/>
      <c r="I120" s="20"/>
    </row>
    <row r="121" spans="1:9" ht="28.5">
      <c r="A121" s="113" t="s">
        <v>0</v>
      </c>
      <c r="B121" s="290"/>
      <c r="C121" s="291" t="s">
        <v>106</v>
      </c>
      <c r="D121" s="291" t="s">
        <v>300</v>
      </c>
      <c r="E121" s="291" t="s">
        <v>538</v>
      </c>
      <c r="F121" s="292"/>
      <c r="G121" s="615">
        <f>SUM(G122)</f>
        <v>2000</v>
      </c>
      <c r="H121" s="20"/>
      <c r="I121" s="20" t="e">
        <f>SUM(H121/G127*100)</f>
        <v>#DIV/0!</v>
      </c>
    </row>
    <row r="122" spans="1:9" s="87" customFormat="1" ht="15">
      <c r="A122" s="113" t="s">
        <v>500</v>
      </c>
      <c r="B122" s="290"/>
      <c r="C122" s="291" t="s">
        <v>106</v>
      </c>
      <c r="D122" s="291" t="s">
        <v>300</v>
      </c>
      <c r="E122" s="291" t="s">
        <v>538</v>
      </c>
      <c r="F122" s="292" t="s">
        <v>120</v>
      </c>
      <c r="G122" s="615">
        <v>2000</v>
      </c>
      <c r="H122" s="20" t="e">
        <f>SUM(H123+H126+H132+#REF!)</f>
        <v>#REF!</v>
      </c>
      <c r="I122" s="20" t="e">
        <f>SUM(H122/#REF!*100)</f>
        <v>#REF!</v>
      </c>
    </row>
    <row r="123" spans="1:9" ht="15">
      <c r="A123" s="113" t="s">
        <v>1</v>
      </c>
      <c r="B123" s="284"/>
      <c r="C123" s="280" t="s">
        <v>106</v>
      </c>
      <c r="D123" s="280" t="s">
        <v>300</v>
      </c>
      <c r="E123" s="280" t="s">
        <v>539</v>
      </c>
      <c r="F123" s="277"/>
      <c r="G123" s="615">
        <f>SUM(G124)</f>
        <v>40</v>
      </c>
      <c r="H123" s="20"/>
      <c r="I123" s="20"/>
    </row>
    <row r="124" spans="1:9" ht="28.5">
      <c r="A124" s="113" t="s">
        <v>2</v>
      </c>
      <c r="B124" s="284"/>
      <c r="C124" s="280" t="s">
        <v>106</v>
      </c>
      <c r="D124" s="280" t="s">
        <v>300</v>
      </c>
      <c r="E124" s="280" t="s">
        <v>540</v>
      </c>
      <c r="F124" s="277"/>
      <c r="G124" s="615">
        <f>SUM(G125)</f>
        <v>40</v>
      </c>
      <c r="H124" s="20"/>
      <c r="I124" s="20"/>
    </row>
    <row r="125" spans="1:9" ht="14.25" customHeight="1">
      <c r="A125" s="113" t="s">
        <v>500</v>
      </c>
      <c r="B125" s="284"/>
      <c r="C125" s="280" t="s">
        <v>106</v>
      </c>
      <c r="D125" s="280" t="s">
        <v>300</v>
      </c>
      <c r="E125" s="280" t="s">
        <v>540</v>
      </c>
      <c r="F125" s="277" t="s">
        <v>120</v>
      </c>
      <c r="G125" s="615">
        <v>40</v>
      </c>
      <c r="H125" s="20"/>
      <c r="I125" s="20"/>
    </row>
    <row r="126" spans="1:9" ht="15" hidden="1">
      <c r="A126" s="113" t="s">
        <v>518</v>
      </c>
      <c r="B126" s="284"/>
      <c r="C126" s="280" t="s">
        <v>106</v>
      </c>
      <c r="D126" s="280" t="s">
        <v>300</v>
      </c>
      <c r="E126" s="280" t="s">
        <v>540</v>
      </c>
      <c r="F126" s="277" t="s">
        <v>519</v>
      </c>
      <c r="G126" s="615"/>
      <c r="H126" s="20"/>
      <c r="I126" s="20"/>
    </row>
    <row r="127" spans="1:9" ht="28.5" hidden="1">
      <c r="A127" s="113" t="s">
        <v>520</v>
      </c>
      <c r="B127" s="284"/>
      <c r="C127" s="280" t="s">
        <v>106</v>
      </c>
      <c r="D127" s="280" t="s">
        <v>300</v>
      </c>
      <c r="E127" s="280" t="s">
        <v>540</v>
      </c>
      <c r="F127" s="277" t="s">
        <v>521</v>
      </c>
      <c r="G127" s="615"/>
      <c r="H127" s="20"/>
      <c r="I127" s="20"/>
    </row>
    <row r="128" spans="1:9" ht="15">
      <c r="A128" s="115" t="s">
        <v>551</v>
      </c>
      <c r="B128" s="284"/>
      <c r="C128" s="300" t="s">
        <v>106</v>
      </c>
      <c r="D128" s="300" t="s">
        <v>300</v>
      </c>
      <c r="E128" s="280" t="s">
        <v>129</v>
      </c>
      <c r="F128" s="614"/>
      <c r="G128" s="334">
        <f>SUM(G129)</f>
        <v>1300</v>
      </c>
      <c r="H128" s="20"/>
      <c r="I128" s="20"/>
    </row>
    <row r="129" spans="1:9" ht="15">
      <c r="A129" s="113" t="s">
        <v>670</v>
      </c>
      <c r="B129" s="274"/>
      <c r="C129" s="300" t="s">
        <v>106</v>
      </c>
      <c r="D129" s="300" t="s">
        <v>300</v>
      </c>
      <c r="E129" s="280" t="s">
        <v>138</v>
      </c>
      <c r="F129" s="277"/>
      <c r="G129" s="258">
        <f>SUM(G130)</f>
        <v>1300</v>
      </c>
      <c r="H129" s="20"/>
      <c r="I129" s="20"/>
    </row>
    <row r="130" spans="1:9" ht="15">
      <c r="A130" s="113" t="s">
        <v>500</v>
      </c>
      <c r="B130" s="274"/>
      <c r="C130" s="300" t="s">
        <v>106</v>
      </c>
      <c r="D130" s="300" t="s">
        <v>300</v>
      </c>
      <c r="E130" s="280" t="s">
        <v>138</v>
      </c>
      <c r="F130" s="277" t="s">
        <v>120</v>
      </c>
      <c r="G130" s="258">
        <v>1300</v>
      </c>
      <c r="H130" s="20"/>
      <c r="I130" s="20"/>
    </row>
    <row r="131" spans="1:9" ht="28.5" hidden="1">
      <c r="A131" s="113" t="s">
        <v>210</v>
      </c>
      <c r="B131" s="274"/>
      <c r="C131" s="300" t="s">
        <v>106</v>
      </c>
      <c r="D131" s="300" t="s">
        <v>300</v>
      </c>
      <c r="E131" s="280" t="s">
        <v>150</v>
      </c>
      <c r="F131" s="277"/>
      <c r="G131" s="258">
        <f>SUM(G132)</f>
        <v>0</v>
      </c>
      <c r="H131" s="20"/>
      <c r="I131" s="20"/>
    </row>
    <row r="132" spans="1:9" ht="15" hidden="1">
      <c r="A132" s="109" t="s">
        <v>103</v>
      </c>
      <c r="B132" s="274"/>
      <c r="C132" s="300" t="s">
        <v>106</v>
      </c>
      <c r="D132" s="300" t="s">
        <v>300</v>
      </c>
      <c r="E132" s="280" t="s">
        <v>150</v>
      </c>
      <c r="F132" s="277" t="s">
        <v>104</v>
      </c>
      <c r="G132" s="258"/>
      <c r="H132" s="20"/>
      <c r="I132" s="20"/>
    </row>
    <row r="133" spans="1:11" s="87" customFormat="1" ht="15">
      <c r="A133" s="113" t="s">
        <v>121</v>
      </c>
      <c r="B133" s="290"/>
      <c r="C133" s="291" t="s">
        <v>122</v>
      </c>
      <c r="D133" s="291"/>
      <c r="E133" s="291"/>
      <c r="F133" s="292"/>
      <c r="G133" s="615">
        <f>G134+G155+G149</f>
        <v>262795.5</v>
      </c>
      <c r="H133" s="20">
        <f>SUM(H134+H138)</f>
        <v>30706.4</v>
      </c>
      <c r="I133" s="20" t="e">
        <f>SUM(H133/G142*100)</f>
        <v>#DIV/0!</v>
      </c>
      <c r="K133" s="87">
        <f>5999.8-683.2+172.8+5839+251467.1</f>
        <v>262795.5</v>
      </c>
    </row>
    <row r="134" spans="1:9" ht="14.25" customHeight="1">
      <c r="A134" s="113" t="s">
        <v>123</v>
      </c>
      <c r="B134" s="290"/>
      <c r="C134" s="291" t="s">
        <v>122</v>
      </c>
      <c r="D134" s="291" t="s">
        <v>124</v>
      </c>
      <c r="E134" s="291"/>
      <c r="F134" s="292"/>
      <c r="G134" s="615">
        <f>G138+G135</f>
        <v>95876.79999999999</v>
      </c>
      <c r="H134" s="20">
        <v>30706.4</v>
      </c>
      <c r="I134" s="20">
        <f>SUM(H134/G143*100)</f>
        <v>50.1180057517603</v>
      </c>
    </row>
    <row r="135" spans="1:9" ht="28.5" hidden="1">
      <c r="A135" s="113" t="s">
        <v>497</v>
      </c>
      <c r="B135" s="290"/>
      <c r="C135" s="291" t="s">
        <v>122</v>
      </c>
      <c r="D135" s="291" t="s">
        <v>124</v>
      </c>
      <c r="E135" s="291" t="s">
        <v>498</v>
      </c>
      <c r="F135" s="292"/>
      <c r="G135" s="615">
        <f>SUM(G136)</f>
        <v>0</v>
      </c>
      <c r="H135" s="20"/>
      <c r="I135" s="20"/>
    </row>
    <row r="136" spans="1:9" ht="15" hidden="1">
      <c r="A136" s="113" t="s">
        <v>691</v>
      </c>
      <c r="B136" s="290"/>
      <c r="C136" s="291" t="s">
        <v>122</v>
      </c>
      <c r="D136" s="291" t="s">
        <v>124</v>
      </c>
      <c r="E136" s="291" t="s">
        <v>692</v>
      </c>
      <c r="F136" s="292"/>
      <c r="G136" s="615">
        <f>SUM(G137)</f>
        <v>0</v>
      </c>
      <c r="H136" s="20"/>
      <c r="I136" s="20"/>
    </row>
    <row r="137" spans="1:9" ht="15" hidden="1">
      <c r="A137" s="113" t="s">
        <v>500</v>
      </c>
      <c r="B137" s="290"/>
      <c r="C137" s="291" t="s">
        <v>122</v>
      </c>
      <c r="D137" s="291" t="s">
        <v>124</v>
      </c>
      <c r="E137" s="291" t="s">
        <v>692</v>
      </c>
      <c r="F137" s="292" t="s">
        <v>120</v>
      </c>
      <c r="G137" s="615"/>
      <c r="H137" s="20"/>
      <c r="I137" s="20"/>
    </row>
    <row r="138" spans="1:9" ht="15">
      <c r="A138" s="113" t="s">
        <v>541</v>
      </c>
      <c r="B138" s="290"/>
      <c r="C138" s="291" t="s">
        <v>122</v>
      </c>
      <c r="D138" s="291" t="s">
        <v>124</v>
      </c>
      <c r="E138" s="291" t="s">
        <v>542</v>
      </c>
      <c r="F138" s="292"/>
      <c r="G138" s="615">
        <f>G139+G143</f>
        <v>95876.79999999999</v>
      </c>
      <c r="H138" s="20">
        <f>SUM(H139)</f>
        <v>0</v>
      </c>
      <c r="I138" s="20">
        <f>SUM(H138/G144*100)</f>
        <v>0</v>
      </c>
    </row>
    <row r="139" spans="1:9" ht="15">
      <c r="A139" s="113" t="s">
        <v>543</v>
      </c>
      <c r="B139" s="290"/>
      <c r="C139" s="291" t="s">
        <v>122</v>
      </c>
      <c r="D139" s="291" t="s">
        <v>124</v>
      </c>
      <c r="E139" s="291" t="s">
        <v>544</v>
      </c>
      <c r="F139" s="292"/>
      <c r="G139" s="615">
        <f>G140</f>
        <v>34608.6</v>
      </c>
      <c r="H139" s="20"/>
      <c r="I139" s="20">
        <f>SUM(H139/G145*100)</f>
        <v>0</v>
      </c>
    </row>
    <row r="140" spans="1:9" ht="15">
      <c r="A140" s="113" t="s">
        <v>6</v>
      </c>
      <c r="B140" s="290"/>
      <c r="C140" s="291" t="s">
        <v>122</v>
      </c>
      <c r="D140" s="291" t="s">
        <v>124</v>
      </c>
      <c r="E140" s="291" t="s">
        <v>545</v>
      </c>
      <c r="F140" s="292"/>
      <c r="G140" s="615">
        <f>SUM(G141)</f>
        <v>34608.6</v>
      </c>
      <c r="H140" s="20"/>
      <c r="I140" s="20"/>
    </row>
    <row r="141" spans="1:9" s="94" customFormat="1" ht="15">
      <c r="A141" s="113" t="s">
        <v>501</v>
      </c>
      <c r="B141" s="290"/>
      <c r="C141" s="291" t="s">
        <v>122</v>
      </c>
      <c r="D141" s="291" t="s">
        <v>124</v>
      </c>
      <c r="E141" s="291" t="s">
        <v>545</v>
      </c>
      <c r="F141" s="292" t="s">
        <v>176</v>
      </c>
      <c r="G141" s="615">
        <v>34608.6</v>
      </c>
      <c r="H141" s="79"/>
      <c r="I141" s="79"/>
    </row>
    <row r="142" spans="1:9" ht="28.5" hidden="1">
      <c r="A142" s="113" t="s">
        <v>546</v>
      </c>
      <c r="B142" s="290"/>
      <c r="C142" s="291" t="s">
        <v>122</v>
      </c>
      <c r="D142" s="291" t="s">
        <v>124</v>
      </c>
      <c r="E142" s="291" t="s">
        <v>545</v>
      </c>
      <c r="F142" s="292" t="s">
        <v>209</v>
      </c>
      <c r="G142" s="615"/>
      <c r="H142" s="20"/>
      <c r="I142" s="20"/>
    </row>
    <row r="143" spans="1:9" ht="15">
      <c r="A143" s="113" t="s">
        <v>125</v>
      </c>
      <c r="B143" s="290"/>
      <c r="C143" s="291" t="s">
        <v>122</v>
      </c>
      <c r="D143" s="291" t="s">
        <v>124</v>
      </c>
      <c r="E143" s="291" t="s">
        <v>417</v>
      </c>
      <c r="F143" s="292"/>
      <c r="G143" s="615">
        <f>G144</f>
        <v>61268.2</v>
      </c>
      <c r="H143" s="20"/>
      <c r="I143" s="20"/>
    </row>
    <row r="144" spans="1:9" ht="15">
      <c r="A144" s="113" t="s">
        <v>15</v>
      </c>
      <c r="B144" s="290"/>
      <c r="C144" s="291" t="s">
        <v>122</v>
      </c>
      <c r="D144" s="291" t="s">
        <v>124</v>
      </c>
      <c r="E144" s="291" t="s">
        <v>76</v>
      </c>
      <c r="F144" s="292"/>
      <c r="G144" s="615">
        <f>SUM(G145)</f>
        <v>61268.2</v>
      </c>
      <c r="H144" s="20"/>
      <c r="I144" s="20"/>
    </row>
    <row r="145" spans="1:9" ht="28.5">
      <c r="A145" s="113" t="s">
        <v>205</v>
      </c>
      <c r="B145" s="290"/>
      <c r="C145" s="291" t="s">
        <v>122</v>
      </c>
      <c r="D145" s="291" t="s">
        <v>124</v>
      </c>
      <c r="E145" s="291" t="s">
        <v>77</v>
      </c>
      <c r="F145" s="292"/>
      <c r="G145" s="615">
        <f>SUM(G146)</f>
        <v>61268.2</v>
      </c>
      <c r="H145" s="20"/>
      <c r="I145" s="20"/>
    </row>
    <row r="146" spans="1:9" ht="28.5">
      <c r="A146" s="113" t="s">
        <v>524</v>
      </c>
      <c r="B146" s="290"/>
      <c r="C146" s="291" t="s">
        <v>122</v>
      </c>
      <c r="D146" s="291" t="s">
        <v>124</v>
      </c>
      <c r="E146" s="291" t="s">
        <v>77</v>
      </c>
      <c r="F146" s="292" t="s">
        <v>513</v>
      </c>
      <c r="G146" s="615">
        <v>61268.2</v>
      </c>
      <c r="H146" s="20"/>
      <c r="I146" s="20"/>
    </row>
    <row r="147" spans="1:9" ht="15" hidden="1">
      <c r="A147" s="113" t="s">
        <v>525</v>
      </c>
      <c r="B147" s="290"/>
      <c r="C147" s="291" t="s">
        <v>122</v>
      </c>
      <c r="D147" s="291" t="s">
        <v>124</v>
      </c>
      <c r="E147" s="291" t="s">
        <v>77</v>
      </c>
      <c r="F147" s="292" t="s">
        <v>526</v>
      </c>
      <c r="G147" s="615"/>
      <c r="H147" s="20"/>
      <c r="I147" s="20"/>
    </row>
    <row r="148" spans="1:9" ht="42.75" hidden="1">
      <c r="A148" s="114" t="s">
        <v>527</v>
      </c>
      <c r="B148" s="290"/>
      <c r="C148" s="291" t="s">
        <v>122</v>
      </c>
      <c r="D148" s="291" t="s">
        <v>124</v>
      </c>
      <c r="E148" s="291" t="s">
        <v>77</v>
      </c>
      <c r="F148" s="292" t="s">
        <v>58</v>
      </c>
      <c r="G148" s="615"/>
      <c r="H148" s="20" t="e">
        <f>SUM(H152+H154+H161+#REF!)</f>
        <v>#REF!</v>
      </c>
      <c r="I148" s="20" t="e">
        <f>SUM(H148/G154*100)</f>
        <v>#REF!</v>
      </c>
    </row>
    <row r="149" spans="1:9" s="87" customFormat="1" ht="15">
      <c r="A149" s="113" t="s">
        <v>147</v>
      </c>
      <c r="B149" s="290"/>
      <c r="C149" s="291" t="s">
        <v>122</v>
      </c>
      <c r="D149" s="291" t="s">
        <v>300</v>
      </c>
      <c r="E149" s="291"/>
      <c r="F149" s="292"/>
      <c r="G149" s="615">
        <f>G150</f>
        <v>155590.3</v>
      </c>
      <c r="H149" s="20">
        <f>SUM(H151)</f>
        <v>0</v>
      </c>
      <c r="I149" s="20">
        <f>SUM(H149/G155*100)</f>
        <v>0</v>
      </c>
    </row>
    <row r="150" spans="1:9" s="87" customFormat="1" ht="28.5">
      <c r="A150" s="113" t="s">
        <v>38</v>
      </c>
      <c r="B150" s="290"/>
      <c r="C150" s="291" t="s">
        <v>122</v>
      </c>
      <c r="D150" s="291" t="s">
        <v>300</v>
      </c>
      <c r="E150" s="291" t="s">
        <v>39</v>
      </c>
      <c r="F150" s="292"/>
      <c r="G150" s="615">
        <f>G151</f>
        <v>155590.3</v>
      </c>
      <c r="H150" s="20"/>
      <c r="I150" s="20"/>
    </row>
    <row r="151" spans="1:9" s="95" customFormat="1" ht="15">
      <c r="A151" s="113" t="s">
        <v>500</v>
      </c>
      <c r="B151" s="290"/>
      <c r="C151" s="291" t="s">
        <v>122</v>
      </c>
      <c r="D151" s="291" t="s">
        <v>300</v>
      </c>
      <c r="E151" s="291" t="s">
        <v>39</v>
      </c>
      <c r="F151" s="292" t="s">
        <v>120</v>
      </c>
      <c r="G151" s="615">
        <v>155590.3</v>
      </c>
      <c r="H151" s="20"/>
      <c r="I151" s="20">
        <f aca="true" t="shared" si="3" ref="I151:I156">SUM(H151/G157*100)</f>
        <v>0</v>
      </c>
    </row>
    <row r="152" spans="1:9" s="89" customFormat="1" ht="15" hidden="1">
      <c r="A152" s="113" t="s">
        <v>518</v>
      </c>
      <c r="B152" s="290"/>
      <c r="C152" s="291" t="s">
        <v>122</v>
      </c>
      <c r="D152" s="291" t="s">
        <v>300</v>
      </c>
      <c r="E152" s="291" t="s">
        <v>39</v>
      </c>
      <c r="F152" s="292" t="s">
        <v>519</v>
      </c>
      <c r="G152" s="615"/>
      <c r="H152" s="20">
        <f>SUM(H153)</f>
        <v>0</v>
      </c>
      <c r="I152" s="20" t="e">
        <f t="shared" si="3"/>
        <v>#DIV/0!</v>
      </c>
    </row>
    <row r="153" spans="1:9" s="89" customFormat="1" ht="28.5" hidden="1">
      <c r="A153" s="113" t="s">
        <v>520</v>
      </c>
      <c r="B153" s="290"/>
      <c r="C153" s="291" t="s">
        <v>122</v>
      </c>
      <c r="D153" s="291" t="s">
        <v>300</v>
      </c>
      <c r="E153" s="291" t="s">
        <v>39</v>
      </c>
      <c r="F153" s="292" t="s">
        <v>521</v>
      </c>
      <c r="G153" s="615"/>
      <c r="H153" s="20">
        <f>5050-2000-3050</f>
        <v>0</v>
      </c>
      <c r="I153" s="20" t="e">
        <f t="shared" si="3"/>
        <v>#DIV/0!</v>
      </c>
    </row>
    <row r="154" spans="1:9" s="89" customFormat="1" ht="28.5" hidden="1">
      <c r="A154" s="113" t="s">
        <v>547</v>
      </c>
      <c r="B154" s="290"/>
      <c r="C154" s="291" t="s">
        <v>122</v>
      </c>
      <c r="D154" s="291" t="s">
        <v>300</v>
      </c>
      <c r="E154" s="291" t="s">
        <v>39</v>
      </c>
      <c r="F154" s="292" t="s">
        <v>521</v>
      </c>
      <c r="G154" s="615"/>
      <c r="H154" s="20">
        <f>SUM(H155)</f>
        <v>200</v>
      </c>
      <c r="I154" s="20" t="e">
        <f t="shared" si="3"/>
        <v>#DIV/0!</v>
      </c>
    </row>
    <row r="155" spans="1:9" s="89" customFormat="1" ht="15">
      <c r="A155" s="113" t="s">
        <v>418</v>
      </c>
      <c r="B155" s="290"/>
      <c r="C155" s="291" t="s">
        <v>122</v>
      </c>
      <c r="D155" s="291" t="s">
        <v>408</v>
      </c>
      <c r="E155" s="291"/>
      <c r="F155" s="292"/>
      <c r="G155" s="615">
        <f>SUM(G156,G166)</f>
        <v>11328.400000000001</v>
      </c>
      <c r="H155" s="20">
        <f>SUM(H156)</f>
        <v>200</v>
      </c>
      <c r="I155" s="20">
        <f t="shared" si="3"/>
        <v>4.479885314935937</v>
      </c>
    </row>
    <row r="156" spans="1:9" s="89" customFormat="1" ht="15">
      <c r="A156" s="113" t="s">
        <v>541</v>
      </c>
      <c r="B156" s="290"/>
      <c r="C156" s="291" t="s">
        <v>122</v>
      </c>
      <c r="D156" s="291" t="s">
        <v>408</v>
      </c>
      <c r="E156" s="291" t="s">
        <v>542</v>
      </c>
      <c r="F156" s="292"/>
      <c r="G156" s="615">
        <f>SUM(G157)</f>
        <v>4464.400000000001</v>
      </c>
      <c r="H156" s="20">
        <v>200</v>
      </c>
      <c r="I156" s="20">
        <f t="shared" si="3"/>
        <v>4.479885314935937</v>
      </c>
    </row>
    <row r="157" spans="1:9" s="89" customFormat="1" ht="15">
      <c r="A157" s="113" t="s">
        <v>423</v>
      </c>
      <c r="B157" s="290"/>
      <c r="C157" s="291" t="s">
        <v>122</v>
      </c>
      <c r="D157" s="291" t="s">
        <v>408</v>
      </c>
      <c r="E157" s="291" t="s">
        <v>548</v>
      </c>
      <c r="F157" s="292"/>
      <c r="G157" s="615">
        <f>SUM(G158,G162)</f>
        <v>4464.400000000001</v>
      </c>
      <c r="H157" s="20"/>
      <c r="I157" s="20"/>
    </row>
    <row r="158" spans="1:9" s="89" customFormat="1" ht="15">
      <c r="A158" s="113" t="s">
        <v>552</v>
      </c>
      <c r="B158" s="290"/>
      <c r="C158" s="291" t="s">
        <v>122</v>
      </c>
      <c r="D158" s="291" t="s">
        <v>408</v>
      </c>
      <c r="E158" s="280" t="s">
        <v>549</v>
      </c>
      <c r="F158" s="292"/>
      <c r="G158" s="615">
        <f>SUM(G159)</f>
        <v>0</v>
      </c>
      <c r="H158" s="20"/>
      <c r="I158" s="20"/>
    </row>
    <row r="159" spans="1:9" s="96" customFormat="1" ht="15">
      <c r="A159" s="113" t="s">
        <v>500</v>
      </c>
      <c r="B159" s="290"/>
      <c r="C159" s="291" t="s">
        <v>122</v>
      </c>
      <c r="D159" s="291" t="s">
        <v>408</v>
      </c>
      <c r="E159" s="280" t="s">
        <v>549</v>
      </c>
      <c r="F159" s="292" t="s">
        <v>120</v>
      </c>
      <c r="G159" s="615">
        <f>412.2-412.2</f>
        <v>0</v>
      </c>
      <c r="H159" s="20">
        <f>SUM(H160)</f>
        <v>0</v>
      </c>
      <c r="I159" s="20" t="e">
        <f>SUM(H159/G165*100)</f>
        <v>#DIV/0!</v>
      </c>
    </row>
    <row r="160" spans="1:9" s="89" customFormat="1" ht="15" hidden="1">
      <c r="A160" s="113" t="s">
        <v>518</v>
      </c>
      <c r="B160" s="290"/>
      <c r="C160" s="291" t="s">
        <v>122</v>
      </c>
      <c r="D160" s="291" t="s">
        <v>408</v>
      </c>
      <c r="E160" s="280" t="s">
        <v>549</v>
      </c>
      <c r="F160" s="292" t="s">
        <v>519</v>
      </c>
      <c r="G160" s="615"/>
      <c r="H160" s="20"/>
      <c r="I160" s="20">
        <f>SUM(H160/G166*100)</f>
        <v>0</v>
      </c>
    </row>
    <row r="161" spans="1:9" s="89" customFormat="1" ht="15">
      <c r="A161" s="113" t="s">
        <v>15</v>
      </c>
      <c r="B161" s="290"/>
      <c r="C161" s="291" t="s">
        <v>122</v>
      </c>
      <c r="D161" s="291" t="s">
        <v>408</v>
      </c>
      <c r="E161" s="291" t="s">
        <v>553</v>
      </c>
      <c r="F161" s="292"/>
      <c r="G161" s="615">
        <f>SUM(G162)</f>
        <v>4464.400000000001</v>
      </c>
      <c r="H161" s="20">
        <f>SUM(H162)</f>
        <v>0</v>
      </c>
      <c r="I161" s="20">
        <f>SUM(H161/G174*100)</f>
        <v>0</v>
      </c>
    </row>
    <row r="162" spans="1:9" s="89" customFormat="1" ht="28.5">
      <c r="A162" s="113" t="s">
        <v>205</v>
      </c>
      <c r="B162" s="290"/>
      <c r="C162" s="291" t="s">
        <v>122</v>
      </c>
      <c r="D162" s="291" t="s">
        <v>408</v>
      </c>
      <c r="E162" s="291" t="s">
        <v>550</v>
      </c>
      <c r="F162" s="292"/>
      <c r="G162" s="615">
        <f>G163</f>
        <v>4464.400000000001</v>
      </c>
      <c r="H162" s="20">
        <f>SUM(H163:H175)</f>
        <v>0</v>
      </c>
      <c r="I162" s="20">
        <f>SUM(H162/G175*100)</f>
        <v>0</v>
      </c>
    </row>
    <row r="163" spans="1:9" s="89" customFormat="1" ht="27.75" customHeight="1">
      <c r="A163" s="113" t="s">
        <v>524</v>
      </c>
      <c r="B163" s="290"/>
      <c r="C163" s="291" t="s">
        <v>122</v>
      </c>
      <c r="D163" s="291" t="s">
        <v>408</v>
      </c>
      <c r="E163" s="291" t="s">
        <v>550</v>
      </c>
      <c r="F163" s="292" t="s">
        <v>513</v>
      </c>
      <c r="G163" s="615">
        <f>3879.4+172.8+412.2</f>
        <v>4464.400000000001</v>
      </c>
      <c r="H163" s="20"/>
      <c r="I163" s="20" t="e">
        <f>SUM(H163/#REF!*100)</f>
        <v>#REF!</v>
      </c>
    </row>
    <row r="164" spans="1:9" s="89" customFormat="1" ht="15" hidden="1">
      <c r="A164" s="113" t="s">
        <v>525</v>
      </c>
      <c r="B164" s="290"/>
      <c r="C164" s="291" t="s">
        <v>122</v>
      </c>
      <c r="D164" s="291" t="s">
        <v>408</v>
      </c>
      <c r="E164" s="291" t="s">
        <v>550</v>
      </c>
      <c r="F164" s="292" t="s">
        <v>526</v>
      </c>
      <c r="G164" s="615"/>
      <c r="H164" s="20"/>
      <c r="I164" s="20"/>
    </row>
    <row r="165" spans="1:9" s="97" customFormat="1" ht="45" customHeight="1" hidden="1">
      <c r="A165" s="114" t="s">
        <v>527</v>
      </c>
      <c r="B165" s="293"/>
      <c r="C165" s="294" t="s">
        <v>122</v>
      </c>
      <c r="D165" s="294" t="s">
        <v>408</v>
      </c>
      <c r="E165" s="294" t="s">
        <v>550</v>
      </c>
      <c r="F165" s="295" t="s">
        <v>58</v>
      </c>
      <c r="G165" s="616"/>
      <c r="H165" s="80"/>
      <c r="I165" s="80"/>
    </row>
    <row r="166" spans="1:9" s="98" customFormat="1" ht="21.75" customHeight="1">
      <c r="A166" s="116" t="s">
        <v>551</v>
      </c>
      <c r="B166" s="293"/>
      <c r="C166" s="294" t="s">
        <v>122</v>
      </c>
      <c r="D166" s="294" t="s">
        <v>408</v>
      </c>
      <c r="E166" s="294" t="s">
        <v>129</v>
      </c>
      <c r="F166" s="295"/>
      <c r="G166" s="616">
        <f>G174+G171+G169+G167</f>
        <v>6864</v>
      </c>
      <c r="H166" s="80"/>
      <c r="I166" s="80"/>
    </row>
    <row r="167" spans="1:9" s="98" customFormat="1" ht="36.75" customHeight="1">
      <c r="A167" s="116" t="s">
        <v>755</v>
      </c>
      <c r="B167" s="293"/>
      <c r="C167" s="294" t="s">
        <v>122</v>
      </c>
      <c r="D167" s="294" t="s">
        <v>408</v>
      </c>
      <c r="E167" s="294" t="s">
        <v>756</v>
      </c>
      <c r="F167" s="295"/>
      <c r="G167" s="616">
        <f>SUM(G168)</f>
        <v>1000</v>
      </c>
      <c r="H167" s="80"/>
      <c r="I167" s="80"/>
    </row>
    <row r="168" spans="1:9" s="98" customFormat="1" ht="21.75" customHeight="1">
      <c r="A168" s="113" t="s">
        <v>501</v>
      </c>
      <c r="B168" s="293"/>
      <c r="C168" s="294" t="s">
        <v>122</v>
      </c>
      <c r="D168" s="294" t="s">
        <v>408</v>
      </c>
      <c r="E168" s="294" t="s">
        <v>756</v>
      </c>
      <c r="F168" s="292" t="s">
        <v>176</v>
      </c>
      <c r="G168" s="616">
        <v>1000</v>
      </c>
      <c r="H168" s="80"/>
      <c r="I168" s="80"/>
    </row>
    <row r="169" spans="1:9" s="98" customFormat="1" ht="47.25" customHeight="1">
      <c r="A169" s="116" t="s">
        <v>679</v>
      </c>
      <c r="B169" s="293"/>
      <c r="C169" s="294" t="s">
        <v>122</v>
      </c>
      <c r="D169" s="294" t="s">
        <v>408</v>
      </c>
      <c r="E169" s="294" t="s">
        <v>680</v>
      </c>
      <c r="F169" s="295"/>
      <c r="G169" s="616">
        <f>SUM(G170)</f>
        <v>20</v>
      </c>
      <c r="H169" s="80"/>
      <c r="I169" s="80"/>
    </row>
    <row r="170" spans="1:9" s="98" customFormat="1" ht="21.75" customHeight="1">
      <c r="A170" s="113" t="s">
        <v>500</v>
      </c>
      <c r="B170" s="290"/>
      <c r="C170" s="291" t="s">
        <v>122</v>
      </c>
      <c r="D170" s="291" t="s">
        <v>408</v>
      </c>
      <c r="E170" s="294" t="s">
        <v>680</v>
      </c>
      <c r="F170" s="292" t="s">
        <v>120</v>
      </c>
      <c r="G170" s="615">
        <v>20</v>
      </c>
      <c r="H170" s="80"/>
      <c r="I170" s="80"/>
    </row>
    <row r="171" spans="1:9" s="98" customFormat="1" ht="36.75" customHeight="1">
      <c r="A171" s="170" t="s">
        <v>647</v>
      </c>
      <c r="B171" s="301"/>
      <c r="C171" s="302" t="s">
        <v>122</v>
      </c>
      <c r="D171" s="302" t="s">
        <v>408</v>
      </c>
      <c r="E171" s="303" t="s">
        <v>648</v>
      </c>
      <c r="F171" s="304"/>
      <c r="G171" s="269">
        <f>SUM(G172)</f>
        <v>5</v>
      </c>
      <c r="H171" s="80"/>
      <c r="I171" s="80"/>
    </row>
    <row r="172" spans="1:9" s="98" customFormat="1" ht="33.75" customHeight="1">
      <c r="A172" s="171" t="s">
        <v>649</v>
      </c>
      <c r="B172" s="301"/>
      <c r="C172" s="302" t="s">
        <v>122</v>
      </c>
      <c r="D172" s="302" t="s">
        <v>408</v>
      </c>
      <c r="E172" s="303" t="s">
        <v>650</v>
      </c>
      <c r="F172" s="304"/>
      <c r="G172" s="269">
        <f>SUM(G173)</f>
        <v>5</v>
      </c>
      <c r="H172" s="80"/>
      <c r="I172" s="80"/>
    </row>
    <row r="173" spans="1:9" s="98" customFormat="1" ht="20.25" customHeight="1">
      <c r="A173" s="113" t="s">
        <v>500</v>
      </c>
      <c r="B173" s="301"/>
      <c r="C173" s="302" t="s">
        <v>122</v>
      </c>
      <c r="D173" s="302" t="s">
        <v>408</v>
      </c>
      <c r="E173" s="303" t="s">
        <v>650</v>
      </c>
      <c r="F173" s="304" t="s">
        <v>120</v>
      </c>
      <c r="G173" s="269">
        <v>5</v>
      </c>
      <c r="H173" s="80"/>
      <c r="I173" s="80"/>
    </row>
    <row r="174" spans="1:9" s="99" customFormat="1" ht="36.75" customHeight="1">
      <c r="A174" s="116" t="s">
        <v>672</v>
      </c>
      <c r="B174" s="293"/>
      <c r="C174" s="294" t="s">
        <v>122</v>
      </c>
      <c r="D174" s="294" t="s">
        <v>408</v>
      </c>
      <c r="E174" s="294" t="s">
        <v>54</v>
      </c>
      <c r="F174" s="295"/>
      <c r="G174" s="616">
        <f>SUM(G175)</f>
        <v>5839</v>
      </c>
      <c r="H174" s="80"/>
      <c r="I174" s="80" t="e">
        <f>SUM(H174/#REF!*100)</f>
        <v>#REF!</v>
      </c>
    </row>
    <row r="175" spans="1:9" s="97" customFormat="1" ht="28.5">
      <c r="A175" s="114" t="s">
        <v>524</v>
      </c>
      <c r="B175" s="293"/>
      <c r="C175" s="294" t="s">
        <v>122</v>
      </c>
      <c r="D175" s="294" t="s">
        <v>408</v>
      </c>
      <c r="E175" s="294" t="s">
        <v>54</v>
      </c>
      <c r="F175" s="295" t="s">
        <v>513</v>
      </c>
      <c r="G175" s="616">
        <v>5839</v>
      </c>
      <c r="H175" s="80"/>
      <c r="I175" s="80" t="e">
        <f>SUM(H175/#REF!*100)</f>
        <v>#REF!</v>
      </c>
    </row>
    <row r="176" spans="1:11" s="87" customFormat="1" ht="15">
      <c r="A176" s="113" t="s">
        <v>424</v>
      </c>
      <c r="B176" s="284"/>
      <c r="C176" s="280" t="s">
        <v>131</v>
      </c>
      <c r="D176" s="280"/>
      <c r="E176" s="280"/>
      <c r="F176" s="278"/>
      <c r="G176" s="261">
        <f>SUM(G235+G247+G267+G177)</f>
        <v>160669.5</v>
      </c>
      <c r="H176" s="20">
        <f>SUM(H177)</f>
        <v>0</v>
      </c>
      <c r="I176" s="20" t="e">
        <f aca="true" t="shared" si="4" ref="I176:I211">SUM(H176/G182*100)</f>
        <v>#DIV/0!</v>
      </c>
      <c r="K176" s="87">
        <f>81350.2+62545.9+17953.9-1181.2</f>
        <v>160668.8</v>
      </c>
    </row>
    <row r="177" spans="1:9" s="87" customFormat="1" ht="15">
      <c r="A177" s="109" t="s">
        <v>425</v>
      </c>
      <c r="B177" s="274"/>
      <c r="C177" s="275" t="s">
        <v>131</v>
      </c>
      <c r="D177" s="275" t="s">
        <v>460</v>
      </c>
      <c r="E177" s="275"/>
      <c r="F177" s="276"/>
      <c r="G177" s="258">
        <f>SUM(G178)</f>
        <v>1500</v>
      </c>
      <c r="H177" s="20"/>
      <c r="I177" s="20" t="e">
        <f t="shared" si="4"/>
        <v>#DIV/0!</v>
      </c>
    </row>
    <row r="178" spans="1:9" s="87" customFormat="1" ht="48.75" customHeight="1">
      <c r="A178" s="113" t="s">
        <v>689</v>
      </c>
      <c r="B178" s="274"/>
      <c r="C178" s="275" t="s">
        <v>131</v>
      </c>
      <c r="D178" s="275" t="s">
        <v>460</v>
      </c>
      <c r="E178" s="275" t="s">
        <v>426</v>
      </c>
      <c r="F178" s="276"/>
      <c r="G178" s="258">
        <f>SUM(G179+G189)+G186</f>
        <v>1500</v>
      </c>
      <c r="H178" s="20">
        <f>SUM(H179)</f>
        <v>4761.6</v>
      </c>
      <c r="I178" s="20" t="e">
        <f t="shared" si="4"/>
        <v>#DIV/0!</v>
      </c>
    </row>
    <row r="179" spans="1:9" s="87" customFormat="1" ht="57" hidden="1">
      <c r="A179" s="113" t="s">
        <v>427</v>
      </c>
      <c r="B179" s="274"/>
      <c r="C179" s="275" t="s">
        <v>131</v>
      </c>
      <c r="D179" s="275" t="s">
        <v>460</v>
      </c>
      <c r="E179" s="275" t="s">
        <v>428</v>
      </c>
      <c r="F179" s="276"/>
      <c r="G179" s="258">
        <f>SUM(G180+G182+G184)</f>
        <v>0</v>
      </c>
      <c r="H179" s="20">
        <v>4761.6</v>
      </c>
      <c r="I179" s="20" t="e">
        <f t="shared" si="4"/>
        <v>#DIV/0!</v>
      </c>
    </row>
    <row r="180" spans="1:9" s="87" customFormat="1" ht="42.75" hidden="1">
      <c r="A180" s="113" t="s">
        <v>28</v>
      </c>
      <c r="B180" s="274"/>
      <c r="C180" s="275" t="s">
        <v>131</v>
      </c>
      <c r="D180" s="275" t="s">
        <v>460</v>
      </c>
      <c r="E180" s="275" t="s">
        <v>29</v>
      </c>
      <c r="F180" s="276"/>
      <c r="G180" s="258">
        <f>SUM(G181)</f>
        <v>0</v>
      </c>
      <c r="H180" s="20" t="e">
        <f>SUM(H181)+#REF!+H191</f>
        <v>#REF!</v>
      </c>
      <c r="I180" s="20" t="e">
        <f>SUM(H180/G189*100)</f>
        <v>#REF!</v>
      </c>
    </row>
    <row r="181" spans="1:9" s="87" customFormat="1" ht="15" hidden="1">
      <c r="A181" s="109" t="s">
        <v>7</v>
      </c>
      <c r="B181" s="274"/>
      <c r="C181" s="275" t="s">
        <v>131</v>
      </c>
      <c r="D181" s="275" t="s">
        <v>460</v>
      </c>
      <c r="E181" s="275" t="s">
        <v>29</v>
      </c>
      <c r="F181" s="276" t="s">
        <v>8</v>
      </c>
      <c r="G181" s="258"/>
      <c r="H181" s="20">
        <f>SUM(H182+H183)</f>
        <v>1562</v>
      </c>
      <c r="I181" s="20" t="e">
        <f>SUM(H181/#REF!*100)</f>
        <v>#REF!</v>
      </c>
    </row>
    <row r="182" spans="1:9" s="87" customFormat="1" ht="57" hidden="1">
      <c r="A182" s="113" t="s">
        <v>30</v>
      </c>
      <c r="B182" s="274"/>
      <c r="C182" s="275" t="s">
        <v>131</v>
      </c>
      <c r="D182" s="275" t="s">
        <v>460</v>
      </c>
      <c r="E182" s="275" t="s">
        <v>31</v>
      </c>
      <c r="F182" s="276"/>
      <c r="G182" s="258">
        <f>SUM(G183)</f>
        <v>0</v>
      </c>
      <c r="H182" s="20">
        <v>233.9</v>
      </c>
      <c r="I182" s="20" t="e">
        <f>SUM(H182/#REF!*100)</f>
        <v>#REF!</v>
      </c>
    </row>
    <row r="183" spans="1:9" s="87" customFormat="1" ht="15" hidden="1">
      <c r="A183" s="117" t="s">
        <v>134</v>
      </c>
      <c r="B183" s="274"/>
      <c r="C183" s="275" t="s">
        <v>131</v>
      </c>
      <c r="D183" s="275" t="s">
        <v>460</v>
      </c>
      <c r="E183" s="275" t="s">
        <v>31</v>
      </c>
      <c r="F183" s="276" t="s">
        <v>135</v>
      </c>
      <c r="G183" s="258"/>
      <c r="H183" s="20">
        <v>1328.1</v>
      </c>
      <c r="I183" s="20" t="e">
        <f>SUM(H183/G190*100)</f>
        <v>#DIV/0!</v>
      </c>
    </row>
    <row r="184" spans="1:9" s="87" customFormat="1" ht="71.25" hidden="1">
      <c r="A184" s="113" t="s">
        <v>255</v>
      </c>
      <c r="B184" s="274"/>
      <c r="C184" s="275" t="s">
        <v>131</v>
      </c>
      <c r="D184" s="275" t="s">
        <v>460</v>
      </c>
      <c r="E184" s="275" t="s">
        <v>140</v>
      </c>
      <c r="F184" s="276"/>
      <c r="G184" s="258">
        <f>SUM(G185)</f>
        <v>0</v>
      </c>
      <c r="H184" s="20">
        <f>SUM(H185)</f>
        <v>0</v>
      </c>
      <c r="I184" s="20" t="e">
        <f>SUM(H184/G191*100)</f>
        <v>#DIV/0!</v>
      </c>
    </row>
    <row r="185" spans="1:9" s="87" customFormat="1" ht="15" hidden="1">
      <c r="A185" s="117" t="s">
        <v>134</v>
      </c>
      <c r="B185" s="274"/>
      <c r="C185" s="275" t="s">
        <v>131</v>
      </c>
      <c r="D185" s="275" t="s">
        <v>460</v>
      </c>
      <c r="E185" s="275" t="s">
        <v>140</v>
      </c>
      <c r="F185" s="276" t="s">
        <v>135</v>
      </c>
      <c r="G185" s="258"/>
      <c r="H185" s="20">
        <f>SUM(H189)</f>
        <v>0</v>
      </c>
      <c r="I185" s="20" t="e">
        <f>SUM(H185/G192*100)</f>
        <v>#DIV/0!</v>
      </c>
    </row>
    <row r="186" spans="1:9" s="87" customFormat="1" ht="71.25" hidden="1">
      <c r="A186" s="266" t="s">
        <v>703</v>
      </c>
      <c r="B186" s="274"/>
      <c r="C186" s="275" t="s">
        <v>131</v>
      </c>
      <c r="D186" s="275" t="s">
        <v>460</v>
      </c>
      <c r="E186" s="275" t="s">
        <v>701</v>
      </c>
      <c r="F186" s="276"/>
      <c r="G186" s="258">
        <f>SUM(G187)</f>
        <v>0</v>
      </c>
      <c r="H186" s="20"/>
      <c r="I186" s="20"/>
    </row>
    <row r="187" spans="1:9" s="87" customFormat="1" ht="28.5" hidden="1">
      <c r="A187" s="117" t="s">
        <v>700</v>
      </c>
      <c r="B187" s="274"/>
      <c r="C187" s="275" t="s">
        <v>131</v>
      </c>
      <c r="D187" s="275" t="s">
        <v>460</v>
      </c>
      <c r="E187" s="275" t="s">
        <v>702</v>
      </c>
      <c r="F187" s="276"/>
      <c r="G187" s="258">
        <f>SUM(G188)</f>
        <v>0</v>
      </c>
      <c r="H187" s="20"/>
      <c r="I187" s="20"/>
    </row>
    <row r="188" spans="1:9" s="87" customFormat="1" ht="28.5" hidden="1">
      <c r="A188" s="226" t="s">
        <v>566</v>
      </c>
      <c r="B188" s="274"/>
      <c r="C188" s="275" t="s">
        <v>131</v>
      </c>
      <c r="D188" s="275" t="s">
        <v>460</v>
      </c>
      <c r="E188" s="275" t="s">
        <v>702</v>
      </c>
      <c r="F188" s="276" t="s">
        <v>560</v>
      </c>
      <c r="G188" s="258"/>
      <c r="H188" s="20"/>
      <c r="I188" s="20"/>
    </row>
    <row r="189" spans="1:9" s="87" customFormat="1" ht="57">
      <c r="A189" s="113" t="s">
        <v>688</v>
      </c>
      <c r="B189" s="274"/>
      <c r="C189" s="275" t="s">
        <v>131</v>
      </c>
      <c r="D189" s="275" t="s">
        <v>460</v>
      </c>
      <c r="E189" s="275" t="s">
        <v>690</v>
      </c>
      <c r="F189" s="276"/>
      <c r="G189" s="258">
        <f>SUM(G231+G233)</f>
        <v>1500</v>
      </c>
      <c r="H189" s="20"/>
      <c r="I189" s="20" t="e">
        <f>SUM(H189/G193*100)</f>
        <v>#DIV/0!</v>
      </c>
    </row>
    <row r="190" spans="1:9" s="87" customFormat="1" ht="28.5" hidden="1">
      <c r="A190" s="113" t="s">
        <v>433</v>
      </c>
      <c r="B190" s="274"/>
      <c r="C190" s="275" t="s">
        <v>131</v>
      </c>
      <c r="D190" s="275" t="s">
        <v>460</v>
      </c>
      <c r="E190" s="275" t="s">
        <v>432</v>
      </c>
      <c r="F190" s="276" t="s">
        <v>434</v>
      </c>
      <c r="G190" s="258"/>
      <c r="H190" s="20">
        <v>1821.9</v>
      </c>
      <c r="I190" s="20" t="e">
        <f t="shared" si="4"/>
        <v>#DIV/0!</v>
      </c>
    </row>
    <row r="191" spans="1:9" s="87" customFormat="1" ht="28.5" hidden="1">
      <c r="A191" s="113" t="s">
        <v>249</v>
      </c>
      <c r="B191" s="274"/>
      <c r="C191" s="275" t="s">
        <v>131</v>
      </c>
      <c r="D191" s="275" t="s">
        <v>460</v>
      </c>
      <c r="E191" s="275" t="s">
        <v>422</v>
      </c>
      <c r="F191" s="276"/>
      <c r="G191" s="258">
        <f>SUM(G192)</f>
        <v>0</v>
      </c>
      <c r="H191" s="20">
        <f>SUM(H192)</f>
        <v>1821.9</v>
      </c>
      <c r="I191" s="20" t="e">
        <f t="shared" si="4"/>
        <v>#DIV/0!</v>
      </c>
    </row>
    <row r="192" spans="1:9" s="87" customFormat="1" ht="28.5" hidden="1">
      <c r="A192" s="113" t="s">
        <v>132</v>
      </c>
      <c r="B192" s="274"/>
      <c r="C192" s="275" t="s">
        <v>131</v>
      </c>
      <c r="D192" s="275" t="s">
        <v>460</v>
      </c>
      <c r="E192" s="275" t="s">
        <v>133</v>
      </c>
      <c r="F192" s="276"/>
      <c r="G192" s="258">
        <f>SUM(G193)</f>
        <v>0</v>
      </c>
      <c r="H192" s="20">
        <v>1821.9</v>
      </c>
      <c r="I192" s="20" t="e">
        <f t="shared" si="4"/>
        <v>#DIV/0!</v>
      </c>
    </row>
    <row r="193" spans="1:9" s="87" customFormat="1" ht="15" hidden="1">
      <c r="A193" s="113" t="s">
        <v>134</v>
      </c>
      <c r="B193" s="274"/>
      <c r="C193" s="275" t="s">
        <v>131</v>
      </c>
      <c r="D193" s="275" t="s">
        <v>460</v>
      </c>
      <c r="E193" s="275" t="s">
        <v>133</v>
      </c>
      <c r="F193" s="276" t="s">
        <v>135</v>
      </c>
      <c r="G193" s="258"/>
      <c r="H193" s="20">
        <f>SUM(H194+H196)</f>
        <v>0</v>
      </c>
      <c r="I193" s="20" t="e">
        <f t="shared" si="4"/>
        <v>#DIV/0!</v>
      </c>
    </row>
    <row r="194" spans="1:9" s="87" customFormat="1" ht="28.5" hidden="1">
      <c r="A194" s="113" t="s">
        <v>435</v>
      </c>
      <c r="B194" s="274"/>
      <c r="C194" s="275" t="s">
        <v>131</v>
      </c>
      <c r="D194" s="275" t="s">
        <v>460</v>
      </c>
      <c r="E194" s="275" t="s">
        <v>436</v>
      </c>
      <c r="F194" s="276"/>
      <c r="G194" s="258">
        <f>SUM(G195+G196)</f>
        <v>0</v>
      </c>
      <c r="H194" s="20">
        <f>SUM(H195)</f>
        <v>0</v>
      </c>
      <c r="I194" s="20" t="e">
        <f t="shared" si="4"/>
        <v>#DIV/0!</v>
      </c>
    </row>
    <row r="195" spans="1:9" s="87" customFormat="1" ht="42.75" hidden="1">
      <c r="A195" s="109" t="s">
        <v>16</v>
      </c>
      <c r="B195" s="274"/>
      <c r="C195" s="275" t="s">
        <v>131</v>
      </c>
      <c r="D195" s="275" t="s">
        <v>460</v>
      </c>
      <c r="E195" s="275" t="s">
        <v>436</v>
      </c>
      <c r="F195" s="276" t="s">
        <v>58</v>
      </c>
      <c r="G195" s="258"/>
      <c r="H195" s="20"/>
      <c r="I195" s="20" t="e">
        <f t="shared" si="4"/>
        <v>#DIV/0!</v>
      </c>
    </row>
    <row r="196" spans="1:9" s="87" customFormat="1" ht="15" hidden="1">
      <c r="A196" s="117" t="s">
        <v>134</v>
      </c>
      <c r="B196" s="274"/>
      <c r="C196" s="275" t="s">
        <v>131</v>
      </c>
      <c r="D196" s="275" t="s">
        <v>460</v>
      </c>
      <c r="E196" s="275" t="s">
        <v>436</v>
      </c>
      <c r="F196" s="276" t="s">
        <v>135</v>
      </c>
      <c r="G196" s="258"/>
      <c r="H196" s="20">
        <f>SUM(H197)</f>
        <v>0</v>
      </c>
      <c r="I196" s="20" t="e">
        <f t="shared" si="4"/>
        <v>#DIV/0!</v>
      </c>
    </row>
    <row r="197" spans="1:9" s="87" customFormat="1" ht="42.75" hidden="1">
      <c r="A197" s="113" t="s">
        <v>439</v>
      </c>
      <c r="B197" s="274"/>
      <c r="C197" s="275" t="s">
        <v>131</v>
      </c>
      <c r="D197" s="275" t="s">
        <v>460</v>
      </c>
      <c r="E197" s="275" t="s">
        <v>440</v>
      </c>
      <c r="F197" s="276"/>
      <c r="G197" s="258">
        <f>SUM(G198)</f>
        <v>0</v>
      </c>
      <c r="H197" s="20"/>
      <c r="I197" s="20" t="e">
        <f t="shared" si="4"/>
        <v>#DIV/0!</v>
      </c>
    </row>
    <row r="198" spans="1:9" s="87" customFormat="1" ht="15" hidden="1">
      <c r="A198" s="117" t="s">
        <v>134</v>
      </c>
      <c r="B198" s="274"/>
      <c r="C198" s="275" t="s">
        <v>131</v>
      </c>
      <c r="D198" s="275" t="s">
        <v>460</v>
      </c>
      <c r="E198" s="275" t="s">
        <v>440</v>
      </c>
      <c r="F198" s="276" t="s">
        <v>135</v>
      </c>
      <c r="G198" s="258"/>
      <c r="H198" s="70">
        <f>SUM(H202)+H207+H199</f>
        <v>0</v>
      </c>
      <c r="I198" s="20" t="e">
        <f t="shared" si="4"/>
        <v>#DIV/0!</v>
      </c>
    </row>
    <row r="199" spans="1:9" s="87" customFormat="1" ht="15" hidden="1">
      <c r="A199" s="109" t="s">
        <v>441</v>
      </c>
      <c r="B199" s="274"/>
      <c r="C199" s="275" t="s">
        <v>131</v>
      </c>
      <c r="D199" s="275" t="s">
        <v>460</v>
      </c>
      <c r="E199" s="275" t="s">
        <v>442</v>
      </c>
      <c r="F199" s="276"/>
      <c r="G199" s="258">
        <f>SUM(G200+G202)</f>
        <v>0</v>
      </c>
      <c r="H199" s="70">
        <f>SUM(H200)</f>
        <v>0</v>
      </c>
      <c r="I199" s="20" t="e">
        <f t="shared" si="4"/>
        <v>#DIV/0!</v>
      </c>
    </row>
    <row r="200" spans="1:9" s="87" customFormat="1" ht="42.75" hidden="1">
      <c r="A200" s="110" t="s">
        <v>443</v>
      </c>
      <c r="B200" s="274"/>
      <c r="C200" s="275" t="s">
        <v>131</v>
      </c>
      <c r="D200" s="275" t="s">
        <v>460</v>
      </c>
      <c r="E200" s="275" t="s">
        <v>444</v>
      </c>
      <c r="F200" s="276"/>
      <c r="G200" s="258">
        <f>SUM(G201)</f>
        <v>0</v>
      </c>
      <c r="H200" s="70"/>
      <c r="I200" s="20" t="e">
        <f t="shared" si="4"/>
        <v>#DIV/0!</v>
      </c>
    </row>
    <row r="201" spans="1:9" s="87" customFormat="1" ht="15" hidden="1">
      <c r="A201" s="109" t="s">
        <v>7</v>
      </c>
      <c r="B201" s="274"/>
      <c r="C201" s="275" t="s">
        <v>131</v>
      </c>
      <c r="D201" s="275" t="s">
        <v>460</v>
      </c>
      <c r="E201" s="275" t="s">
        <v>444</v>
      </c>
      <c r="F201" s="276" t="s">
        <v>8</v>
      </c>
      <c r="G201" s="258"/>
      <c r="H201" s="70"/>
      <c r="I201" s="20" t="e">
        <f t="shared" si="4"/>
        <v>#DIV/0!</v>
      </c>
    </row>
    <row r="202" spans="1:9" s="87" customFormat="1" ht="28.5" hidden="1">
      <c r="A202" s="110" t="s">
        <v>445</v>
      </c>
      <c r="B202" s="284"/>
      <c r="C202" s="275" t="s">
        <v>131</v>
      </c>
      <c r="D202" s="275" t="s">
        <v>460</v>
      </c>
      <c r="E202" s="275" t="s">
        <v>446</v>
      </c>
      <c r="F202" s="277"/>
      <c r="G202" s="258">
        <f>SUM(G203)</f>
        <v>0</v>
      </c>
      <c r="H202" s="70">
        <f>SUM(H203+H205)</f>
        <v>0</v>
      </c>
      <c r="I202" s="20" t="e">
        <f t="shared" si="4"/>
        <v>#DIV/0!</v>
      </c>
    </row>
    <row r="203" spans="1:9" s="87" customFormat="1" ht="15" hidden="1">
      <c r="A203" s="109" t="s">
        <v>103</v>
      </c>
      <c r="B203" s="305"/>
      <c r="C203" s="275" t="s">
        <v>131</v>
      </c>
      <c r="D203" s="275" t="s">
        <v>460</v>
      </c>
      <c r="E203" s="275" t="s">
        <v>446</v>
      </c>
      <c r="F203" s="276" t="s">
        <v>104</v>
      </c>
      <c r="G203" s="258"/>
      <c r="H203" s="70">
        <f>SUM(H204)</f>
        <v>0</v>
      </c>
      <c r="I203" s="20" t="e">
        <f t="shared" si="4"/>
        <v>#DIV/0!</v>
      </c>
    </row>
    <row r="204" spans="1:9" s="87" customFormat="1" ht="15" hidden="1">
      <c r="A204" s="110" t="s">
        <v>3</v>
      </c>
      <c r="B204" s="274"/>
      <c r="C204" s="275" t="s">
        <v>131</v>
      </c>
      <c r="D204" s="275" t="s">
        <v>460</v>
      </c>
      <c r="E204" s="275" t="s">
        <v>4</v>
      </c>
      <c r="F204" s="276"/>
      <c r="G204" s="258">
        <f>SUM(G208)+G213+G205</f>
        <v>0</v>
      </c>
      <c r="H204" s="20"/>
      <c r="I204" s="20" t="e">
        <f t="shared" si="4"/>
        <v>#DIV/0!</v>
      </c>
    </row>
    <row r="205" spans="1:9" s="87" customFormat="1" ht="28.5" hidden="1">
      <c r="A205" s="110" t="s">
        <v>447</v>
      </c>
      <c r="B205" s="274"/>
      <c r="C205" s="275" t="s">
        <v>131</v>
      </c>
      <c r="D205" s="275" t="s">
        <v>460</v>
      </c>
      <c r="E205" s="275" t="s">
        <v>448</v>
      </c>
      <c r="F205" s="276"/>
      <c r="G205" s="258">
        <f>SUM(G206)</f>
        <v>0</v>
      </c>
      <c r="H205" s="20">
        <f>SUM(H206)</f>
        <v>0</v>
      </c>
      <c r="I205" s="20" t="e">
        <f t="shared" si="4"/>
        <v>#DIV/0!</v>
      </c>
    </row>
    <row r="206" spans="1:9" s="87" customFormat="1" ht="15" hidden="1">
      <c r="A206" s="110" t="s">
        <v>134</v>
      </c>
      <c r="B206" s="274"/>
      <c r="C206" s="275" t="s">
        <v>131</v>
      </c>
      <c r="D206" s="275" t="s">
        <v>460</v>
      </c>
      <c r="E206" s="275" t="s">
        <v>448</v>
      </c>
      <c r="F206" s="276" t="s">
        <v>135</v>
      </c>
      <c r="G206" s="258"/>
      <c r="H206" s="20"/>
      <c r="I206" s="20" t="e">
        <f t="shared" si="4"/>
        <v>#DIV/0!</v>
      </c>
    </row>
    <row r="207" spans="1:9" s="87" customFormat="1" ht="15" hidden="1">
      <c r="A207" s="110"/>
      <c r="B207" s="274"/>
      <c r="C207" s="275"/>
      <c r="D207" s="275"/>
      <c r="E207" s="275"/>
      <c r="F207" s="276"/>
      <c r="G207" s="258"/>
      <c r="H207" s="20"/>
      <c r="I207" s="20" t="e">
        <f t="shared" si="4"/>
        <v>#DIV/0!</v>
      </c>
    </row>
    <row r="208" spans="1:9" s="87" customFormat="1" ht="28.5" hidden="1">
      <c r="A208" s="109" t="s">
        <v>449</v>
      </c>
      <c r="B208" s="274"/>
      <c r="C208" s="275" t="s">
        <v>131</v>
      </c>
      <c r="D208" s="275" t="s">
        <v>460</v>
      </c>
      <c r="E208" s="275" t="s">
        <v>450</v>
      </c>
      <c r="F208" s="276"/>
      <c r="G208" s="258">
        <f>SUM(G209+G211)</f>
        <v>0</v>
      </c>
      <c r="H208" s="20">
        <f>SUM(H209)</f>
        <v>0</v>
      </c>
      <c r="I208" s="20" t="e">
        <f t="shared" si="4"/>
        <v>#DIV/0!</v>
      </c>
    </row>
    <row r="209" spans="1:9" s="87" customFormat="1" ht="28.5" hidden="1">
      <c r="A209" s="110" t="s">
        <v>451</v>
      </c>
      <c r="B209" s="274"/>
      <c r="C209" s="275" t="s">
        <v>131</v>
      </c>
      <c r="D209" s="275" t="s">
        <v>460</v>
      </c>
      <c r="E209" s="275" t="s">
        <v>452</v>
      </c>
      <c r="F209" s="276"/>
      <c r="G209" s="258">
        <f>SUM(G210)</f>
        <v>0</v>
      </c>
      <c r="H209" s="20"/>
      <c r="I209" s="20" t="e">
        <f t="shared" si="4"/>
        <v>#DIV/0!</v>
      </c>
    </row>
    <row r="210" spans="1:9" s="87" customFormat="1" ht="15" hidden="1">
      <c r="A210" s="113" t="s">
        <v>134</v>
      </c>
      <c r="B210" s="274"/>
      <c r="C210" s="275" t="s">
        <v>131</v>
      </c>
      <c r="D210" s="275" t="s">
        <v>460</v>
      </c>
      <c r="E210" s="275" t="s">
        <v>452</v>
      </c>
      <c r="F210" s="276" t="s">
        <v>135</v>
      </c>
      <c r="G210" s="258"/>
      <c r="H210" s="20">
        <f>SUM(H211)</f>
        <v>0</v>
      </c>
      <c r="I210" s="20" t="e">
        <f t="shared" si="4"/>
        <v>#DIV/0!</v>
      </c>
    </row>
    <row r="211" spans="1:9" s="87" customFormat="1" ht="15" hidden="1">
      <c r="A211" s="113" t="s">
        <v>453</v>
      </c>
      <c r="B211" s="274"/>
      <c r="C211" s="275" t="s">
        <v>131</v>
      </c>
      <c r="D211" s="275" t="s">
        <v>460</v>
      </c>
      <c r="E211" s="275" t="s">
        <v>454</v>
      </c>
      <c r="F211" s="276"/>
      <c r="G211" s="258">
        <f>SUM(G212)</f>
        <v>0</v>
      </c>
      <c r="H211" s="20"/>
      <c r="I211" s="20" t="e">
        <f t="shared" si="4"/>
        <v>#DIV/0!</v>
      </c>
    </row>
    <row r="212" spans="1:9" s="87" customFormat="1" ht="15" hidden="1">
      <c r="A212" s="109" t="s">
        <v>103</v>
      </c>
      <c r="B212" s="305"/>
      <c r="C212" s="275" t="s">
        <v>131</v>
      </c>
      <c r="D212" s="275" t="s">
        <v>460</v>
      </c>
      <c r="E212" s="275" t="s">
        <v>454</v>
      </c>
      <c r="F212" s="276" t="s">
        <v>104</v>
      </c>
      <c r="G212" s="258"/>
      <c r="H212" s="20"/>
      <c r="I212" s="20"/>
    </row>
    <row r="213" spans="1:9" s="87" customFormat="1" ht="28.5" hidden="1">
      <c r="A213" s="109" t="s">
        <v>455</v>
      </c>
      <c r="B213" s="305"/>
      <c r="C213" s="275" t="s">
        <v>131</v>
      </c>
      <c r="D213" s="275" t="s">
        <v>460</v>
      </c>
      <c r="E213" s="275" t="s">
        <v>456</v>
      </c>
      <c r="F213" s="276"/>
      <c r="G213" s="258"/>
      <c r="H213" s="20"/>
      <c r="I213" s="20"/>
    </row>
    <row r="214" spans="1:9" s="87" customFormat="1" ht="28.5" hidden="1">
      <c r="A214" s="109" t="s">
        <v>44</v>
      </c>
      <c r="B214" s="305"/>
      <c r="C214" s="275" t="s">
        <v>131</v>
      </c>
      <c r="D214" s="275" t="s">
        <v>460</v>
      </c>
      <c r="E214" s="275" t="s">
        <v>45</v>
      </c>
      <c r="F214" s="276"/>
      <c r="G214" s="258">
        <f>SUM(G215)</f>
        <v>0</v>
      </c>
      <c r="H214" s="20"/>
      <c r="I214" s="20"/>
    </row>
    <row r="215" spans="1:9" s="87" customFormat="1" ht="15" hidden="1">
      <c r="A215" s="109" t="s">
        <v>7</v>
      </c>
      <c r="B215" s="305"/>
      <c r="C215" s="275" t="s">
        <v>131</v>
      </c>
      <c r="D215" s="275" t="s">
        <v>460</v>
      </c>
      <c r="E215" s="275" t="s">
        <v>45</v>
      </c>
      <c r="F215" s="276" t="s">
        <v>8</v>
      </c>
      <c r="G215" s="258"/>
      <c r="H215" s="20">
        <f>SUM(H216+H219)+H223</f>
        <v>278.1</v>
      </c>
      <c r="I215" s="20" t="e">
        <f aca="true" t="shared" si="5" ref="I215:I220">SUM(H215/G221*100)</f>
        <v>#DIV/0!</v>
      </c>
    </row>
    <row r="216" spans="1:9" s="87" customFormat="1" ht="28.5" hidden="1">
      <c r="A216" s="109" t="s">
        <v>46</v>
      </c>
      <c r="B216" s="305"/>
      <c r="C216" s="275" t="s">
        <v>131</v>
      </c>
      <c r="D216" s="275" t="s">
        <v>460</v>
      </c>
      <c r="E216" s="275" t="s">
        <v>47</v>
      </c>
      <c r="F216" s="276"/>
      <c r="G216" s="258">
        <f>SUM(G217)</f>
        <v>0</v>
      </c>
      <c r="H216" s="20">
        <f>SUM(H217:H218)</f>
        <v>0</v>
      </c>
      <c r="I216" s="20" t="e">
        <f t="shared" si="5"/>
        <v>#DIV/0!</v>
      </c>
    </row>
    <row r="217" spans="1:9" s="87" customFormat="1" ht="15" hidden="1">
      <c r="A217" s="109" t="s">
        <v>7</v>
      </c>
      <c r="B217" s="305"/>
      <c r="C217" s="275" t="s">
        <v>131</v>
      </c>
      <c r="D217" s="275" t="s">
        <v>460</v>
      </c>
      <c r="E217" s="275" t="s">
        <v>47</v>
      </c>
      <c r="F217" s="276" t="s">
        <v>8</v>
      </c>
      <c r="G217" s="258"/>
      <c r="H217" s="20"/>
      <c r="I217" s="20" t="e">
        <f t="shared" si="5"/>
        <v>#DIV/0!</v>
      </c>
    </row>
    <row r="218" spans="1:9" s="95" customFormat="1" ht="15" hidden="1">
      <c r="A218" s="109" t="s">
        <v>441</v>
      </c>
      <c r="B218" s="305"/>
      <c r="C218" s="275" t="s">
        <v>131</v>
      </c>
      <c r="D218" s="275" t="s">
        <v>460</v>
      </c>
      <c r="E218" s="275" t="s">
        <v>442</v>
      </c>
      <c r="F218" s="276"/>
      <c r="G218" s="258">
        <f>SUM(G219)</f>
        <v>0</v>
      </c>
      <c r="H218" s="20"/>
      <c r="I218" s="20" t="e">
        <f t="shared" si="5"/>
        <v>#DIV/0!</v>
      </c>
    </row>
    <row r="219" spans="1:9" s="95" customFormat="1" ht="28.5" hidden="1">
      <c r="A219" s="109" t="s">
        <v>288</v>
      </c>
      <c r="B219" s="305"/>
      <c r="C219" s="275" t="s">
        <v>131</v>
      </c>
      <c r="D219" s="275" t="s">
        <v>460</v>
      </c>
      <c r="E219" s="275" t="s">
        <v>446</v>
      </c>
      <c r="F219" s="276"/>
      <c r="G219" s="258">
        <f>SUM(G220)</f>
        <v>0</v>
      </c>
      <c r="H219" s="20">
        <f>SUM(H220)</f>
        <v>167.7</v>
      </c>
      <c r="I219" s="20" t="e">
        <f t="shared" si="5"/>
        <v>#DIV/0!</v>
      </c>
    </row>
    <row r="220" spans="1:9" ht="15" hidden="1">
      <c r="A220" s="109" t="s">
        <v>103</v>
      </c>
      <c r="B220" s="305"/>
      <c r="C220" s="275" t="s">
        <v>131</v>
      </c>
      <c r="D220" s="275" t="s">
        <v>460</v>
      </c>
      <c r="E220" s="275" t="s">
        <v>446</v>
      </c>
      <c r="F220" s="276" t="s">
        <v>104</v>
      </c>
      <c r="G220" s="258"/>
      <c r="H220" s="20">
        <f>SUM(H222)</f>
        <v>167.7</v>
      </c>
      <c r="I220" s="20" t="e">
        <f t="shared" si="5"/>
        <v>#DIV/0!</v>
      </c>
    </row>
    <row r="221" spans="1:9" ht="15" hidden="1">
      <c r="A221" s="117" t="s">
        <v>128</v>
      </c>
      <c r="B221" s="274"/>
      <c r="C221" s="275" t="s">
        <v>131</v>
      </c>
      <c r="D221" s="275" t="s">
        <v>460</v>
      </c>
      <c r="E221" s="275" t="s">
        <v>129</v>
      </c>
      <c r="F221" s="276"/>
      <c r="G221" s="258">
        <f>SUM(G222+G225)+G229</f>
        <v>0</v>
      </c>
      <c r="H221" s="20"/>
      <c r="I221" s="20"/>
    </row>
    <row r="222" spans="1:9" s="87" customFormat="1" ht="42.75" hidden="1">
      <c r="A222" s="117" t="s">
        <v>492</v>
      </c>
      <c r="B222" s="274"/>
      <c r="C222" s="275" t="s">
        <v>131</v>
      </c>
      <c r="D222" s="275" t="s">
        <v>460</v>
      </c>
      <c r="E222" s="275" t="s">
        <v>298</v>
      </c>
      <c r="F222" s="276"/>
      <c r="G222" s="259">
        <f>SUM(G223)</f>
        <v>0</v>
      </c>
      <c r="H222" s="20">
        <v>167.7</v>
      </c>
      <c r="I222" s="20" t="e">
        <f>SUM(H222/G228*100)</f>
        <v>#DIV/0!</v>
      </c>
    </row>
    <row r="223" spans="1:9" s="87" customFormat="1" ht="15" hidden="1">
      <c r="A223" s="113" t="s">
        <v>7</v>
      </c>
      <c r="B223" s="274"/>
      <c r="C223" s="275" t="s">
        <v>131</v>
      </c>
      <c r="D223" s="275" t="s">
        <v>460</v>
      </c>
      <c r="E223" s="275" t="s">
        <v>298</v>
      </c>
      <c r="F223" s="276" t="s">
        <v>8</v>
      </c>
      <c r="G223" s="259"/>
      <c r="H223" s="20">
        <f>SUM(H224)</f>
        <v>110.4</v>
      </c>
      <c r="I223" s="20" t="e">
        <f>SUM(H223/G229*100)</f>
        <v>#DIV/0!</v>
      </c>
    </row>
    <row r="224" spans="1:9" s="87" customFormat="1" ht="15" hidden="1">
      <c r="A224" s="117" t="s">
        <v>48</v>
      </c>
      <c r="B224" s="274"/>
      <c r="C224" s="275" t="s">
        <v>131</v>
      </c>
      <c r="D224" s="275" t="s">
        <v>460</v>
      </c>
      <c r="E224" s="275" t="s">
        <v>49</v>
      </c>
      <c r="F224" s="276" t="s">
        <v>104</v>
      </c>
      <c r="G224" s="258"/>
      <c r="H224" s="20">
        <v>110.4</v>
      </c>
      <c r="I224" s="20" t="e">
        <f>SUM(H224/G230*100)</f>
        <v>#DIV/0!</v>
      </c>
    </row>
    <row r="225" spans="1:9" ht="15" hidden="1">
      <c r="A225" s="117" t="s">
        <v>134</v>
      </c>
      <c r="B225" s="274"/>
      <c r="C225" s="275" t="s">
        <v>131</v>
      </c>
      <c r="D225" s="275" t="s">
        <v>460</v>
      </c>
      <c r="E225" s="275" t="s">
        <v>129</v>
      </c>
      <c r="F225" s="276" t="s">
        <v>135</v>
      </c>
      <c r="G225" s="258">
        <f>SUM(G226)</f>
        <v>0</v>
      </c>
      <c r="H225" s="20" t="e">
        <f>SUM(H236+#REF!)+H226+#REF!+H229</f>
        <v>#REF!</v>
      </c>
      <c r="I225" s="20" t="e">
        <f>SUM(H225/G235*100)</f>
        <v>#REF!</v>
      </c>
    </row>
    <row r="226" spans="1:9" ht="28.5" hidden="1">
      <c r="A226" s="113" t="s">
        <v>50</v>
      </c>
      <c r="B226" s="274"/>
      <c r="C226" s="275" t="s">
        <v>131</v>
      </c>
      <c r="D226" s="275" t="s">
        <v>460</v>
      </c>
      <c r="E226" s="275" t="s">
        <v>51</v>
      </c>
      <c r="F226" s="276" t="s">
        <v>135</v>
      </c>
      <c r="G226" s="258">
        <f>SUM(G228)</f>
        <v>0</v>
      </c>
      <c r="H226" s="20">
        <f>SUM(H227)</f>
        <v>0</v>
      </c>
      <c r="I226" s="20">
        <f>SUM(H226/G236*100)</f>
        <v>0</v>
      </c>
    </row>
    <row r="227" spans="1:9" ht="28.5" hidden="1">
      <c r="A227" s="113" t="s">
        <v>66</v>
      </c>
      <c r="B227" s="274"/>
      <c r="C227" s="275"/>
      <c r="D227" s="275"/>
      <c r="E227" s="275"/>
      <c r="F227" s="276"/>
      <c r="G227" s="258"/>
      <c r="H227" s="20">
        <f>SUM(H228)</f>
        <v>0</v>
      </c>
      <c r="I227" s="20">
        <f>SUM(H227/G237*100)</f>
        <v>0</v>
      </c>
    </row>
    <row r="228" spans="1:9" ht="28.5" hidden="1">
      <c r="A228" s="110" t="s">
        <v>451</v>
      </c>
      <c r="B228" s="274"/>
      <c r="C228" s="275" t="s">
        <v>131</v>
      </c>
      <c r="D228" s="275" t="s">
        <v>460</v>
      </c>
      <c r="E228" s="275" t="s">
        <v>52</v>
      </c>
      <c r="F228" s="276" t="s">
        <v>135</v>
      </c>
      <c r="G228" s="258"/>
      <c r="H228" s="20"/>
      <c r="I228" s="20">
        <f>SUM(H228/G238*100)</f>
        <v>0</v>
      </c>
    </row>
    <row r="229" spans="1:9" ht="28.5" hidden="1">
      <c r="A229" s="109" t="s">
        <v>53</v>
      </c>
      <c r="B229" s="274"/>
      <c r="C229" s="275" t="s">
        <v>131</v>
      </c>
      <c r="D229" s="275" t="s">
        <v>460</v>
      </c>
      <c r="E229" s="275" t="s">
        <v>54</v>
      </c>
      <c r="F229" s="276"/>
      <c r="G229" s="258">
        <f>SUM(G230)</f>
        <v>0</v>
      </c>
      <c r="H229" s="20">
        <f>SUM(H230)</f>
        <v>9483.6</v>
      </c>
      <c r="I229" s="20">
        <f>SUM(H229/G240*100)</f>
        <v>85.1968305873475</v>
      </c>
    </row>
    <row r="230" spans="1:9" ht="15" hidden="1">
      <c r="A230" s="117" t="s">
        <v>134</v>
      </c>
      <c r="B230" s="274"/>
      <c r="C230" s="275" t="s">
        <v>131</v>
      </c>
      <c r="D230" s="275" t="s">
        <v>460</v>
      </c>
      <c r="E230" s="275" t="s">
        <v>54</v>
      </c>
      <c r="F230" s="276" t="s">
        <v>135</v>
      </c>
      <c r="G230" s="258"/>
      <c r="H230" s="20">
        <f>SUM(H235)</f>
        <v>9483.6</v>
      </c>
      <c r="I230" s="20" t="e">
        <f>SUM(H230/#REF!*100)</f>
        <v>#REF!</v>
      </c>
    </row>
    <row r="231" spans="1:9" ht="28.5">
      <c r="A231" s="117" t="s">
        <v>698</v>
      </c>
      <c r="B231" s="274"/>
      <c r="C231" s="275" t="s">
        <v>131</v>
      </c>
      <c r="D231" s="275" t="s">
        <v>460</v>
      </c>
      <c r="E231" s="275" t="s">
        <v>697</v>
      </c>
      <c r="F231" s="276"/>
      <c r="G231" s="258">
        <f>SUM(G232)</f>
        <v>1500</v>
      </c>
      <c r="H231" s="20"/>
      <c r="I231" s="20"/>
    </row>
    <row r="232" spans="1:9" ht="30" customHeight="1">
      <c r="A232" s="114" t="s">
        <v>524</v>
      </c>
      <c r="B232" s="274"/>
      <c r="C232" s="275" t="s">
        <v>131</v>
      </c>
      <c r="D232" s="275" t="s">
        <v>460</v>
      </c>
      <c r="E232" s="275" t="s">
        <v>697</v>
      </c>
      <c r="F232" s="276" t="s">
        <v>513</v>
      </c>
      <c r="G232" s="258">
        <v>1500</v>
      </c>
      <c r="H232" s="20"/>
      <c r="I232" s="20"/>
    </row>
    <row r="233" spans="1:9" ht="28.5" hidden="1">
      <c r="A233" s="117" t="s">
        <v>700</v>
      </c>
      <c r="B233" s="274"/>
      <c r="C233" s="275" t="s">
        <v>131</v>
      </c>
      <c r="D233" s="275" t="s">
        <v>460</v>
      </c>
      <c r="E233" s="275" t="s">
        <v>699</v>
      </c>
      <c r="F233" s="276"/>
      <c r="G233" s="258">
        <f>SUM(G234)</f>
        <v>0</v>
      </c>
      <c r="H233" s="20"/>
      <c r="I233" s="20"/>
    </row>
    <row r="234" spans="1:9" ht="28.5" hidden="1">
      <c r="A234" s="226" t="s">
        <v>566</v>
      </c>
      <c r="B234" s="274"/>
      <c r="C234" s="275" t="s">
        <v>131</v>
      </c>
      <c r="D234" s="275" t="s">
        <v>460</v>
      </c>
      <c r="E234" s="275" t="s">
        <v>699</v>
      </c>
      <c r="F234" s="276" t="s">
        <v>560</v>
      </c>
      <c r="G234" s="258"/>
      <c r="H234" s="20"/>
      <c r="I234" s="20"/>
    </row>
    <row r="235" spans="1:9" ht="15">
      <c r="A235" s="113" t="s">
        <v>55</v>
      </c>
      <c r="B235" s="290"/>
      <c r="C235" s="291" t="s">
        <v>131</v>
      </c>
      <c r="D235" s="291" t="s">
        <v>462</v>
      </c>
      <c r="E235" s="291"/>
      <c r="F235" s="292"/>
      <c r="G235" s="615">
        <f>G236+G240</f>
        <v>31973.699999999997</v>
      </c>
      <c r="H235" s="20">
        <v>9483.6</v>
      </c>
      <c r="I235" s="20">
        <f>SUM(H235/G247*100)</f>
        <v>14.656468730053984</v>
      </c>
    </row>
    <row r="236" spans="1:9" ht="15">
      <c r="A236" s="113" t="s">
        <v>295</v>
      </c>
      <c r="B236" s="290"/>
      <c r="C236" s="291" t="s">
        <v>131</v>
      </c>
      <c r="D236" s="291" t="s">
        <v>462</v>
      </c>
      <c r="E236" s="291" t="s">
        <v>554</v>
      </c>
      <c r="F236" s="292"/>
      <c r="G236" s="615">
        <f>G237</f>
        <v>20842.3</v>
      </c>
      <c r="H236" s="20" t="e">
        <f>SUM(H237+H240+H247)</f>
        <v>#REF!</v>
      </c>
      <c r="I236" s="20" t="e">
        <f>SUM(H236/#REF!*100)</f>
        <v>#REF!</v>
      </c>
    </row>
    <row r="237" spans="1:9" ht="15">
      <c r="A237" s="113" t="s">
        <v>41</v>
      </c>
      <c r="B237" s="290"/>
      <c r="C237" s="291" t="s">
        <v>131</v>
      </c>
      <c r="D237" s="291" t="s">
        <v>462</v>
      </c>
      <c r="E237" s="291" t="s">
        <v>555</v>
      </c>
      <c r="F237" s="292"/>
      <c r="G237" s="615">
        <f>SUM(G238)+G239</f>
        <v>20842.3</v>
      </c>
      <c r="H237" s="20">
        <f>SUM(H238)</f>
        <v>0</v>
      </c>
      <c r="I237" s="20" t="e">
        <f>SUM(H237/#REF!*100)</f>
        <v>#REF!</v>
      </c>
    </row>
    <row r="238" spans="1:9" ht="15">
      <c r="A238" s="113" t="s">
        <v>500</v>
      </c>
      <c r="B238" s="290"/>
      <c r="C238" s="291" t="s">
        <v>131</v>
      </c>
      <c r="D238" s="291" t="s">
        <v>462</v>
      </c>
      <c r="E238" s="291" t="s">
        <v>555</v>
      </c>
      <c r="F238" s="292" t="s">
        <v>120</v>
      </c>
      <c r="G238" s="615">
        <f>4069.6+8142.9-1181.2</f>
        <v>11031.3</v>
      </c>
      <c r="H238" s="20"/>
      <c r="I238" s="20" t="e">
        <f>SUM(H238/#REF!*100)</f>
        <v>#REF!</v>
      </c>
    </row>
    <row r="239" spans="1:9" ht="28.5">
      <c r="A239" s="117" t="s">
        <v>660</v>
      </c>
      <c r="B239" s="284"/>
      <c r="C239" s="291" t="s">
        <v>131</v>
      </c>
      <c r="D239" s="291" t="s">
        <v>462</v>
      </c>
      <c r="E239" s="291" t="s">
        <v>555</v>
      </c>
      <c r="F239" s="277" t="s">
        <v>560</v>
      </c>
      <c r="G239" s="615">
        <v>9811</v>
      </c>
      <c r="H239" s="20"/>
      <c r="I239" s="20"/>
    </row>
    <row r="240" spans="1:9" ht="15">
      <c r="A240" s="114" t="s">
        <v>753</v>
      </c>
      <c r="B240" s="274"/>
      <c r="C240" s="275" t="s">
        <v>131</v>
      </c>
      <c r="D240" s="275" t="s">
        <v>462</v>
      </c>
      <c r="E240" s="275" t="s">
        <v>129</v>
      </c>
      <c r="F240" s="276"/>
      <c r="G240" s="270">
        <f>SUM(G241)+G245+G243</f>
        <v>11131.4</v>
      </c>
      <c r="H240" s="20" t="e">
        <f>SUM(#REF!)</f>
        <v>#REF!</v>
      </c>
      <c r="I240" s="20" t="e">
        <f>SUM(H240/#REF!*100)</f>
        <v>#REF!</v>
      </c>
    </row>
    <row r="241" spans="1:9" ht="42.75">
      <c r="A241" s="173" t="s">
        <v>673</v>
      </c>
      <c r="B241" s="274"/>
      <c r="C241" s="275" t="s">
        <v>131</v>
      </c>
      <c r="D241" s="275" t="s">
        <v>462</v>
      </c>
      <c r="E241" s="275" t="s">
        <v>654</v>
      </c>
      <c r="F241" s="306"/>
      <c r="G241" s="270">
        <f>SUM(G242:G242)</f>
        <v>16.4</v>
      </c>
      <c r="H241" s="20"/>
      <c r="I241" s="20"/>
    </row>
    <row r="242" spans="1:9" ht="15">
      <c r="A242" s="113" t="s">
        <v>500</v>
      </c>
      <c r="B242" s="274"/>
      <c r="C242" s="275" t="s">
        <v>131</v>
      </c>
      <c r="D242" s="275" t="s">
        <v>462</v>
      </c>
      <c r="E242" s="275" t="s">
        <v>654</v>
      </c>
      <c r="F242" s="306" t="s">
        <v>120</v>
      </c>
      <c r="G242" s="270">
        <v>16.4</v>
      </c>
      <c r="H242" s="20"/>
      <c r="I242" s="20"/>
    </row>
    <row r="243" spans="1:9" ht="42.75">
      <c r="A243" s="113" t="s">
        <v>742</v>
      </c>
      <c r="B243" s="274"/>
      <c r="C243" s="275" t="s">
        <v>131</v>
      </c>
      <c r="D243" s="275" t="s">
        <v>462</v>
      </c>
      <c r="E243" s="275" t="s">
        <v>743</v>
      </c>
      <c r="F243" s="306"/>
      <c r="G243" s="270">
        <f>SUM(G244)</f>
        <v>11059</v>
      </c>
      <c r="H243" s="20"/>
      <c r="I243" s="20"/>
    </row>
    <row r="244" spans="1:9" ht="15">
      <c r="A244" s="113" t="s">
        <v>501</v>
      </c>
      <c r="B244" s="274"/>
      <c r="C244" s="275" t="s">
        <v>131</v>
      </c>
      <c r="D244" s="275" t="s">
        <v>462</v>
      </c>
      <c r="E244" s="275" t="s">
        <v>743</v>
      </c>
      <c r="F244" s="306" t="s">
        <v>176</v>
      </c>
      <c r="G244" s="270">
        <v>11059</v>
      </c>
      <c r="H244" s="20"/>
      <c r="I244" s="20"/>
    </row>
    <row r="245" spans="1:9" ht="42.75">
      <c r="A245" s="113" t="s">
        <v>676</v>
      </c>
      <c r="B245" s="284"/>
      <c r="C245" s="275" t="s">
        <v>131</v>
      </c>
      <c r="D245" s="275" t="s">
        <v>462</v>
      </c>
      <c r="E245" s="280" t="s">
        <v>42</v>
      </c>
      <c r="F245" s="277"/>
      <c r="G245" s="615">
        <f>G246</f>
        <v>56</v>
      </c>
      <c r="H245" s="20"/>
      <c r="I245" s="20"/>
    </row>
    <row r="246" spans="1:9" ht="28.5">
      <c r="A246" s="113" t="s">
        <v>559</v>
      </c>
      <c r="B246" s="284"/>
      <c r="C246" s="275" t="s">
        <v>131</v>
      </c>
      <c r="D246" s="275" t="s">
        <v>462</v>
      </c>
      <c r="E246" s="280" t="s">
        <v>42</v>
      </c>
      <c r="F246" s="277" t="s">
        <v>560</v>
      </c>
      <c r="G246" s="615">
        <v>56</v>
      </c>
      <c r="H246" s="20"/>
      <c r="I246" s="20"/>
    </row>
    <row r="247" spans="1:9" ht="15">
      <c r="A247" s="113" t="s">
        <v>43</v>
      </c>
      <c r="B247" s="290"/>
      <c r="C247" s="291" t="s">
        <v>131</v>
      </c>
      <c r="D247" s="291" t="s">
        <v>106</v>
      </c>
      <c r="E247" s="291"/>
      <c r="F247" s="292"/>
      <c r="G247" s="615">
        <f>G248+G259</f>
        <v>64705.9</v>
      </c>
      <c r="H247" s="20" t="e">
        <f>SUM(#REF!)</f>
        <v>#REF!</v>
      </c>
      <c r="I247" s="20" t="e">
        <f>SUM(H247/G248*100)</f>
        <v>#REF!</v>
      </c>
    </row>
    <row r="248" spans="1:9" s="100" customFormat="1" ht="15">
      <c r="A248" s="113" t="s">
        <v>43</v>
      </c>
      <c r="B248" s="284"/>
      <c r="C248" s="291" t="s">
        <v>131</v>
      </c>
      <c r="D248" s="291" t="s">
        <v>106</v>
      </c>
      <c r="E248" s="280" t="s">
        <v>71</v>
      </c>
      <c r="F248" s="277"/>
      <c r="G248" s="615">
        <f>G249+G253+G257+G251</f>
        <v>64353.4</v>
      </c>
      <c r="H248" s="20" t="e">
        <f>SUM(H251+#REF!)+H249</f>
        <v>#REF!</v>
      </c>
      <c r="I248" s="20" t="e">
        <f>SUM(H248/G254*100)</f>
        <v>#REF!</v>
      </c>
    </row>
    <row r="249" spans="1:9" s="101" customFormat="1" ht="15.75">
      <c r="A249" s="115" t="s">
        <v>72</v>
      </c>
      <c r="B249" s="284"/>
      <c r="C249" s="291" t="s">
        <v>131</v>
      </c>
      <c r="D249" s="291" t="s">
        <v>106</v>
      </c>
      <c r="E249" s="280" t="s">
        <v>73</v>
      </c>
      <c r="F249" s="277"/>
      <c r="G249" s="615">
        <f>SUM(G250)</f>
        <v>42699.2</v>
      </c>
      <c r="H249" s="20">
        <f>SUM(H250)</f>
        <v>0</v>
      </c>
      <c r="I249" s="20" t="e">
        <f>SUM(H249/G255*100)</f>
        <v>#DIV/0!</v>
      </c>
    </row>
    <row r="250" spans="1:9" s="101" customFormat="1" ht="15.75">
      <c r="A250" s="113" t="s">
        <v>500</v>
      </c>
      <c r="B250" s="284"/>
      <c r="C250" s="291" t="s">
        <v>131</v>
      </c>
      <c r="D250" s="291" t="s">
        <v>106</v>
      </c>
      <c r="E250" s="280" t="s">
        <v>73</v>
      </c>
      <c r="F250" s="277" t="s">
        <v>120</v>
      </c>
      <c r="G250" s="615">
        <f>42698.5+0.7</f>
        <v>42699.2</v>
      </c>
      <c r="H250" s="20"/>
      <c r="I250" s="20" t="e">
        <f>SUM(H250/G256*100)</f>
        <v>#DIV/0!</v>
      </c>
    </row>
    <row r="251" spans="1:9" s="101" customFormat="1" ht="15.75">
      <c r="A251" s="117" t="s">
        <v>655</v>
      </c>
      <c r="B251" s="274"/>
      <c r="C251" s="302" t="s">
        <v>131</v>
      </c>
      <c r="D251" s="302" t="s">
        <v>106</v>
      </c>
      <c r="E251" s="275" t="s">
        <v>656</v>
      </c>
      <c r="F251" s="277"/>
      <c r="G251" s="615">
        <f>SUM(G252)</f>
        <v>730.8</v>
      </c>
      <c r="H251" s="20" t="e">
        <f>SUM(H252+H267+H278+H281)+H276</f>
        <v>#REF!</v>
      </c>
      <c r="I251" s="20" t="e">
        <f>SUM(H251/G267*100)</f>
        <v>#REF!</v>
      </c>
    </row>
    <row r="252" spans="1:9" s="101" customFormat="1" ht="15.75">
      <c r="A252" s="113" t="s">
        <v>500</v>
      </c>
      <c r="B252" s="284"/>
      <c r="C252" s="291" t="s">
        <v>131</v>
      </c>
      <c r="D252" s="291" t="s">
        <v>106</v>
      </c>
      <c r="E252" s="275" t="s">
        <v>656</v>
      </c>
      <c r="F252" s="277" t="s">
        <v>120</v>
      </c>
      <c r="G252" s="615">
        <v>730.8</v>
      </c>
      <c r="H252" s="20">
        <f>SUM(H254:H255)</f>
        <v>20816.7</v>
      </c>
      <c r="I252" s="20">
        <f>SUM(H252/G272*100)</f>
        <v>175.0788484343855</v>
      </c>
    </row>
    <row r="253" spans="1:9" s="101" customFormat="1" ht="28.5">
      <c r="A253" s="113" t="s">
        <v>605</v>
      </c>
      <c r="B253" s="284"/>
      <c r="C253" s="291" t="s">
        <v>131</v>
      </c>
      <c r="D253" s="291" t="s">
        <v>106</v>
      </c>
      <c r="E253" s="280" t="s">
        <v>40</v>
      </c>
      <c r="F253" s="277"/>
      <c r="G253" s="615">
        <f>G254</f>
        <v>20725</v>
      </c>
      <c r="H253" s="20"/>
      <c r="I253" s="20"/>
    </row>
    <row r="254" spans="1:9" s="101" customFormat="1" ht="15.75">
      <c r="A254" s="113" t="s">
        <v>500</v>
      </c>
      <c r="B254" s="284"/>
      <c r="C254" s="291" t="s">
        <v>131</v>
      </c>
      <c r="D254" s="291" t="s">
        <v>106</v>
      </c>
      <c r="E254" s="280" t="s">
        <v>40</v>
      </c>
      <c r="F254" s="277" t="s">
        <v>120</v>
      </c>
      <c r="G254" s="615">
        <v>20725</v>
      </c>
      <c r="H254" s="20">
        <v>20816.7</v>
      </c>
      <c r="I254" s="20" t="e">
        <f>SUM(H254/G276*100)</f>
        <v>#DIV/0!</v>
      </c>
    </row>
    <row r="255" spans="1:9" s="101" customFormat="1" ht="15.75" hidden="1">
      <c r="A255" s="113" t="s">
        <v>518</v>
      </c>
      <c r="B255" s="284"/>
      <c r="C255" s="291" t="s">
        <v>131</v>
      </c>
      <c r="D255" s="291" t="s">
        <v>106</v>
      </c>
      <c r="E255" s="280" t="s">
        <v>40</v>
      </c>
      <c r="F255" s="277" t="s">
        <v>519</v>
      </c>
      <c r="G255" s="615"/>
      <c r="H255" s="20">
        <f>SUM(H256)</f>
        <v>0</v>
      </c>
      <c r="I255" s="20" t="e">
        <f>SUM(H255/G277*100)</f>
        <v>#DIV/0!</v>
      </c>
    </row>
    <row r="256" spans="1:9" s="101" customFormat="1" ht="28.5" hidden="1">
      <c r="A256" s="113" t="s">
        <v>520</v>
      </c>
      <c r="B256" s="284"/>
      <c r="C256" s="291" t="s">
        <v>131</v>
      </c>
      <c r="D256" s="291" t="s">
        <v>106</v>
      </c>
      <c r="E256" s="280" t="s">
        <v>40</v>
      </c>
      <c r="F256" s="277" t="s">
        <v>521</v>
      </c>
      <c r="G256" s="615"/>
      <c r="H256" s="20"/>
      <c r="I256" s="20" t="e">
        <f>SUM(H256/G278*100)</f>
        <v>#DIV/0!</v>
      </c>
    </row>
    <row r="257" spans="1:9" s="101" customFormat="1" ht="42.75">
      <c r="A257" s="114" t="s">
        <v>603</v>
      </c>
      <c r="B257" s="293"/>
      <c r="C257" s="294" t="s">
        <v>131</v>
      </c>
      <c r="D257" s="294" t="s">
        <v>106</v>
      </c>
      <c r="E257" s="300" t="s">
        <v>604</v>
      </c>
      <c r="F257" s="295"/>
      <c r="G257" s="616">
        <f>SUM(G258)</f>
        <v>198.4</v>
      </c>
      <c r="H257" s="20"/>
      <c r="I257" s="20"/>
    </row>
    <row r="258" spans="1:9" s="101" customFormat="1" ht="15.75">
      <c r="A258" s="113" t="s">
        <v>500</v>
      </c>
      <c r="B258" s="284"/>
      <c r="C258" s="291" t="s">
        <v>131</v>
      </c>
      <c r="D258" s="291" t="s">
        <v>106</v>
      </c>
      <c r="E258" s="300" t="s">
        <v>604</v>
      </c>
      <c r="F258" s="277" t="s">
        <v>120</v>
      </c>
      <c r="G258" s="615">
        <v>198.4</v>
      </c>
      <c r="H258" s="20"/>
      <c r="I258" s="20"/>
    </row>
    <row r="259" spans="1:9" s="101" customFormat="1" ht="15.75">
      <c r="A259" s="114" t="s">
        <v>753</v>
      </c>
      <c r="B259" s="274"/>
      <c r="C259" s="302" t="s">
        <v>131</v>
      </c>
      <c r="D259" s="302" t="s">
        <v>106</v>
      </c>
      <c r="E259" s="275" t="s">
        <v>129</v>
      </c>
      <c r="F259" s="277"/>
      <c r="G259" s="615">
        <f>SUM(G260)+G262</f>
        <v>352.5</v>
      </c>
      <c r="H259" s="20"/>
      <c r="I259" s="20"/>
    </row>
    <row r="260" spans="1:9" s="101" customFormat="1" ht="42.75">
      <c r="A260" s="170" t="s">
        <v>674</v>
      </c>
      <c r="B260" s="307"/>
      <c r="C260" s="308" t="s">
        <v>131</v>
      </c>
      <c r="D260" s="308" t="s">
        <v>106</v>
      </c>
      <c r="E260" s="275" t="s">
        <v>657</v>
      </c>
      <c r="F260" s="277"/>
      <c r="G260" s="615">
        <f>SUM(G261)</f>
        <v>172.7</v>
      </c>
      <c r="H260" s="20"/>
      <c r="I260" s="20"/>
    </row>
    <row r="261" spans="1:9" s="101" customFormat="1" ht="15" customHeight="1">
      <c r="A261" s="113" t="s">
        <v>500</v>
      </c>
      <c r="B261" s="284"/>
      <c r="C261" s="308" t="s">
        <v>131</v>
      </c>
      <c r="D261" s="308" t="s">
        <v>106</v>
      </c>
      <c r="E261" s="275" t="s">
        <v>657</v>
      </c>
      <c r="F261" s="277" t="s">
        <v>120</v>
      </c>
      <c r="G261" s="615">
        <v>172.7</v>
      </c>
      <c r="H261" s="20"/>
      <c r="I261" s="20"/>
    </row>
    <row r="262" spans="1:9" s="101" customFormat="1" ht="30.75" customHeight="1">
      <c r="A262" s="113" t="s">
        <v>744</v>
      </c>
      <c r="B262" s="284"/>
      <c r="C262" s="308" t="s">
        <v>131</v>
      </c>
      <c r="D262" s="308" t="s">
        <v>106</v>
      </c>
      <c r="E262" s="275" t="s">
        <v>745</v>
      </c>
      <c r="F262" s="277"/>
      <c r="G262" s="615">
        <f>SUM(G263)</f>
        <v>179.8</v>
      </c>
      <c r="H262" s="20"/>
      <c r="I262" s="20"/>
    </row>
    <row r="263" spans="1:9" s="101" customFormat="1" ht="18" customHeight="1">
      <c r="A263" s="113" t="s">
        <v>500</v>
      </c>
      <c r="B263" s="284"/>
      <c r="C263" s="308" t="s">
        <v>131</v>
      </c>
      <c r="D263" s="308" t="s">
        <v>106</v>
      </c>
      <c r="E263" s="275" t="s">
        <v>745</v>
      </c>
      <c r="F263" s="277" t="s">
        <v>120</v>
      </c>
      <c r="G263" s="615">
        <v>179.8</v>
      </c>
      <c r="H263" s="20"/>
      <c r="I263" s="20"/>
    </row>
    <row r="264" spans="1:9" s="101" customFormat="1" ht="28.5" hidden="1">
      <c r="A264" s="170" t="s">
        <v>658</v>
      </c>
      <c r="B264" s="301"/>
      <c r="C264" s="275" t="s">
        <v>131</v>
      </c>
      <c r="D264" s="275" t="s">
        <v>462</v>
      </c>
      <c r="E264" s="302" t="s">
        <v>648</v>
      </c>
      <c r="F264" s="304"/>
      <c r="G264" s="270">
        <f>SUM(G265)</f>
        <v>0</v>
      </c>
      <c r="H264" s="20"/>
      <c r="I264" s="20"/>
    </row>
    <row r="265" spans="1:9" s="101" customFormat="1" ht="15.75" hidden="1">
      <c r="A265" s="113" t="s">
        <v>659</v>
      </c>
      <c r="B265" s="284"/>
      <c r="C265" s="275" t="s">
        <v>131</v>
      </c>
      <c r="D265" s="275" t="s">
        <v>462</v>
      </c>
      <c r="E265" s="302" t="s">
        <v>42</v>
      </c>
      <c r="F265" s="304"/>
      <c r="G265" s="270">
        <f>SUM(G266)</f>
        <v>0</v>
      </c>
      <c r="H265" s="20"/>
      <c r="I265" s="20"/>
    </row>
    <row r="266" spans="1:9" s="101" customFormat="1" ht="28.5" hidden="1">
      <c r="A266" s="117" t="s">
        <v>660</v>
      </c>
      <c r="B266" s="301"/>
      <c r="C266" s="275" t="s">
        <v>131</v>
      </c>
      <c r="D266" s="275" t="s">
        <v>462</v>
      </c>
      <c r="E266" s="302" t="s">
        <v>42</v>
      </c>
      <c r="F266" s="304" t="s">
        <v>560</v>
      </c>
      <c r="G266" s="270"/>
      <c r="H266" s="20"/>
      <c r="I266" s="20"/>
    </row>
    <row r="267" spans="1:9" s="101" customFormat="1" ht="15.75">
      <c r="A267" s="113" t="s">
        <v>64</v>
      </c>
      <c r="B267" s="309"/>
      <c r="C267" s="291" t="s">
        <v>131</v>
      </c>
      <c r="D267" s="291" t="s">
        <v>131</v>
      </c>
      <c r="E267" s="280"/>
      <c r="F267" s="277"/>
      <c r="G267" s="615">
        <f>G272+G268</f>
        <v>62489.9</v>
      </c>
      <c r="H267" s="20">
        <f>SUM(H275)</f>
        <v>43097.5</v>
      </c>
      <c r="I267" s="20">
        <f>SUM(H267/G279*100)</f>
        <v>2186.358563311688</v>
      </c>
    </row>
    <row r="268" spans="1:9" s="101" customFormat="1" ht="15.75">
      <c r="A268" s="231" t="s">
        <v>681</v>
      </c>
      <c r="B268" s="310"/>
      <c r="C268" s="291" t="s">
        <v>131</v>
      </c>
      <c r="D268" s="291" t="s">
        <v>131</v>
      </c>
      <c r="E268" s="280" t="s">
        <v>683</v>
      </c>
      <c r="F268" s="277"/>
      <c r="G268" s="612">
        <f>SUM(G269)</f>
        <v>50600</v>
      </c>
      <c r="H268" s="20"/>
      <c r="I268" s="20"/>
    </row>
    <row r="269" spans="1:9" s="101" customFormat="1" ht="42.75">
      <c r="A269" s="226" t="s">
        <v>746</v>
      </c>
      <c r="B269" s="310"/>
      <c r="C269" s="291" t="s">
        <v>131</v>
      </c>
      <c r="D269" s="291" t="s">
        <v>131</v>
      </c>
      <c r="E269" s="280" t="s">
        <v>712</v>
      </c>
      <c r="F269" s="277"/>
      <c r="G269" s="612">
        <f>SUM(G270)</f>
        <v>50600</v>
      </c>
      <c r="H269" s="20"/>
      <c r="I269" s="20"/>
    </row>
    <row r="270" spans="1:9" s="101" customFormat="1" ht="15.75">
      <c r="A270" s="227" t="s">
        <v>747</v>
      </c>
      <c r="B270" s="311"/>
      <c r="C270" s="291" t="s">
        <v>131</v>
      </c>
      <c r="D270" s="291" t="s">
        <v>131</v>
      </c>
      <c r="E270" s="280" t="s">
        <v>748</v>
      </c>
      <c r="F270" s="276"/>
      <c r="G270" s="612">
        <f>G271</f>
        <v>50600</v>
      </c>
      <c r="H270" s="20"/>
      <c r="I270" s="20"/>
    </row>
    <row r="271" spans="1:9" s="101" customFormat="1" ht="28.5">
      <c r="A271" s="238" t="s">
        <v>660</v>
      </c>
      <c r="B271" s="311"/>
      <c r="C271" s="291" t="s">
        <v>131</v>
      </c>
      <c r="D271" s="291" t="s">
        <v>131</v>
      </c>
      <c r="E271" s="280" t="s">
        <v>748</v>
      </c>
      <c r="F271" s="276" t="s">
        <v>560</v>
      </c>
      <c r="G271" s="137">
        <f>15400+26000+9200</f>
        <v>50600</v>
      </c>
      <c r="H271" s="20"/>
      <c r="I271" s="20"/>
    </row>
    <row r="272" spans="1:9" s="87" customFormat="1" ht="15">
      <c r="A272" s="113" t="s">
        <v>551</v>
      </c>
      <c r="B272" s="284"/>
      <c r="C272" s="291" t="s">
        <v>131</v>
      </c>
      <c r="D272" s="291" t="s">
        <v>131</v>
      </c>
      <c r="E272" s="280" t="s">
        <v>129</v>
      </c>
      <c r="F272" s="277"/>
      <c r="G272" s="615">
        <f>G275+G277+G279+G281+G273</f>
        <v>11889.9</v>
      </c>
      <c r="H272" s="20"/>
      <c r="I272" s="20"/>
    </row>
    <row r="273" spans="1:9" s="87" customFormat="1" ht="28.5">
      <c r="A273" s="109" t="s">
        <v>675</v>
      </c>
      <c r="B273" s="274"/>
      <c r="C273" s="280" t="s">
        <v>131</v>
      </c>
      <c r="D273" s="280" t="s">
        <v>131</v>
      </c>
      <c r="E273" s="275" t="s">
        <v>661</v>
      </c>
      <c r="F273" s="277"/>
      <c r="G273" s="615">
        <f>SUM(G274)</f>
        <v>995.3</v>
      </c>
      <c r="H273" s="20"/>
      <c r="I273" s="20"/>
    </row>
    <row r="274" spans="1:9" s="87" customFormat="1" ht="28.5">
      <c r="A274" s="117" t="s">
        <v>660</v>
      </c>
      <c r="B274" s="284"/>
      <c r="C274" s="280" t="s">
        <v>131</v>
      </c>
      <c r="D274" s="280" t="s">
        <v>131</v>
      </c>
      <c r="E274" s="275" t="s">
        <v>661</v>
      </c>
      <c r="F274" s="277" t="s">
        <v>560</v>
      </c>
      <c r="G274" s="615">
        <v>995.3</v>
      </c>
      <c r="H274" s="20"/>
      <c r="I274" s="20"/>
    </row>
    <row r="275" spans="1:9" s="101" customFormat="1" ht="28.5" hidden="1">
      <c r="A275" s="115" t="s">
        <v>556</v>
      </c>
      <c r="B275" s="284"/>
      <c r="C275" s="291" t="s">
        <v>131</v>
      </c>
      <c r="D275" s="291" t="s">
        <v>131</v>
      </c>
      <c r="E275" s="280" t="s">
        <v>13</v>
      </c>
      <c r="F275" s="277"/>
      <c r="G275" s="615">
        <f>G276</f>
        <v>0</v>
      </c>
      <c r="H275" s="20">
        <v>43097.5</v>
      </c>
      <c r="I275" s="20">
        <f>SUM(H275/G281*100)</f>
        <v>482.97173723020376</v>
      </c>
    </row>
    <row r="276" spans="1:9" ht="28.5" hidden="1">
      <c r="A276" s="113" t="s">
        <v>524</v>
      </c>
      <c r="B276" s="284"/>
      <c r="C276" s="291" t="s">
        <v>131</v>
      </c>
      <c r="D276" s="291" t="s">
        <v>131</v>
      </c>
      <c r="E276" s="280" t="s">
        <v>13</v>
      </c>
      <c r="F276" s="277" t="s">
        <v>513</v>
      </c>
      <c r="G276" s="615"/>
      <c r="H276" s="20">
        <f>SUM(H277)</f>
        <v>482.9</v>
      </c>
      <c r="I276" s="20">
        <f>SUM(H276/G282*100)</f>
        <v>7.182377963530357</v>
      </c>
    </row>
    <row r="277" spans="1:9" ht="28.5" hidden="1">
      <c r="A277" s="115" t="s">
        <v>557</v>
      </c>
      <c r="B277" s="284"/>
      <c r="C277" s="291" t="s">
        <v>558</v>
      </c>
      <c r="D277" s="291" t="s">
        <v>131</v>
      </c>
      <c r="E277" s="280" t="s">
        <v>14</v>
      </c>
      <c r="F277" s="277"/>
      <c r="G277" s="615">
        <f>G278</f>
        <v>0</v>
      </c>
      <c r="H277" s="20">
        <v>482.9</v>
      </c>
      <c r="I277" s="20" t="e">
        <f>SUM(H277/#REF!*100)</f>
        <v>#REF!</v>
      </c>
    </row>
    <row r="278" spans="1:9" ht="28.5" hidden="1">
      <c r="A278" s="113" t="s">
        <v>559</v>
      </c>
      <c r="B278" s="284"/>
      <c r="C278" s="291" t="s">
        <v>558</v>
      </c>
      <c r="D278" s="291" t="s">
        <v>131</v>
      </c>
      <c r="E278" s="280" t="s">
        <v>14</v>
      </c>
      <c r="F278" s="277" t="s">
        <v>560</v>
      </c>
      <c r="G278" s="615"/>
      <c r="H278" s="20">
        <f>SUM(H280)</f>
        <v>489.8</v>
      </c>
      <c r="I278" s="20" t="e">
        <f>SUM(H278/#REF!*100)</f>
        <v>#REF!</v>
      </c>
    </row>
    <row r="279" spans="1:9" ht="42.75">
      <c r="A279" s="113" t="s">
        <v>676</v>
      </c>
      <c r="B279" s="284"/>
      <c r="C279" s="291" t="s">
        <v>131</v>
      </c>
      <c r="D279" s="291" t="s">
        <v>131</v>
      </c>
      <c r="E279" s="280" t="s">
        <v>42</v>
      </c>
      <c r="F279" s="277"/>
      <c r="G279" s="615">
        <f>G280</f>
        <v>1971.2</v>
      </c>
      <c r="H279" s="20"/>
      <c r="I279" s="20"/>
    </row>
    <row r="280" spans="1:9" s="100" customFormat="1" ht="28.5">
      <c r="A280" s="113" t="s">
        <v>559</v>
      </c>
      <c r="B280" s="284"/>
      <c r="C280" s="291" t="s">
        <v>131</v>
      </c>
      <c r="D280" s="291" t="s">
        <v>131</v>
      </c>
      <c r="E280" s="280" t="s">
        <v>42</v>
      </c>
      <c r="F280" s="277" t="s">
        <v>560</v>
      </c>
      <c r="G280" s="615">
        <v>1971.2</v>
      </c>
      <c r="H280" s="20">
        <v>489.8</v>
      </c>
      <c r="I280" s="20" t="e">
        <f>SUM(H280/#REF!*100)</f>
        <v>#REF!</v>
      </c>
    </row>
    <row r="281" spans="1:9" s="100" customFormat="1" ht="28.5">
      <c r="A281" s="115" t="s">
        <v>671</v>
      </c>
      <c r="B281" s="284"/>
      <c r="C281" s="291" t="s">
        <v>131</v>
      </c>
      <c r="D281" s="291" t="s">
        <v>131</v>
      </c>
      <c r="E281" s="280" t="s">
        <v>54</v>
      </c>
      <c r="F281" s="277"/>
      <c r="G281" s="615">
        <f>G282+G283</f>
        <v>8923.4</v>
      </c>
      <c r="H281" s="20" t="e">
        <f>SUM(#REF!)</f>
        <v>#REF!</v>
      </c>
      <c r="I281" s="20" t="e">
        <f>SUM(H281/#REF!*100)</f>
        <v>#REF!</v>
      </c>
    </row>
    <row r="282" spans="1:9" s="100" customFormat="1" ht="27.75" customHeight="1">
      <c r="A282" s="113" t="s">
        <v>559</v>
      </c>
      <c r="B282" s="284"/>
      <c r="C282" s="291" t="s">
        <v>131</v>
      </c>
      <c r="D282" s="291" t="s">
        <v>131</v>
      </c>
      <c r="E282" s="280" t="s">
        <v>54</v>
      </c>
      <c r="F282" s="277" t="s">
        <v>560</v>
      </c>
      <c r="G282" s="615">
        <v>6723.4</v>
      </c>
      <c r="H282" s="20"/>
      <c r="I282" s="20"/>
    </row>
    <row r="283" spans="1:9" ht="28.5">
      <c r="A283" s="113" t="s">
        <v>524</v>
      </c>
      <c r="B283" s="274"/>
      <c r="C283" s="280" t="s">
        <v>131</v>
      </c>
      <c r="D283" s="280" t="s">
        <v>131</v>
      </c>
      <c r="E283" s="275" t="s">
        <v>54</v>
      </c>
      <c r="F283" s="277" t="s">
        <v>513</v>
      </c>
      <c r="G283" s="258">
        <v>2200</v>
      </c>
      <c r="H283" s="20" t="e">
        <f>SUM(H284+H288)</f>
        <v>#REF!</v>
      </c>
      <c r="I283" s="20" t="e">
        <f>SUM(H283/G290*100)</f>
        <v>#REF!</v>
      </c>
    </row>
    <row r="284" spans="1:11" ht="15">
      <c r="A284" s="109" t="s">
        <v>67</v>
      </c>
      <c r="B284" s="274"/>
      <c r="C284" s="275" t="s">
        <v>391</v>
      </c>
      <c r="D284" s="275"/>
      <c r="E284" s="275"/>
      <c r="F284" s="276"/>
      <c r="G284" s="258">
        <f>SUM(G286)+G291</f>
        <v>6232.4</v>
      </c>
      <c r="H284" s="20">
        <f>SUM(H286)</f>
        <v>0</v>
      </c>
      <c r="I284" s="20">
        <f>SUM(H284/G291*100)</f>
        <v>0</v>
      </c>
      <c r="K284" s="86">
        <v>6232.4</v>
      </c>
    </row>
    <row r="285" spans="1:9" ht="15">
      <c r="A285" s="172" t="s">
        <v>637</v>
      </c>
      <c r="B285" s="274"/>
      <c r="C285" s="291" t="s">
        <v>391</v>
      </c>
      <c r="D285" s="291" t="s">
        <v>106</v>
      </c>
      <c r="E285" s="275"/>
      <c r="F285" s="276"/>
      <c r="G285" s="258">
        <f>SUM(G286)</f>
        <v>5287.299999999999</v>
      </c>
      <c r="H285" s="20"/>
      <c r="I285" s="20"/>
    </row>
    <row r="286" spans="1:9" ht="15">
      <c r="A286" s="113" t="s">
        <v>68</v>
      </c>
      <c r="B286" s="290"/>
      <c r="C286" s="291" t="s">
        <v>391</v>
      </c>
      <c r="D286" s="291" t="s">
        <v>106</v>
      </c>
      <c r="E286" s="291" t="s">
        <v>561</v>
      </c>
      <c r="F286" s="292"/>
      <c r="G286" s="615">
        <f>SUM(G287)</f>
        <v>5287.299999999999</v>
      </c>
      <c r="H286" s="20">
        <f>SUM(H287)</f>
        <v>0</v>
      </c>
      <c r="I286" s="20">
        <f>SUM(H286/G292*100)</f>
        <v>0</v>
      </c>
    </row>
    <row r="287" spans="1:9" ht="28.5">
      <c r="A287" s="113" t="s">
        <v>56</v>
      </c>
      <c r="B287" s="290"/>
      <c r="C287" s="291" t="s">
        <v>391</v>
      </c>
      <c r="D287" s="291" t="s">
        <v>106</v>
      </c>
      <c r="E287" s="291" t="s">
        <v>562</v>
      </c>
      <c r="F287" s="292"/>
      <c r="G287" s="615">
        <f>SUM(G288:G290)</f>
        <v>5287.299999999999</v>
      </c>
      <c r="H287" s="20"/>
      <c r="I287" s="20">
        <f>SUM(H287/G293*100)</f>
        <v>0</v>
      </c>
    </row>
    <row r="288" spans="1:9" ht="28.5">
      <c r="A288" s="113" t="s">
        <v>495</v>
      </c>
      <c r="B288" s="290"/>
      <c r="C288" s="291" t="s">
        <v>391</v>
      </c>
      <c r="D288" s="291" t="s">
        <v>106</v>
      </c>
      <c r="E288" s="291" t="s">
        <v>562</v>
      </c>
      <c r="F288" s="292" t="s">
        <v>496</v>
      </c>
      <c r="G288" s="615">
        <v>4446.9</v>
      </c>
      <c r="H288" s="20" t="e">
        <f>SUM(H292+#REF!)</f>
        <v>#REF!</v>
      </c>
      <c r="I288" s="20" t="e">
        <f>SUM(H288/G295*100)</f>
        <v>#REF!</v>
      </c>
    </row>
    <row r="289" spans="1:9" ht="15">
      <c r="A289" s="113" t="s">
        <v>500</v>
      </c>
      <c r="B289" s="290"/>
      <c r="C289" s="291" t="s">
        <v>391</v>
      </c>
      <c r="D289" s="291" t="s">
        <v>106</v>
      </c>
      <c r="E289" s="291" t="s">
        <v>562</v>
      </c>
      <c r="F289" s="292" t="s">
        <v>120</v>
      </c>
      <c r="G289" s="615">
        <v>751.9</v>
      </c>
      <c r="H289" s="20"/>
      <c r="I289" s="20" t="e">
        <f>SUM(H289/#REF!*100)</f>
        <v>#REF!</v>
      </c>
    </row>
    <row r="290" spans="1:9" ht="15">
      <c r="A290" s="113" t="s">
        <v>501</v>
      </c>
      <c r="B290" s="290"/>
      <c r="C290" s="291" t="s">
        <v>391</v>
      </c>
      <c r="D290" s="291" t="s">
        <v>106</v>
      </c>
      <c r="E290" s="291" t="s">
        <v>562</v>
      </c>
      <c r="F290" s="292" t="s">
        <v>176</v>
      </c>
      <c r="G290" s="615">
        <v>88.5</v>
      </c>
      <c r="H290" s="102"/>
      <c r="I290" s="20" t="e">
        <f>SUM(H290/#REF!*100)</f>
        <v>#REF!</v>
      </c>
    </row>
    <row r="291" spans="1:9" ht="15">
      <c r="A291" s="113" t="s">
        <v>69</v>
      </c>
      <c r="B291" s="290"/>
      <c r="C291" s="291" t="s">
        <v>391</v>
      </c>
      <c r="D291" s="291" t="s">
        <v>131</v>
      </c>
      <c r="E291" s="312"/>
      <c r="F291" s="292"/>
      <c r="G291" s="615">
        <f>G293</f>
        <v>945.1</v>
      </c>
      <c r="H291" s="20"/>
      <c r="I291" s="20" t="e">
        <f>SUM(H291/#REF!*100)</f>
        <v>#REF!</v>
      </c>
    </row>
    <row r="292" spans="1:9" ht="15">
      <c r="A292" s="113" t="s">
        <v>551</v>
      </c>
      <c r="B292" s="290"/>
      <c r="C292" s="291" t="s">
        <v>391</v>
      </c>
      <c r="D292" s="291" t="s">
        <v>131</v>
      </c>
      <c r="E292" s="280" t="s">
        <v>129</v>
      </c>
      <c r="F292" s="292"/>
      <c r="G292" s="615">
        <f>SUM(G293)</f>
        <v>945.1</v>
      </c>
      <c r="H292" s="20">
        <f>SUM(H293:H295)</f>
        <v>0</v>
      </c>
      <c r="I292" s="20" t="e">
        <f>SUM(H292/#REF!*100)</f>
        <v>#REF!</v>
      </c>
    </row>
    <row r="293" spans="1:9" ht="15">
      <c r="A293" s="113" t="s">
        <v>641</v>
      </c>
      <c r="B293" s="296"/>
      <c r="C293" s="291" t="s">
        <v>391</v>
      </c>
      <c r="D293" s="291" t="s">
        <v>131</v>
      </c>
      <c r="E293" s="291" t="s">
        <v>70</v>
      </c>
      <c r="F293" s="292"/>
      <c r="G293" s="615">
        <f>SUM(G294:G295)</f>
        <v>945.1</v>
      </c>
      <c r="H293" s="20"/>
      <c r="I293" s="20" t="e">
        <f>SUM(H293/#REF!*100)</f>
        <v>#REF!</v>
      </c>
    </row>
    <row r="294" spans="1:9" ht="28.5">
      <c r="A294" s="113" t="s">
        <v>495</v>
      </c>
      <c r="B294" s="296"/>
      <c r="C294" s="291" t="s">
        <v>391</v>
      </c>
      <c r="D294" s="291" t="s">
        <v>131</v>
      </c>
      <c r="E294" s="291" t="s">
        <v>70</v>
      </c>
      <c r="F294" s="292" t="s">
        <v>496</v>
      </c>
      <c r="G294" s="615">
        <v>81.2</v>
      </c>
      <c r="H294" s="20"/>
      <c r="I294" s="20"/>
    </row>
    <row r="295" spans="1:9" ht="15">
      <c r="A295" s="113" t="s">
        <v>500</v>
      </c>
      <c r="B295" s="290"/>
      <c r="C295" s="291" t="s">
        <v>391</v>
      </c>
      <c r="D295" s="291" t="s">
        <v>131</v>
      </c>
      <c r="E295" s="291" t="s">
        <v>70</v>
      </c>
      <c r="F295" s="292" t="s">
        <v>120</v>
      </c>
      <c r="G295" s="615">
        <v>863.9</v>
      </c>
      <c r="H295" s="20"/>
      <c r="I295" s="20"/>
    </row>
    <row r="296" spans="1:11" ht="15">
      <c r="A296" s="113" t="s">
        <v>116</v>
      </c>
      <c r="B296" s="290"/>
      <c r="C296" s="291" t="s">
        <v>117</v>
      </c>
      <c r="D296" s="291"/>
      <c r="E296" s="291"/>
      <c r="F296" s="292"/>
      <c r="G296" s="615">
        <f>G297</f>
        <v>31718.8</v>
      </c>
      <c r="H296" s="20">
        <f>SUM(H297)</f>
        <v>0</v>
      </c>
      <c r="I296" s="20" t="e">
        <f>SUM(H296/#REF!*100)</f>
        <v>#REF!</v>
      </c>
      <c r="K296" s="86">
        <v>31718.8</v>
      </c>
    </row>
    <row r="297" spans="1:9" ht="15">
      <c r="A297" s="113" t="s">
        <v>231</v>
      </c>
      <c r="B297" s="290"/>
      <c r="C297" s="291" t="s">
        <v>117</v>
      </c>
      <c r="D297" s="291" t="s">
        <v>300</v>
      </c>
      <c r="E297" s="291"/>
      <c r="F297" s="292"/>
      <c r="G297" s="615">
        <f>G299</f>
        <v>31718.8</v>
      </c>
      <c r="H297" s="20"/>
      <c r="I297" s="20" t="e">
        <f>SUM(H297/#REF!*100)</f>
        <v>#REF!</v>
      </c>
    </row>
    <row r="298" spans="1:9" ht="15">
      <c r="A298" s="113" t="s">
        <v>551</v>
      </c>
      <c r="B298" s="290"/>
      <c r="C298" s="291" t="s">
        <v>117</v>
      </c>
      <c r="D298" s="291" t="s">
        <v>300</v>
      </c>
      <c r="E298" s="280" t="s">
        <v>129</v>
      </c>
      <c r="F298" s="292"/>
      <c r="G298" s="615">
        <f>SUM(G299)</f>
        <v>31718.8</v>
      </c>
      <c r="H298" s="20"/>
      <c r="I298" s="20"/>
    </row>
    <row r="299" spans="1:9" ht="28.5">
      <c r="A299" s="115" t="s">
        <v>671</v>
      </c>
      <c r="B299" s="290"/>
      <c r="C299" s="291" t="s">
        <v>117</v>
      </c>
      <c r="D299" s="291" t="s">
        <v>300</v>
      </c>
      <c r="E299" s="291" t="s">
        <v>54</v>
      </c>
      <c r="F299" s="292"/>
      <c r="G299" s="615">
        <f>SUM(G300:G301)</f>
        <v>31718.8</v>
      </c>
      <c r="H299" s="20"/>
      <c r="I299" s="20"/>
    </row>
    <row r="300" spans="1:9" s="87" customFormat="1" ht="28.5">
      <c r="A300" s="113" t="s">
        <v>566</v>
      </c>
      <c r="B300" s="290"/>
      <c r="C300" s="291" t="s">
        <v>117</v>
      </c>
      <c r="D300" s="291" t="s">
        <v>300</v>
      </c>
      <c r="E300" s="291" t="s">
        <v>563</v>
      </c>
      <c r="F300" s="292" t="s">
        <v>560</v>
      </c>
      <c r="G300" s="615">
        <v>31696.3</v>
      </c>
      <c r="H300" s="20" t="e">
        <v>#REF!</v>
      </c>
      <c r="I300" s="20" t="e">
        <v>#REF!</v>
      </c>
    </row>
    <row r="301" spans="1:9" s="87" customFormat="1" ht="28.5">
      <c r="A301" s="113" t="s">
        <v>524</v>
      </c>
      <c r="B301" s="290"/>
      <c r="C301" s="291" t="s">
        <v>117</v>
      </c>
      <c r="D301" s="291" t="s">
        <v>300</v>
      </c>
      <c r="E301" s="291" t="s">
        <v>563</v>
      </c>
      <c r="F301" s="292" t="s">
        <v>513</v>
      </c>
      <c r="G301" s="615">
        <v>22.5</v>
      </c>
      <c r="H301" s="20"/>
      <c r="I301" s="20"/>
    </row>
    <row r="302" spans="1:11" ht="15">
      <c r="A302" s="109" t="s">
        <v>188</v>
      </c>
      <c r="B302" s="274"/>
      <c r="C302" s="275" t="s">
        <v>5</v>
      </c>
      <c r="D302" s="275"/>
      <c r="E302" s="275"/>
      <c r="F302" s="276"/>
      <c r="G302" s="258">
        <f>SUM(G316)+G303</f>
        <v>53510.7</v>
      </c>
      <c r="H302" s="20" t="e">
        <f>SUM(#REF!)</f>
        <v>#REF!</v>
      </c>
      <c r="I302" s="20" t="e">
        <f>SUM(H302/G318*100)</f>
        <v>#REF!</v>
      </c>
      <c r="K302" s="86">
        <v>53510.7</v>
      </c>
    </row>
    <row r="303" spans="1:9" ht="15">
      <c r="A303" s="109" t="s">
        <v>25</v>
      </c>
      <c r="B303" s="274"/>
      <c r="C303" s="275" t="s">
        <v>5</v>
      </c>
      <c r="D303" s="275" t="s">
        <v>106</v>
      </c>
      <c r="E303" s="275"/>
      <c r="F303" s="276"/>
      <c r="G303" s="258">
        <f>SUM(G304+G308+G312)</f>
        <v>6706.1</v>
      </c>
      <c r="H303" s="20"/>
      <c r="I303" s="20"/>
    </row>
    <row r="304" spans="1:9" ht="15">
      <c r="A304" s="267" t="s">
        <v>705</v>
      </c>
      <c r="B304" s="274"/>
      <c r="C304" s="275" t="s">
        <v>5</v>
      </c>
      <c r="D304" s="275" t="s">
        <v>106</v>
      </c>
      <c r="E304" s="275" t="s">
        <v>706</v>
      </c>
      <c r="F304" s="276"/>
      <c r="G304" s="258">
        <f>SUM(G305)</f>
        <v>1733.4</v>
      </c>
      <c r="H304" s="20"/>
      <c r="I304" s="20"/>
    </row>
    <row r="305" spans="1:9" ht="15">
      <c r="A305" s="109" t="s">
        <v>707</v>
      </c>
      <c r="B305" s="274"/>
      <c r="C305" s="275" t="s">
        <v>5</v>
      </c>
      <c r="D305" s="275" t="s">
        <v>106</v>
      </c>
      <c r="E305" s="275" t="s">
        <v>708</v>
      </c>
      <c r="F305" s="276"/>
      <c r="G305" s="258">
        <f>SUM(G306)</f>
        <v>1733.4</v>
      </c>
      <c r="H305" s="20"/>
      <c r="I305" s="20"/>
    </row>
    <row r="306" spans="1:9" ht="28.5">
      <c r="A306" s="109" t="s">
        <v>709</v>
      </c>
      <c r="B306" s="274"/>
      <c r="C306" s="275" t="s">
        <v>5</v>
      </c>
      <c r="D306" s="275" t="s">
        <v>106</v>
      </c>
      <c r="E306" s="275" t="s">
        <v>710</v>
      </c>
      <c r="F306" s="276"/>
      <c r="G306" s="258">
        <f>SUM(G307)</f>
        <v>1733.4</v>
      </c>
      <c r="H306" s="20"/>
      <c r="I306" s="20"/>
    </row>
    <row r="307" spans="1:9" ht="15">
      <c r="A307" s="175" t="s">
        <v>505</v>
      </c>
      <c r="B307" s="274"/>
      <c r="C307" s="275" t="s">
        <v>5</v>
      </c>
      <c r="D307" s="275" t="s">
        <v>106</v>
      </c>
      <c r="E307" s="275" t="s">
        <v>710</v>
      </c>
      <c r="F307" s="276" t="s">
        <v>506</v>
      </c>
      <c r="G307" s="258">
        <v>1733.4</v>
      </c>
      <c r="H307" s="20"/>
      <c r="I307" s="20"/>
    </row>
    <row r="308" spans="1:9" ht="15">
      <c r="A308" s="172" t="s">
        <v>3</v>
      </c>
      <c r="B308" s="313"/>
      <c r="C308" s="302" t="s">
        <v>5</v>
      </c>
      <c r="D308" s="302" t="s">
        <v>106</v>
      </c>
      <c r="E308" s="302" t="s">
        <v>683</v>
      </c>
      <c r="F308" s="314"/>
      <c r="G308" s="269">
        <f>SUM(G309)</f>
        <v>2972.7</v>
      </c>
      <c r="H308" s="20"/>
      <c r="I308" s="20"/>
    </row>
    <row r="309" spans="1:9" ht="42.75">
      <c r="A309" s="174" t="s">
        <v>711</v>
      </c>
      <c r="B309" s="315"/>
      <c r="C309" s="302" t="s">
        <v>5</v>
      </c>
      <c r="D309" s="302" t="s">
        <v>106</v>
      </c>
      <c r="E309" s="302" t="s">
        <v>712</v>
      </c>
      <c r="F309" s="314"/>
      <c r="G309" s="269">
        <f>SUM(G310)</f>
        <v>2972.7</v>
      </c>
      <c r="H309" s="20"/>
      <c r="I309" s="20"/>
    </row>
    <row r="310" spans="1:9" ht="28.5">
      <c r="A310" s="172" t="s">
        <v>651</v>
      </c>
      <c r="B310" s="315"/>
      <c r="C310" s="302" t="s">
        <v>5</v>
      </c>
      <c r="D310" s="302" t="s">
        <v>106</v>
      </c>
      <c r="E310" s="302" t="s">
        <v>713</v>
      </c>
      <c r="F310" s="314"/>
      <c r="G310" s="269">
        <f>SUM(G311)</f>
        <v>2972.7</v>
      </c>
      <c r="H310" s="20"/>
      <c r="I310" s="20"/>
    </row>
    <row r="311" spans="1:9" ht="15">
      <c r="A311" s="175" t="s">
        <v>505</v>
      </c>
      <c r="B311" s="315"/>
      <c r="C311" s="302" t="s">
        <v>5</v>
      </c>
      <c r="D311" s="302" t="s">
        <v>106</v>
      </c>
      <c r="E311" s="302" t="s">
        <v>713</v>
      </c>
      <c r="F311" s="314" t="s">
        <v>506</v>
      </c>
      <c r="G311" s="269">
        <v>2972.7</v>
      </c>
      <c r="H311" s="20"/>
      <c r="I311" s="20"/>
    </row>
    <row r="312" spans="1:9" ht="15">
      <c r="A312" s="174" t="s">
        <v>128</v>
      </c>
      <c r="B312" s="301"/>
      <c r="C312" s="302" t="s">
        <v>5</v>
      </c>
      <c r="D312" s="302" t="s">
        <v>106</v>
      </c>
      <c r="E312" s="302" t="s">
        <v>129</v>
      </c>
      <c r="F312" s="304"/>
      <c r="G312" s="169">
        <f>SUM(G313)</f>
        <v>2000</v>
      </c>
      <c r="H312" s="20"/>
      <c r="I312" s="20"/>
    </row>
    <row r="313" spans="1:9" ht="35.25" customHeight="1">
      <c r="A313" s="176" t="s">
        <v>677</v>
      </c>
      <c r="B313" s="307"/>
      <c r="C313" s="302" t="s">
        <v>5</v>
      </c>
      <c r="D313" s="302" t="s">
        <v>106</v>
      </c>
      <c r="E313" s="308" t="s">
        <v>648</v>
      </c>
      <c r="F313" s="316"/>
      <c r="G313" s="169">
        <f>SUM(G314)</f>
        <v>2000</v>
      </c>
      <c r="H313" s="20"/>
      <c r="I313" s="20"/>
    </row>
    <row r="314" spans="1:9" ht="28.5">
      <c r="A314" s="163" t="s">
        <v>678</v>
      </c>
      <c r="B314" s="301"/>
      <c r="C314" s="302" t="s">
        <v>5</v>
      </c>
      <c r="D314" s="302" t="s">
        <v>106</v>
      </c>
      <c r="E314" s="308" t="s">
        <v>653</v>
      </c>
      <c r="F314" s="316"/>
      <c r="G314" s="270">
        <f>SUM(G315:G315)</f>
        <v>2000</v>
      </c>
      <c r="H314" s="20"/>
      <c r="I314" s="20"/>
    </row>
    <row r="315" spans="1:9" ht="15">
      <c r="A315" s="175" t="s">
        <v>505</v>
      </c>
      <c r="B315" s="315"/>
      <c r="C315" s="302" t="s">
        <v>5</v>
      </c>
      <c r="D315" s="302" t="s">
        <v>106</v>
      </c>
      <c r="E315" s="308" t="s">
        <v>653</v>
      </c>
      <c r="F315" s="314" t="s">
        <v>506</v>
      </c>
      <c r="G315" s="269">
        <v>2000</v>
      </c>
      <c r="H315" s="20"/>
      <c r="I315" s="20"/>
    </row>
    <row r="316" spans="1:9" s="87" customFormat="1" ht="15">
      <c r="A316" s="113" t="s">
        <v>158</v>
      </c>
      <c r="B316" s="290"/>
      <c r="C316" s="291" t="s">
        <v>5</v>
      </c>
      <c r="D316" s="291" t="s">
        <v>122</v>
      </c>
      <c r="E316" s="291"/>
      <c r="F316" s="292"/>
      <c r="G316" s="615">
        <f>G317</f>
        <v>46804.6</v>
      </c>
      <c r="H316" s="20"/>
      <c r="I316" s="20">
        <f>SUM(H316/G323*100)</f>
        <v>0</v>
      </c>
    </row>
    <row r="317" spans="1:9" s="87" customFormat="1" ht="15">
      <c r="A317" s="109" t="s">
        <v>26</v>
      </c>
      <c r="B317" s="274"/>
      <c r="C317" s="291" t="s">
        <v>5</v>
      </c>
      <c r="D317" s="291" t="s">
        <v>122</v>
      </c>
      <c r="E317" s="275" t="s">
        <v>27</v>
      </c>
      <c r="F317" s="276"/>
      <c r="G317" s="615">
        <f>SUM(G318)+G325</f>
        <v>46804.6</v>
      </c>
      <c r="H317" s="20"/>
      <c r="I317" s="20"/>
    </row>
    <row r="318" spans="1:9" ht="42.75">
      <c r="A318" s="113" t="s">
        <v>564</v>
      </c>
      <c r="B318" s="290"/>
      <c r="C318" s="291" t="s">
        <v>5</v>
      </c>
      <c r="D318" s="291" t="s">
        <v>122</v>
      </c>
      <c r="E318" s="291" t="s">
        <v>207</v>
      </c>
      <c r="F318" s="292"/>
      <c r="G318" s="615">
        <f>G323+G319</f>
        <v>39135.4</v>
      </c>
      <c r="H318" s="20">
        <f>SUM(H319)</f>
        <v>5628.5</v>
      </c>
      <c r="I318" s="20">
        <f>SUM(H318/G324*100)</f>
        <v>25.72569918963019</v>
      </c>
    </row>
    <row r="319" spans="1:9" ht="57">
      <c r="A319" s="113" t="s">
        <v>638</v>
      </c>
      <c r="B319" s="290"/>
      <c r="C319" s="291" t="s">
        <v>5</v>
      </c>
      <c r="D319" s="291" t="s">
        <v>122</v>
      </c>
      <c r="E319" s="291" t="s">
        <v>565</v>
      </c>
      <c r="F319" s="292"/>
      <c r="G319" s="615">
        <f>SUM(G320)</f>
        <v>17256.5</v>
      </c>
      <c r="H319" s="20">
        <f>SUM(H320)</f>
        <v>5628.5</v>
      </c>
      <c r="I319" s="20" t="e">
        <f>SUM(H319/#REF!*100)</f>
        <v>#REF!</v>
      </c>
    </row>
    <row r="320" spans="1:9" ht="28.5">
      <c r="A320" s="113" t="s">
        <v>566</v>
      </c>
      <c r="B320" s="290"/>
      <c r="C320" s="291" t="s">
        <v>5</v>
      </c>
      <c r="D320" s="291" t="s">
        <v>122</v>
      </c>
      <c r="E320" s="291" t="s">
        <v>565</v>
      </c>
      <c r="F320" s="292" t="s">
        <v>560</v>
      </c>
      <c r="G320" s="615">
        <v>17256.5</v>
      </c>
      <c r="H320" s="20">
        <v>5628.5</v>
      </c>
      <c r="I320" s="20" t="e">
        <f>SUM(H320/#REF!*100)</f>
        <v>#REF!</v>
      </c>
    </row>
    <row r="321" spans="1:9" s="87" customFormat="1" ht="15" hidden="1">
      <c r="A321" s="113" t="s">
        <v>65</v>
      </c>
      <c r="B321" s="290"/>
      <c r="C321" s="291" t="s">
        <v>5</v>
      </c>
      <c r="D321" s="291" t="s">
        <v>122</v>
      </c>
      <c r="E321" s="291" t="s">
        <v>565</v>
      </c>
      <c r="F321" s="292" t="s">
        <v>567</v>
      </c>
      <c r="G321" s="615"/>
      <c r="H321" s="20">
        <f>SUM(H322)</f>
        <v>0</v>
      </c>
      <c r="I321" s="20" t="e">
        <f>SUM(H321/#REF!*100)</f>
        <v>#REF!</v>
      </c>
    </row>
    <row r="322" spans="1:9" ht="28.5" hidden="1">
      <c r="A322" s="113" t="s">
        <v>568</v>
      </c>
      <c r="B322" s="290"/>
      <c r="C322" s="291" t="s">
        <v>5</v>
      </c>
      <c r="D322" s="291" t="s">
        <v>122</v>
      </c>
      <c r="E322" s="291" t="s">
        <v>565</v>
      </c>
      <c r="F322" s="292" t="s">
        <v>569</v>
      </c>
      <c r="G322" s="615"/>
      <c r="H322" s="20"/>
      <c r="I322" s="20" t="e">
        <f>SUM(H322/#REF!*100)</f>
        <v>#REF!</v>
      </c>
    </row>
    <row r="323" spans="1:9" ht="42.75">
      <c r="A323" s="113" t="s">
        <v>639</v>
      </c>
      <c r="B323" s="290"/>
      <c r="C323" s="291" t="s">
        <v>5</v>
      </c>
      <c r="D323" s="291" t="s">
        <v>122</v>
      </c>
      <c r="E323" s="291" t="s">
        <v>466</v>
      </c>
      <c r="F323" s="292"/>
      <c r="G323" s="615">
        <f>SUM(G324)</f>
        <v>21878.9</v>
      </c>
      <c r="H323" s="20" t="e">
        <f>SUM(H324)</f>
        <v>#REF!</v>
      </c>
      <c r="I323" s="20" t="e">
        <f>SUM(H323/#REF!*100)</f>
        <v>#REF!</v>
      </c>
    </row>
    <row r="324" spans="1:9" ht="28.5">
      <c r="A324" s="113" t="s">
        <v>566</v>
      </c>
      <c r="B324" s="290"/>
      <c r="C324" s="291" t="s">
        <v>5</v>
      </c>
      <c r="D324" s="291" t="s">
        <v>122</v>
      </c>
      <c r="E324" s="291" t="s">
        <v>466</v>
      </c>
      <c r="F324" s="292" t="s">
        <v>560</v>
      </c>
      <c r="G324" s="615">
        <v>21878.9</v>
      </c>
      <c r="H324" s="20" t="e">
        <f>SUM(#REF!)+#REF!</f>
        <v>#REF!</v>
      </c>
      <c r="I324" s="20" t="e">
        <f>SUM(H324/#REF!*100)</f>
        <v>#REF!</v>
      </c>
    </row>
    <row r="325" spans="1:9" ht="42.75">
      <c r="A325" s="113" t="s">
        <v>757</v>
      </c>
      <c r="B325" s="290"/>
      <c r="C325" s="291" t="s">
        <v>5</v>
      </c>
      <c r="D325" s="291" t="s">
        <v>122</v>
      </c>
      <c r="E325" s="291" t="s">
        <v>758</v>
      </c>
      <c r="F325" s="292"/>
      <c r="G325" s="615">
        <f>SUM(G326)</f>
        <v>7669.2</v>
      </c>
      <c r="H325" s="20"/>
      <c r="I325" s="20"/>
    </row>
    <row r="326" spans="1:9" ht="28.5">
      <c r="A326" s="113" t="s">
        <v>566</v>
      </c>
      <c r="B326" s="290"/>
      <c r="C326" s="291" t="s">
        <v>5</v>
      </c>
      <c r="D326" s="291" t="s">
        <v>122</v>
      </c>
      <c r="E326" s="291" t="s">
        <v>758</v>
      </c>
      <c r="F326" s="292" t="s">
        <v>560</v>
      </c>
      <c r="G326" s="615">
        <v>7669.2</v>
      </c>
      <c r="H326" s="20"/>
      <c r="I326" s="20"/>
    </row>
    <row r="327" spans="1:9" ht="15">
      <c r="A327" s="109" t="s">
        <v>245</v>
      </c>
      <c r="B327" s="274"/>
      <c r="C327" s="280" t="s">
        <v>419</v>
      </c>
      <c r="D327" s="280"/>
      <c r="E327" s="280"/>
      <c r="F327" s="277"/>
      <c r="G327" s="259">
        <f>SUM(G328)</f>
        <v>396</v>
      </c>
      <c r="H327" s="20" t="e">
        <f>SUM(H328+H335+H346+#REF!)</f>
        <v>#REF!</v>
      </c>
      <c r="I327" s="20" t="e">
        <f>SUM(H327/G333*100)</f>
        <v>#REF!</v>
      </c>
    </row>
    <row r="328" spans="1:9" ht="15">
      <c r="A328" s="109" t="s">
        <v>239</v>
      </c>
      <c r="B328" s="274"/>
      <c r="C328" s="275" t="s">
        <v>419</v>
      </c>
      <c r="D328" s="275" t="s">
        <v>131</v>
      </c>
      <c r="E328" s="280"/>
      <c r="F328" s="277"/>
      <c r="G328" s="258">
        <f>SUM(G329)</f>
        <v>396</v>
      </c>
      <c r="H328" s="20">
        <f>SUM(H329)</f>
        <v>9708.8</v>
      </c>
      <c r="I328" s="20">
        <f>SUM(H328/G334*100)</f>
        <v>51.98849793037713</v>
      </c>
    </row>
    <row r="329" spans="1:9" ht="15">
      <c r="A329" s="114" t="s">
        <v>128</v>
      </c>
      <c r="B329" s="284"/>
      <c r="C329" s="275" t="s">
        <v>419</v>
      </c>
      <c r="D329" s="275" t="s">
        <v>131</v>
      </c>
      <c r="E329" s="280" t="s">
        <v>129</v>
      </c>
      <c r="F329" s="277"/>
      <c r="G329" s="258">
        <f>SUM(G330)</f>
        <v>396</v>
      </c>
      <c r="H329" s="20">
        <f>SUM(H330)</f>
        <v>9708.8</v>
      </c>
      <c r="I329" s="20">
        <f>SUM(H329/G335*100)</f>
        <v>51.98849793037713</v>
      </c>
    </row>
    <row r="330" spans="1:9" ht="28.5">
      <c r="A330" s="117" t="s">
        <v>146</v>
      </c>
      <c r="B330" s="274"/>
      <c r="C330" s="275" t="s">
        <v>419</v>
      </c>
      <c r="D330" s="275" t="s">
        <v>131</v>
      </c>
      <c r="E330" s="280" t="s">
        <v>54</v>
      </c>
      <c r="F330" s="277"/>
      <c r="G330" s="258">
        <f>SUM(G331)</f>
        <v>396</v>
      </c>
      <c r="H330" s="20">
        <f>SUM(H331+H333)</f>
        <v>9708.8</v>
      </c>
      <c r="I330" s="20">
        <f>SUM(H330/G336*100)</f>
        <v>361.44596254793186</v>
      </c>
    </row>
    <row r="331" spans="1:9" s="103" customFormat="1" ht="15">
      <c r="A331" s="117" t="s">
        <v>134</v>
      </c>
      <c r="B331" s="274"/>
      <c r="C331" s="275" t="s">
        <v>419</v>
      </c>
      <c r="D331" s="275" t="s">
        <v>131</v>
      </c>
      <c r="E331" s="280" t="s">
        <v>54</v>
      </c>
      <c r="F331" s="277" t="s">
        <v>135</v>
      </c>
      <c r="G331" s="258">
        <v>396</v>
      </c>
      <c r="H331" s="20">
        <v>122.5</v>
      </c>
      <c r="I331" s="20">
        <f>SUM(H331/G337*100)</f>
        <v>4.572943108854711</v>
      </c>
    </row>
    <row r="332" spans="1:9" s="103" customFormat="1" ht="21.75" customHeight="1">
      <c r="A332" s="112" t="s">
        <v>259</v>
      </c>
      <c r="B332" s="281" t="s">
        <v>260</v>
      </c>
      <c r="C332" s="282"/>
      <c r="D332" s="282"/>
      <c r="E332" s="282"/>
      <c r="F332" s="283"/>
      <c r="G332" s="260">
        <f>SUM(G333+G367+G371)+G356+G360</f>
        <v>51427.2</v>
      </c>
      <c r="H332" s="20"/>
      <c r="I332" s="20"/>
    </row>
    <row r="333" spans="1:9" s="103" customFormat="1" ht="15">
      <c r="A333" s="109" t="s">
        <v>459</v>
      </c>
      <c r="B333" s="274"/>
      <c r="C333" s="275" t="s">
        <v>460</v>
      </c>
      <c r="D333" s="275"/>
      <c r="E333" s="275"/>
      <c r="F333" s="276"/>
      <c r="G333" s="258">
        <f>SUM(G334+G341+G344)</f>
        <v>23307.100000000002</v>
      </c>
      <c r="H333" s="20">
        <f>SUM(H334)</f>
        <v>9586.3</v>
      </c>
      <c r="I333" s="20">
        <f aca="true" t="shared" si="6" ref="I333:I342">SUM(H333/G339*100)</f>
        <v>59.956344441108776</v>
      </c>
    </row>
    <row r="334" spans="1:9" ht="28.5">
      <c r="A334" s="109" t="s">
        <v>390</v>
      </c>
      <c r="B334" s="274"/>
      <c r="C334" s="275" t="s">
        <v>460</v>
      </c>
      <c r="D334" s="275" t="s">
        <v>391</v>
      </c>
      <c r="E334" s="275"/>
      <c r="F334" s="276"/>
      <c r="G334" s="258">
        <f>SUM(G335)</f>
        <v>18674.9</v>
      </c>
      <c r="H334" s="20">
        <v>9586.3</v>
      </c>
      <c r="I334" s="20">
        <f t="shared" si="6"/>
        <v>59.956344441108776</v>
      </c>
    </row>
    <row r="335" spans="1:9" ht="28.5">
      <c r="A335" s="109" t="s">
        <v>99</v>
      </c>
      <c r="B335" s="274"/>
      <c r="C335" s="275" t="s">
        <v>460</v>
      </c>
      <c r="D335" s="275" t="s">
        <v>391</v>
      </c>
      <c r="E335" s="275" t="s">
        <v>100</v>
      </c>
      <c r="F335" s="276"/>
      <c r="G335" s="258">
        <f>SUM(G336)+G340</f>
        <v>18674.9</v>
      </c>
      <c r="H335" s="20" t="e">
        <f>SUM(H336)</f>
        <v>#REF!</v>
      </c>
      <c r="I335" s="20" t="e">
        <f t="shared" si="6"/>
        <v>#REF!</v>
      </c>
    </row>
    <row r="336" spans="1:9" ht="15">
      <c r="A336" s="109" t="s">
        <v>107</v>
      </c>
      <c r="B336" s="274"/>
      <c r="C336" s="275" t="s">
        <v>460</v>
      </c>
      <c r="D336" s="275" t="s">
        <v>391</v>
      </c>
      <c r="E336" s="275" t="s">
        <v>109</v>
      </c>
      <c r="F336" s="276"/>
      <c r="G336" s="258">
        <f>SUM(G337+G338)</f>
        <v>2686.1000000000004</v>
      </c>
      <c r="H336" s="20" t="e">
        <f>SUM(#REF!)</f>
        <v>#REF!</v>
      </c>
      <c r="I336" s="20" t="e">
        <f t="shared" si="6"/>
        <v>#REF!</v>
      </c>
    </row>
    <row r="337" spans="1:9" ht="28.5">
      <c r="A337" s="109" t="s">
        <v>495</v>
      </c>
      <c r="B337" s="274"/>
      <c r="C337" s="275" t="s">
        <v>108</v>
      </c>
      <c r="D337" s="275" t="s">
        <v>391</v>
      </c>
      <c r="E337" s="275" t="s">
        <v>109</v>
      </c>
      <c r="F337" s="278" t="s">
        <v>496</v>
      </c>
      <c r="G337" s="258">
        <f>2842.9-164.1</f>
        <v>2678.8</v>
      </c>
      <c r="H337" s="20" t="e">
        <f>SUM(#REF!)</f>
        <v>#REF!</v>
      </c>
      <c r="I337" s="20" t="e">
        <f t="shared" si="6"/>
        <v>#REF!</v>
      </c>
    </row>
    <row r="338" spans="1:9" s="89" customFormat="1" ht="15">
      <c r="A338" s="109" t="s">
        <v>500</v>
      </c>
      <c r="B338" s="274"/>
      <c r="C338" s="275" t="s">
        <v>460</v>
      </c>
      <c r="D338" s="275" t="s">
        <v>391</v>
      </c>
      <c r="E338" s="275" t="s">
        <v>109</v>
      </c>
      <c r="F338" s="276" t="s">
        <v>120</v>
      </c>
      <c r="G338" s="259">
        <v>7.3</v>
      </c>
      <c r="H338" s="80" t="e">
        <f>SUM(H339+#REF!+H438+#REF!)</f>
        <v>#REF!</v>
      </c>
      <c r="I338" s="20" t="e">
        <f t="shared" si="6"/>
        <v>#REF!</v>
      </c>
    </row>
    <row r="339" spans="1:9" s="100" customFormat="1" ht="28.5">
      <c r="A339" s="109" t="s">
        <v>392</v>
      </c>
      <c r="B339" s="274"/>
      <c r="C339" s="275" t="s">
        <v>108</v>
      </c>
      <c r="D339" s="275" t="s">
        <v>391</v>
      </c>
      <c r="E339" s="275" t="s">
        <v>393</v>
      </c>
      <c r="F339" s="276"/>
      <c r="G339" s="258">
        <f>SUM(G340)</f>
        <v>15988.8</v>
      </c>
      <c r="H339" s="20" t="e">
        <f>SUM(H342+H368)+H340</f>
        <v>#REF!</v>
      </c>
      <c r="I339" s="20" t="e">
        <f t="shared" si="6"/>
        <v>#REF!</v>
      </c>
    </row>
    <row r="340" spans="1:9" ht="28.5">
      <c r="A340" s="109" t="s">
        <v>495</v>
      </c>
      <c r="B340" s="274"/>
      <c r="C340" s="275" t="s">
        <v>108</v>
      </c>
      <c r="D340" s="275" t="s">
        <v>391</v>
      </c>
      <c r="E340" s="275" t="s">
        <v>393</v>
      </c>
      <c r="F340" s="278" t="s">
        <v>496</v>
      </c>
      <c r="G340" s="258">
        <v>15988.8</v>
      </c>
      <c r="H340" s="20">
        <f>SUM(H341)</f>
        <v>5048</v>
      </c>
      <c r="I340" s="20">
        <f t="shared" si="6"/>
        <v>2919.606709080393</v>
      </c>
    </row>
    <row r="341" spans="1:9" ht="15">
      <c r="A341" s="109" t="s">
        <v>407</v>
      </c>
      <c r="B341" s="274"/>
      <c r="C341" s="275" t="s">
        <v>460</v>
      </c>
      <c r="D341" s="275" t="s">
        <v>419</v>
      </c>
      <c r="E341" s="275"/>
      <c r="F341" s="276"/>
      <c r="G341" s="258">
        <f>SUM(G342)</f>
        <v>83.2</v>
      </c>
      <c r="H341" s="20">
        <v>5048</v>
      </c>
      <c r="I341" s="20">
        <f t="shared" si="6"/>
        <v>2962.44131455399</v>
      </c>
    </row>
    <row r="342" spans="1:9" ht="15">
      <c r="A342" s="109" t="s">
        <v>387</v>
      </c>
      <c r="B342" s="274"/>
      <c r="C342" s="275" t="s">
        <v>460</v>
      </c>
      <c r="D342" s="275" t="s">
        <v>419</v>
      </c>
      <c r="E342" s="275" t="s">
        <v>507</v>
      </c>
      <c r="F342" s="276"/>
      <c r="G342" s="258">
        <f>SUM(G343)</f>
        <v>83.2</v>
      </c>
      <c r="H342" s="20" t="e">
        <f>SUM(H343)+#REF!+H367</f>
        <v>#REF!</v>
      </c>
      <c r="I342" s="20" t="e">
        <f t="shared" si="6"/>
        <v>#REF!</v>
      </c>
    </row>
    <row r="343" spans="1:9" ht="15">
      <c r="A343" s="109" t="s">
        <v>501</v>
      </c>
      <c r="B343" s="274"/>
      <c r="C343" s="275" t="s">
        <v>460</v>
      </c>
      <c r="D343" s="275" t="s">
        <v>419</v>
      </c>
      <c r="E343" s="275" t="s">
        <v>507</v>
      </c>
      <c r="F343" s="276" t="s">
        <v>176</v>
      </c>
      <c r="G343" s="258">
        <v>83.2</v>
      </c>
      <c r="H343" s="20"/>
      <c r="I343" s="20"/>
    </row>
    <row r="344" spans="1:9" ht="15">
      <c r="A344" s="109" t="s">
        <v>112</v>
      </c>
      <c r="B344" s="274"/>
      <c r="C344" s="275" t="s">
        <v>460</v>
      </c>
      <c r="D344" s="275" t="s">
        <v>236</v>
      </c>
      <c r="E344" s="275"/>
      <c r="F344" s="277"/>
      <c r="G344" s="258">
        <f>SUM(G345)</f>
        <v>4549</v>
      </c>
      <c r="H344" s="20">
        <f>SUM(H345)</f>
        <v>0</v>
      </c>
      <c r="I344" s="20">
        <f>SUM(H344/G350*100)</f>
        <v>0</v>
      </c>
    </row>
    <row r="345" spans="1:9" ht="28.5">
      <c r="A345" s="109" t="s">
        <v>497</v>
      </c>
      <c r="B345" s="274"/>
      <c r="C345" s="275" t="s">
        <v>460</v>
      </c>
      <c r="D345" s="275" t="s">
        <v>236</v>
      </c>
      <c r="E345" s="275" t="s">
        <v>498</v>
      </c>
      <c r="F345" s="277"/>
      <c r="G345" s="259">
        <f>SUM(G346+G349+G351)</f>
        <v>4549</v>
      </c>
      <c r="H345" s="20"/>
      <c r="I345" s="20"/>
    </row>
    <row r="346" spans="1:9" ht="15">
      <c r="A346" s="109" t="s">
        <v>486</v>
      </c>
      <c r="B346" s="274"/>
      <c r="C346" s="275" t="s">
        <v>460</v>
      </c>
      <c r="D346" s="275" t="s">
        <v>236</v>
      </c>
      <c r="E346" s="275" t="s">
        <v>499</v>
      </c>
      <c r="F346" s="276"/>
      <c r="G346" s="259">
        <f>SUM(G347:G348)</f>
        <v>172.9</v>
      </c>
      <c r="H346" s="20" t="e">
        <f>SUM(H347+#REF!)</f>
        <v>#REF!</v>
      </c>
      <c r="I346" s="20" t="e">
        <f>SUM(H346/G352*100)</f>
        <v>#REF!</v>
      </c>
    </row>
    <row r="347" spans="1:9" ht="15">
      <c r="A347" s="109" t="s">
        <v>500</v>
      </c>
      <c r="B347" s="274"/>
      <c r="C347" s="275" t="s">
        <v>460</v>
      </c>
      <c r="D347" s="275" t="s">
        <v>236</v>
      </c>
      <c r="E347" s="275" t="s">
        <v>499</v>
      </c>
      <c r="F347" s="276" t="s">
        <v>120</v>
      </c>
      <c r="G347" s="259">
        <v>170.4</v>
      </c>
      <c r="H347" s="20" t="e">
        <f>SUM(#REF!+H352+#REF!)</f>
        <v>#REF!</v>
      </c>
      <c r="I347" s="20" t="e">
        <f>SUM(H347/G353*100)</f>
        <v>#REF!</v>
      </c>
    </row>
    <row r="348" spans="1:9" ht="15">
      <c r="A348" s="109" t="s">
        <v>501</v>
      </c>
      <c r="B348" s="274"/>
      <c r="C348" s="275" t="s">
        <v>460</v>
      </c>
      <c r="D348" s="275" t="s">
        <v>236</v>
      </c>
      <c r="E348" s="275" t="s">
        <v>499</v>
      </c>
      <c r="F348" s="276" t="s">
        <v>176</v>
      </c>
      <c r="G348" s="259">
        <v>2.5</v>
      </c>
      <c r="H348" s="20"/>
      <c r="I348" s="20"/>
    </row>
    <row r="349" spans="1:9" s="104" customFormat="1" ht="28.5">
      <c r="A349" s="109" t="s">
        <v>487</v>
      </c>
      <c r="B349" s="274"/>
      <c r="C349" s="275" t="s">
        <v>460</v>
      </c>
      <c r="D349" s="275" t="s">
        <v>236</v>
      </c>
      <c r="E349" s="275" t="s">
        <v>502</v>
      </c>
      <c r="F349" s="276"/>
      <c r="G349" s="259">
        <f>SUM(G350)</f>
        <v>177</v>
      </c>
      <c r="H349" s="20" t="e">
        <f>SUM(#REF!+H352+#REF!+#REF!+#REF!)</f>
        <v>#REF!</v>
      </c>
      <c r="I349" s="20" t="e">
        <f>SUM(H349/G367*100)</f>
        <v>#REF!</v>
      </c>
    </row>
    <row r="350" spans="1:9" ht="15">
      <c r="A350" s="109" t="s">
        <v>500</v>
      </c>
      <c r="B350" s="274"/>
      <c r="C350" s="275" t="s">
        <v>460</v>
      </c>
      <c r="D350" s="275" t="s">
        <v>236</v>
      </c>
      <c r="E350" s="275" t="s">
        <v>502</v>
      </c>
      <c r="F350" s="276" t="s">
        <v>120</v>
      </c>
      <c r="G350" s="259">
        <v>177</v>
      </c>
      <c r="H350" s="20" t="e">
        <f>SUM(#REF!)</f>
        <v>#REF!</v>
      </c>
      <c r="I350" s="20" t="e">
        <f aca="true" t="shared" si="7" ref="I350:I355">SUM(H350/G369*100)</f>
        <v>#REF!</v>
      </c>
    </row>
    <row r="351" spans="1:9" ht="28.5">
      <c r="A351" s="110" t="s">
        <v>503</v>
      </c>
      <c r="B351" s="274"/>
      <c r="C351" s="275" t="s">
        <v>460</v>
      </c>
      <c r="D351" s="275" t="s">
        <v>236</v>
      </c>
      <c r="E351" s="275" t="s">
        <v>504</v>
      </c>
      <c r="F351" s="278"/>
      <c r="G351" s="259">
        <f>SUM(G352+G353+G355)</f>
        <v>4199.1</v>
      </c>
      <c r="H351" s="20"/>
      <c r="I351" s="20">
        <f t="shared" si="7"/>
        <v>0</v>
      </c>
    </row>
    <row r="352" spans="1:9" ht="15">
      <c r="A352" s="109" t="s">
        <v>500</v>
      </c>
      <c r="B352" s="274"/>
      <c r="C352" s="275" t="s">
        <v>460</v>
      </c>
      <c r="D352" s="275" t="s">
        <v>236</v>
      </c>
      <c r="E352" s="275" t="s">
        <v>504</v>
      </c>
      <c r="F352" s="278" t="s">
        <v>120</v>
      </c>
      <c r="G352" s="258">
        <v>4176.3</v>
      </c>
      <c r="H352" s="20">
        <f>SUM(H353)</f>
        <v>0</v>
      </c>
      <c r="I352" s="20">
        <f t="shared" si="7"/>
        <v>0</v>
      </c>
    </row>
    <row r="353" spans="1:9" ht="14.25" customHeight="1">
      <c r="A353" s="109" t="s">
        <v>501</v>
      </c>
      <c r="B353" s="274"/>
      <c r="C353" s="275" t="s">
        <v>460</v>
      </c>
      <c r="D353" s="275" t="s">
        <v>236</v>
      </c>
      <c r="E353" s="275" t="s">
        <v>504</v>
      </c>
      <c r="F353" s="278" t="s">
        <v>176</v>
      </c>
      <c r="G353" s="258">
        <f>22.8</f>
        <v>22.8</v>
      </c>
      <c r="H353" s="20">
        <f>SUM(H354)</f>
        <v>0</v>
      </c>
      <c r="I353" s="20">
        <f t="shared" si="7"/>
        <v>0</v>
      </c>
    </row>
    <row r="354" spans="1:9" ht="15" hidden="1">
      <c r="A354" s="110" t="s">
        <v>511</v>
      </c>
      <c r="B354" s="274"/>
      <c r="C354" s="275" t="s">
        <v>460</v>
      </c>
      <c r="D354" s="275" t="s">
        <v>236</v>
      </c>
      <c r="E354" s="275" t="s">
        <v>512</v>
      </c>
      <c r="F354" s="276"/>
      <c r="G354" s="258">
        <f>SUM(G355)</f>
        <v>0</v>
      </c>
      <c r="H354" s="20">
        <f>SUM(H355)</f>
        <v>0</v>
      </c>
      <c r="I354" s="20">
        <f t="shared" si="7"/>
        <v>0</v>
      </c>
    </row>
    <row r="355" spans="1:9" ht="15" hidden="1">
      <c r="A355" s="109" t="s">
        <v>501</v>
      </c>
      <c r="B355" s="274"/>
      <c r="C355" s="275" t="s">
        <v>460</v>
      </c>
      <c r="D355" s="275" t="s">
        <v>236</v>
      </c>
      <c r="E355" s="275" t="s">
        <v>512</v>
      </c>
      <c r="F355" s="276" t="s">
        <v>176</v>
      </c>
      <c r="G355" s="258"/>
      <c r="H355" s="20">
        <f>SUM(H367)</f>
        <v>0</v>
      </c>
      <c r="I355" s="20">
        <f t="shared" si="7"/>
        <v>0</v>
      </c>
    </row>
    <row r="356" spans="1:9" ht="15" hidden="1">
      <c r="A356" s="109" t="s">
        <v>121</v>
      </c>
      <c r="B356" s="274"/>
      <c r="C356" s="291" t="s">
        <v>122</v>
      </c>
      <c r="D356" s="275"/>
      <c r="E356" s="275"/>
      <c r="F356" s="276"/>
      <c r="G356" s="258">
        <f>SUM(G357)</f>
        <v>0</v>
      </c>
      <c r="H356" s="20">
        <v>50612.1</v>
      </c>
      <c r="I356" s="20" t="e">
        <f>SUM(H356/#REF!*100)</f>
        <v>#REF!</v>
      </c>
    </row>
    <row r="357" spans="1:9" ht="15" hidden="1">
      <c r="A357" s="113" t="s">
        <v>418</v>
      </c>
      <c r="B357" s="290"/>
      <c r="C357" s="291" t="s">
        <v>122</v>
      </c>
      <c r="D357" s="291" t="s">
        <v>408</v>
      </c>
      <c r="E357" s="275"/>
      <c r="F357" s="277"/>
      <c r="G357" s="258">
        <f>SUM(G358)</f>
        <v>0</v>
      </c>
      <c r="H357" s="20">
        <v>5387.8</v>
      </c>
      <c r="I357" s="20" t="e">
        <f>SUM(H357/#REF!*100)</f>
        <v>#REF!</v>
      </c>
    </row>
    <row r="358" spans="1:9" ht="15" hidden="1">
      <c r="A358" s="110" t="s">
        <v>511</v>
      </c>
      <c r="B358" s="274"/>
      <c r="C358" s="291" t="s">
        <v>122</v>
      </c>
      <c r="D358" s="291" t="s">
        <v>408</v>
      </c>
      <c r="E358" s="275" t="s">
        <v>512</v>
      </c>
      <c r="F358" s="276"/>
      <c r="G358" s="258">
        <f>SUM(G359)</f>
        <v>0</v>
      </c>
      <c r="H358" s="20"/>
      <c r="I358" s="20"/>
    </row>
    <row r="359" spans="1:9" ht="15" hidden="1">
      <c r="A359" s="109" t="s">
        <v>501</v>
      </c>
      <c r="B359" s="274"/>
      <c r="C359" s="291" t="s">
        <v>122</v>
      </c>
      <c r="D359" s="291" t="s">
        <v>408</v>
      </c>
      <c r="E359" s="275" t="s">
        <v>512</v>
      </c>
      <c r="F359" s="276" t="s">
        <v>176</v>
      </c>
      <c r="G359" s="258"/>
      <c r="H359" s="20"/>
      <c r="I359" s="20"/>
    </row>
    <row r="360" spans="1:9" ht="15" hidden="1">
      <c r="A360" s="113" t="s">
        <v>424</v>
      </c>
      <c r="B360" s="284"/>
      <c r="C360" s="280" t="s">
        <v>131</v>
      </c>
      <c r="D360" s="280"/>
      <c r="E360" s="280"/>
      <c r="F360" s="278"/>
      <c r="G360" s="261">
        <f>SUM(G361)+G364</f>
        <v>0</v>
      </c>
      <c r="H360" s="20"/>
      <c r="I360" s="20"/>
    </row>
    <row r="361" spans="1:9" ht="15" hidden="1">
      <c r="A361" s="113" t="s">
        <v>55</v>
      </c>
      <c r="B361" s="290"/>
      <c r="C361" s="291" t="s">
        <v>131</v>
      </c>
      <c r="D361" s="291" t="s">
        <v>462</v>
      </c>
      <c r="E361" s="291"/>
      <c r="F361" s="292"/>
      <c r="G361" s="615">
        <f>G362</f>
        <v>0</v>
      </c>
      <c r="H361" s="20">
        <v>9483.6</v>
      </c>
      <c r="I361" s="20">
        <f>SUM(H361/G369*100)</f>
        <v>4308.768741481144</v>
      </c>
    </row>
    <row r="362" spans="1:9" ht="15" hidden="1">
      <c r="A362" s="110" t="s">
        <v>511</v>
      </c>
      <c r="B362" s="274"/>
      <c r="C362" s="291" t="s">
        <v>131</v>
      </c>
      <c r="D362" s="291" t="s">
        <v>462</v>
      </c>
      <c r="E362" s="275" t="s">
        <v>512</v>
      </c>
      <c r="F362" s="276"/>
      <c r="G362" s="615">
        <f>G363</f>
        <v>0</v>
      </c>
      <c r="H362" s="20"/>
      <c r="I362" s="20"/>
    </row>
    <row r="363" spans="1:9" ht="15" hidden="1">
      <c r="A363" s="109" t="s">
        <v>501</v>
      </c>
      <c r="B363" s="274"/>
      <c r="C363" s="291" t="s">
        <v>131</v>
      </c>
      <c r="D363" s="291" t="s">
        <v>462</v>
      </c>
      <c r="E363" s="275" t="s">
        <v>512</v>
      </c>
      <c r="F363" s="276" t="s">
        <v>176</v>
      </c>
      <c r="G363" s="258"/>
      <c r="H363" s="20"/>
      <c r="I363" s="20"/>
    </row>
    <row r="364" spans="1:9" ht="15" hidden="1">
      <c r="A364" s="113" t="s">
        <v>64</v>
      </c>
      <c r="B364" s="284"/>
      <c r="C364" s="291" t="s">
        <v>131</v>
      </c>
      <c r="D364" s="291" t="s">
        <v>131</v>
      </c>
      <c r="E364" s="280"/>
      <c r="F364" s="277"/>
      <c r="G364" s="615">
        <f>G365</f>
        <v>0</v>
      </c>
      <c r="H364" s="20"/>
      <c r="I364" s="20"/>
    </row>
    <row r="365" spans="1:9" ht="15" hidden="1">
      <c r="A365" s="110" t="s">
        <v>511</v>
      </c>
      <c r="B365" s="274"/>
      <c r="C365" s="291" t="s">
        <v>131</v>
      </c>
      <c r="D365" s="291" t="s">
        <v>131</v>
      </c>
      <c r="E365" s="275" t="s">
        <v>512</v>
      </c>
      <c r="F365" s="276"/>
      <c r="G365" s="615">
        <f>G366</f>
        <v>0</v>
      </c>
      <c r="H365" s="20"/>
      <c r="I365" s="20"/>
    </row>
    <row r="366" spans="1:9" ht="15" hidden="1">
      <c r="A366" s="109" t="s">
        <v>501</v>
      </c>
      <c r="B366" s="274"/>
      <c r="C366" s="291" t="s">
        <v>131</v>
      </c>
      <c r="D366" s="291" t="s">
        <v>131</v>
      </c>
      <c r="E366" s="275" t="s">
        <v>512</v>
      </c>
      <c r="F366" s="276" t="s">
        <v>176</v>
      </c>
      <c r="G366" s="258"/>
      <c r="H366" s="20"/>
      <c r="I366" s="20"/>
    </row>
    <row r="367" spans="1:9" ht="15">
      <c r="A367" s="109" t="s">
        <v>188</v>
      </c>
      <c r="B367" s="274"/>
      <c r="C367" s="275" t="s">
        <v>5</v>
      </c>
      <c r="D367" s="275" t="s">
        <v>189</v>
      </c>
      <c r="E367" s="275"/>
      <c r="F367" s="276"/>
      <c r="G367" s="258">
        <f>SUM(G368)</f>
        <v>220.10000000000002</v>
      </c>
      <c r="H367" s="20">
        <f>SUM(H368)</f>
        <v>0</v>
      </c>
      <c r="I367" s="20">
        <f>SUM(H367/G375*100)</f>
        <v>0</v>
      </c>
    </row>
    <row r="368" spans="1:9" ht="15">
      <c r="A368" s="109" t="s">
        <v>166</v>
      </c>
      <c r="B368" s="274"/>
      <c r="C368" s="275" t="s">
        <v>5</v>
      </c>
      <c r="D368" s="275" t="s">
        <v>391</v>
      </c>
      <c r="E368" s="275"/>
      <c r="F368" s="276"/>
      <c r="G368" s="258">
        <f>SUM(G369)</f>
        <v>220.10000000000002</v>
      </c>
      <c r="H368" s="20"/>
      <c r="I368" s="20" t="e">
        <f>SUM(H368/#REF!*100)</f>
        <v>#REF!</v>
      </c>
    </row>
    <row r="369" spans="1:9" ht="28.5">
      <c r="A369" s="110" t="s">
        <v>620</v>
      </c>
      <c r="B369" s="274"/>
      <c r="C369" s="275" t="s">
        <v>5</v>
      </c>
      <c r="D369" s="275" t="s">
        <v>391</v>
      </c>
      <c r="E369" s="275" t="s">
        <v>619</v>
      </c>
      <c r="F369" s="276"/>
      <c r="G369" s="258">
        <f>SUM(G370)</f>
        <v>220.10000000000002</v>
      </c>
      <c r="H369" s="78" t="e">
        <f>SUM(#REF!+#REF!)+#REF!+#REF!</f>
        <v>#REF!</v>
      </c>
      <c r="I369" s="78" t="e">
        <f>SUM(H369/G376*100)</f>
        <v>#REF!</v>
      </c>
    </row>
    <row r="370" spans="1:11" ht="15">
      <c r="A370" s="109" t="s">
        <v>501</v>
      </c>
      <c r="B370" s="274"/>
      <c r="C370" s="275" t="s">
        <v>5</v>
      </c>
      <c r="D370" s="275" t="s">
        <v>391</v>
      </c>
      <c r="E370" s="275" t="s">
        <v>619</v>
      </c>
      <c r="F370" s="276" t="s">
        <v>176</v>
      </c>
      <c r="G370" s="258">
        <f>620.1-400</f>
        <v>220.10000000000002</v>
      </c>
      <c r="H370" s="20" t="e">
        <f>SUM(H371)</f>
        <v>#REF!</v>
      </c>
      <c r="I370" s="20" t="e">
        <f>SUM(H370/#REF!*100)</f>
        <v>#REF!</v>
      </c>
      <c r="K370" s="86">
        <f>2500-783.6-471.1-625.2</f>
        <v>620.1000000000001</v>
      </c>
    </row>
    <row r="371" spans="1:9" ht="15">
      <c r="A371" s="109" t="s">
        <v>402</v>
      </c>
      <c r="B371" s="274"/>
      <c r="C371" s="275" t="s">
        <v>236</v>
      </c>
      <c r="D371" s="275" t="s">
        <v>189</v>
      </c>
      <c r="E371" s="275"/>
      <c r="F371" s="276"/>
      <c r="G371" s="258">
        <f>SUM(G372)</f>
        <v>27900</v>
      </c>
      <c r="H371" s="20" t="e">
        <f>SUM(H372+H374)</f>
        <v>#REF!</v>
      </c>
      <c r="I371" s="20" t="e">
        <f>SUM(H371/#REF!*100)</f>
        <v>#REF!</v>
      </c>
    </row>
    <row r="372" spans="1:9" ht="15">
      <c r="A372" s="109" t="s">
        <v>237</v>
      </c>
      <c r="B372" s="274"/>
      <c r="C372" s="275" t="s">
        <v>236</v>
      </c>
      <c r="D372" s="275" t="s">
        <v>460</v>
      </c>
      <c r="E372" s="275"/>
      <c r="F372" s="276"/>
      <c r="G372" s="258">
        <f>SUM(G373)</f>
        <v>27900</v>
      </c>
      <c r="H372" s="20">
        <f>SUM(H373)</f>
        <v>8068.7</v>
      </c>
      <c r="I372" s="20" t="e">
        <f>SUM(H372/#REF!*100)</f>
        <v>#REF!</v>
      </c>
    </row>
    <row r="373" spans="1:9" ht="15">
      <c r="A373" s="109" t="s">
        <v>403</v>
      </c>
      <c r="B373" s="274"/>
      <c r="C373" s="275" t="s">
        <v>236</v>
      </c>
      <c r="D373" s="275" t="s">
        <v>460</v>
      </c>
      <c r="E373" s="275" t="s">
        <v>404</v>
      </c>
      <c r="F373" s="278"/>
      <c r="G373" s="258">
        <f>SUM(G375)</f>
        <v>27900</v>
      </c>
      <c r="H373" s="20">
        <v>8068.7</v>
      </c>
      <c r="I373" s="20" t="e">
        <f>SUM(H373/#REF!*100)</f>
        <v>#REF!</v>
      </c>
    </row>
    <row r="374" spans="1:9" ht="15">
      <c r="A374" s="109" t="s">
        <v>405</v>
      </c>
      <c r="B374" s="274"/>
      <c r="C374" s="275" t="s">
        <v>236</v>
      </c>
      <c r="D374" s="275" t="s">
        <v>460</v>
      </c>
      <c r="E374" s="275" t="s">
        <v>406</v>
      </c>
      <c r="F374" s="278"/>
      <c r="G374" s="258">
        <f>SUM(G375)</f>
        <v>27900</v>
      </c>
      <c r="H374" s="20" t="e">
        <f>SUM(H375)+#REF!+#REF!</f>
        <v>#REF!</v>
      </c>
      <c r="I374" s="20" t="e">
        <f>SUM(H374/#REF!*100)</f>
        <v>#REF!</v>
      </c>
    </row>
    <row r="375" spans="1:9" ht="15">
      <c r="A375" s="109" t="s">
        <v>508</v>
      </c>
      <c r="B375" s="274"/>
      <c r="C375" s="275" t="s">
        <v>236</v>
      </c>
      <c r="D375" s="275" t="s">
        <v>460</v>
      </c>
      <c r="E375" s="275" t="s">
        <v>406</v>
      </c>
      <c r="F375" s="278" t="s">
        <v>175</v>
      </c>
      <c r="G375" s="258">
        <f>30000-2500+400</f>
        <v>27900</v>
      </c>
      <c r="H375" s="20" t="e">
        <f>SUM(H376+#REF!)</f>
        <v>#REF!</v>
      </c>
      <c r="I375" s="20" t="e">
        <f>SUM(H375/#REF!*100)</f>
        <v>#REF!</v>
      </c>
    </row>
    <row r="376" spans="1:9" ht="30">
      <c r="A376" s="112" t="s">
        <v>261</v>
      </c>
      <c r="B376" s="281" t="s">
        <v>262</v>
      </c>
      <c r="C376" s="282"/>
      <c r="D376" s="282"/>
      <c r="E376" s="282"/>
      <c r="F376" s="283"/>
      <c r="G376" s="260">
        <f>SUM(G377+G393+G425)</f>
        <v>900133.2</v>
      </c>
      <c r="H376" s="20" t="e">
        <f>SUM(H377:H377+#REF!+#REF!+#REF!)+#REF!</f>
        <v>#REF!</v>
      </c>
      <c r="I376" s="20" t="e">
        <f>SUM(H376/#REF!*100)</f>
        <v>#REF!</v>
      </c>
    </row>
    <row r="377" spans="1:9" ht="15">
      <c r="A377" s="109" t="s">
        <v>121</v>
      </c>
      <c r="B377" s="274"/>
      <c r="C377" s="291" t="s">
        <v>122</v>
      </c>
      <c r="D377" s="275"/>
      <c r="E377" s="275"/>
      <c r="F377" s="276"/>
      <c r="G377" s="258">
        <f>SUM(G385+G378)</f>
        <v>10264.5</v>
      </c>
      <c r="H377" s="20">
        <v>50612.1</v>
      </c>
      <c r="I377" s="20" t="e">
        <f>SUM(H377/#REF!*100)</f>
        <v>#REF!</v>
      </c>
    </row>
    <row r="378" spans="1:9" ht="15">
      <c r="A378" s="172" t="s">
        <v>123</v>
      </c>
      <c r="B378" s="307"/>
      <c r="C378" s="303" t="s">
        <v>122</v>
      </c>
      <c r="D378" s="303" t="s">
        <v>124</v>
      </c>
      <c r="E378" s="303"/>
      <c r="F378" s="316"/>
      <c r="G378" s="258">
        <f>SUM(G381)+G383</f>
        <v>5641.7</v>
      </c>
      <c r="H378" s="20"/>
      <c r="I378" s="20"/>
    </row>
    <row r="379" spans="1:9" ht="15">
      <c r="A379" s="113" t="s">
        <v>541</v>
      </c>
      <c r="B379" s="290"/>
      <c r="C379" s="291" t="s">
        <v>122</v>
      </c>
      <c r="D379" s="291" t="s">
        <v>124</v>
      </c>
      <c r="E379" s="291" t="s">
        <v>542</v>
      </c>
      <c r="F379" s="292"/>
      <c r="G379" s="615">
        <f>G380</f>
        <v>5641.7</v>
      </c>
      <c r="H379" s="20"/>
      <c r="I379" s="20"/>
    </row>
    <row r="380" spans="1:9" ht="15">
      <c r="A380" s="113" t="s">
        <v>543</v>
      </c>
      <c r="B380" s="290"/>
      <c r="C380" s="291" t="s">
        <v>122</v>
      </c>
      <c r="D380" s="291" t="s">
        <v>124</v>
      </c>
      <c r="E380" s="291" t="s">
        <v>544</v>
      </c>
      <c r="F380" s="292"/>
      <c r="G380" s="615">
        <f>SUM(G381)+G383</f>
        <v>5641.7</v>
      </c>
      <c r="H380" s="20"/>
      <c r="I380" s="20"/>
    </row>
    <row r="381" spans="1:9" ht="15">
      <c r="A381" s="172" t="s">
        <v>6</v>
      </c>
      <c r="B381" s="307"/>
      <c r="C381" s="303" t="s">
        <v>122</v>
      </c>
      <c r="D381" s="303" t="s">
        <v>124</v>
      </c>
      <c r="E381" s="302" t="s">
        <v>545</v>
      </c>
      <c r="F381" s="304"/>
      <c r="G381" s="258">
        <f>SUM(G382)</f>
        <v>4100</v>
      </c>
      <c r="H381" s="20"/>
      <c r="I381" s="20"/>
    </row>
    <row r="382" spans="1:9" ht="15">
      <c r="A382" s="109" t="s">
        <v>501</v>
      </c>
      <c r="B382" s="274"/>
      <c r="C382" s="303" t="s">
        <v>122</v>
      </c>
      <c r="D382" s="303" t="s">
        <v>124</v>
      </c>
      <c r="E382" s="302" t="s">
        <v>545</v>
      </c>
      <c r="F382" s="304" t="s">
        <v>176</v>
      </c>
      <c r="G382" s="258">
        <v>4100</v>
      </c>
      <c r="H382" s="20"/>
      <c r="I382" s="20"/>
    </row>
    <row r="383" spans="1:9" ht="57">
      <c r="A383" s="109" t="s">
        <v>736</v>
      </c>
      <c r="B383" s="274"/>
      <c r="C383" s="303" t="s">
        <v>122</v>
      </c>
      <c r="D383" s="303" t="s">
        <v>124</v>
      </c>
      <c r="E383" s="302" t="s">
        <v>737</v>
      </c>
      <c r="F383" s="304"/>
      <c r="G383" s="258">
        <f>SUM(G384)</f>
        <v>1541.7</v>
      </c>
      <c r="H383" s="20">
        <v>5387.8</v>
      </c>
      <c r="I383" s="20" t="e">
        <f>SUM(H383/#REF!*100)</f>
        <v>#REF!</v>
      </c>
    </row>
    <row r="384" spans="1:9" ht="15">
      <c r="A384" s="109" t="s">
        <v>501</v>
      </c>
      <c r="B384" s="274"/>
      <c r="C384" s="303" t="s">
        <v>122</v>
      </c>
      <c r="D384" s="303" t="s">
        <v>124</v>
      </c>
      <c r="E384" s="302" t="s">
        <v>737</v>
      </c>
      <c r="F384" s="304" t="s">
        <v>176</v>
      </c>
      <c r="G384" s="258">
        <v>1541.7</v>
      </c>
      <c r="H384" s="20" t="e">
        <f>SUM(H385)</f>
        <v>#REF!</v>
      </c>
      <c r="I384" s="20" t="e">
        <f>SUM(H384/#REF!*100)</f>
        <v>#REF!</v>
      </c>
    </row>
    <row r="385" spans="1:9" ht="15">
      <c r="A385" s="113" t="s">
        <v>418</v>
      </c>
      <c r="B385" s="290"/>
      <c r="C385" s="291" t="s">
        <v>122</v>
      </c>
      <c r="D385" s="291" t="s">
        <v>408</v>
      </c>
      <c r="E385" s="275"/>
      <c r="F385" s="277"/>
      <c r="G385" s="258">
        <f>SUM(G386)</f>
        <v>4622.8</v>
      </c>
      <c r="H385" s="20" t="e">
        <f>SUM(H386)</f>
        <v>#REF!</v>
      </c>
      <c r="I385" s="20" t="e">
        <f>SUM(H385/#REF!*100)</f>
        <v>#REF!</v>
      </c>
    </row>
    <row r="386" spans="1:9" ht="15">
      <c r="A386" s="113" t="s">
        <v>420</v>
      </c>
      <c r="B386" s="274"/>
      <c r="C386" s="291" t="s">
        <v>122</v>
      </c>
      <c r="D386" s="291" t="s">
        <v>408</v>
      </c>
      <c r="E386" s="280" t="s">
        <v>421</v>
      </c>
      <c r="F386" s="277"/>
      <c r="G386" s="258">
        <f>SUM(G387)</f>
        <v>4622.8</v>
      </c>
      <c r="H386" s="20" t="e">
        <f>SUM(#REF!+#REF!)</f>
        <v>#REF!</v>
      </c>
      <c r="I386" s="20" t="e">
        <f>SUM(H386/#REF!*100)</f>
        <v>#REF!</v>
      </c>
    </row>
    <row r="387" spans="1:9" ht="15">
      <c r="A387" s="113" t="s">
        <v>15</v>
      </c>
      <c r="B387" s="290"/>
      <c r="C387" s="291" t="s">
        <v>122</v>
      </c>
      <c r="D387" s="291" t="s">
        <v>408</v>
      </c>
      <c r="E387" s="291" t="s">
        <v>617</v>
      </c>
      <c r="F387" s="292"/>
      <c r="G387" s="615">
        <f>SUM(G388)+G390</f>
        <v>4622.8</v>
      </c>
      <c r="H387" s="20">
        <v>1711.3</v>
      </c>
      <c r="I387" s="20" t="e">
        <f>SUM(H387/#REF!*100)</f>
        <v>#REF!</v>
      </c>
    </row>
    <row r="388" spans="1:9" ht="28.5">
      <c r="A388" s="113" t="s">
        <v>205</v>
      </c>
      <c r="B388" s="290"/>
      <c r="C388" s="291" t="s">
        <v>122</v>
      </c>
      <c r="D388" s="291" t="s">
        <v>408</v>
      </c>
      <c r="E388" s="291" t="s">
        <v>618</v>
      </c>
      <c r="F388" s="292"/>
      <c r="G388" s="615">
        <f>G389</f>
        <v>4547.8</v>
      </c>
      <c r="H388" s="20">
        <v>53118.9</v>
      </c>
      <c r="I388" s="20" t="e">
        <f>SUM(H388/G400*100)</f>
        <v>#DIV/0!</v>
      </c>
    </row>
    <row r="389" spans="1:9" ht="27.75" customHeight="1">
      <c r="A389" s="113" t="s">
        <v>524</v>
      </c>
      <c r="B389" s="290"/>
      <c r="C389" s="291" t="s">
        <v>122</v>
      </c>
      <c r="D389" s="291" t="s">
        <v>408</v>
      </c>
      <c r="E389" s="291" t="s">
        <v>618</v>
      </c>
      <c r="F389" s="292" t="s">
        <v>513</v>
      </c>
      <c r="G389" s="615">
        <v>4547.8</v>
      </c>
      <c r="H389" s="20">
        <v>27.5</v>
      </c>
      <c r="I389" s="20" t="e">
        <f>SUM(H389/G405*100)</f>
        <v>#DIV/0!</v>
      </c>
    </row>
    <row r="390" spans="1:9" ht="15">
      <c r="A390" s="113" t="s">
        <v>154</v>
      </c>
      <c r="B390" s="290"/>
      <c r="C390" s="291" t="s">
        <v>122</v>
      </c>
      <c r="D390" s="291" t="s">
        <v>408</v>
      </c>
      <c r="E390" s="291" t="s">
        <v>738</v>
      </c>
      <c r="F390" s="292"/>
      <c r="G390" s="615">
        <f>SUM(G391)</f>
        <v>75</v>
      </c>
      <c r="H390" s="20"/>
      <c r="I390" s="20"/>
    </row>
    <row r="391" spans="1:9" ht="15">
      <c r="A391" s="172" t="s">
        <v>154</v>
      </c>
      <c r="B391" s="290"/>
      <c r="C391" s="291" t="s">
        <v>122</v>
      </c>
      <c r="D391" s="291" t="s">
        <v>408</v>
      </c>
      <c r="E391" s="291" t="s">
        <v>739</v>
      </c>
      <c r="F391" s="292"/>
      <c r="G391" s="615">
        <f>SUM(G392)</f>
        <v>75</v>
      </c>
      <c r="H391" s="20"/>
      <c r="I391" s="20"/>
    </row>
    <row r="392" spans="1:9" ht="28.5">
      <c r="A392" s="114" t="s">
        <v>524</v>
      </c>
      <c r="B392" s="290"/>
      <c r="C392" s="291" t="s">
        <v>122</v>
      </c>
      <c r="D392" s="291" t="s">
        <v>408</v>
      </c>
      <c r="E392" s="291" t="s">
        <v>739</v>
      </c>
      <c r="F392" s="292" t="s">
        <v>513</v>
      </c>
      <c r="G392" s="615">
        <v>75</v>
      </c>
      <c r="H392" s="20"/>
      <c r="I392" s="20"/>
    </row>
    <row r="393" spans="1:9" ht="15">
      <c r="A393" s="109" t="s">
        <v>116</v>
      </c>
      <c r="B393" s="274"/>
      <c r="C393" s="275" t="s">
        <v>117</v>
      </c>
      <c r="D393" s="275"/>
      <c r="E393" s="275"/>
      <c r="F393" s="276"/>
      <c r="G393" s="258">
        <f>SUM(G394+G414)+G421</f>
        <v>64613.700000000004</v>
      </c>
      <c r="H393" s="20">
        <f>SUM(H394)</f>
        <v>25635</v>
      </c>
      <c r="I393" s="20">
        <f>SUM(H393/G406*100)</f>
        <v>39.832682533442515</v>
      </c>
    </row>
    <row r="394" spans="1:9" ht="15">
      <c r="A394" s="109" t="s">
        <v>343</v>
      </c>
      <c r="B394" s="274"/>
      <c r="C394" s="280" t="s">
        <v>117</v>
      </c>
      <c r="D394" s="280" t="s">
        <v>462</v>
      </c>
      <c r="E394" s="275"/>
      <c r="F394" s="276"/>
      <c r="G394" s="258">
        <f>SUM(G395+G398+G401+G411)</f>
        <v>64606.700000000004</v>
      </c>
      <c r="H394" s="20">
        <v>25635</v>
      </c>
      <c r="I394" s="20">
        <f>SUM(H394/G407*100)</f>
        <v>59.929445263972426</v>
      </c>
    </row>
    <row r="395" spans="1:9" ht="15" hidden="1">
      <c r="A395" s="109" t="s">
        <v>344</v>
      </c>
      <c r="B395" s="281"/>
      <c r="C395" s="280" t="s">
        <v>117</v>
      </c>
      <c r="D395" s="280" t="s">
        <v>462</v>
      </c>
      <c r="E395" s="280" t="s">
        <v>345</v>
      </c>
      <c r="F395" s="277"/>
      <c r="G395" s="258">
        <f>SUM(G396)</f>
        <v>0</v>
      </c>
      <c r="H395" s="20" t="e">
        <f>SUM(H396)</f>
        <v>#REF!</v>
      </c>
      <c r="I395" s="20" t="e">
        <f aca="true" t="shared" si="8" ref="I395:I402">SUM(H395/G411*100)</f>
        <v>#REF!</v>
      </c>
    </row>
    <row r="396" spans="1:9" ht="28.5" hidden="1">
      <c r="A396" s="109" t="s">
        <v>56</v>
      </c>
      <c r="B396" s="281"/>
      <c r="C396" s="280" t="s">
        <v>117</v>
      </c>
      <c r="D396" s="280" t="s">
        <v>462</v>
      </c>
      <c r="E396" s="280" t="s">
        <v>346</v>
      </c>
      <c r="F396" s="277"/>
      <c r="G396" s="258">
        <f>SUM(G397)</f>
        <v>0</v>
      </c>
      <c r="H396" s="20" t="e">
        <f>SUM(#REF!+H399+H401)</f>
        <v>#REF!</v>
      </c>
      <c r="I396" s="20" t="e">
        <f t="shared" si="8"/>
        <v>#REF!</v>
      </c>
    </row>
    <row r="397" spans="1:9" ht="15" hidden="1">
      <c r="A397" s="114" t="s">
        <v>57</v>
      </c>
      <c r="B397" s="317"/>
      <c r="C397" s="280" t="s">
        <v>117</v>
      </c>
      <c r="D397" s="280" t="s">
        <v>462</v>
      </c>
      <c r="E397" s="280" t="s">
        <v>346</v>
      </c>
      <c r="F397" s="278" t="s">
        <v>247</v>
      </c>
      <c r="G397" s="258"/>
      <c r="H397" s="20">
        <v>25635</v>
      </c>
      <c r="I397" s="20" t="e">
        <f t="shared" si="8"/>
        <v>#DIV/0!</v>
      </c>
    </row>
    <row r="398" spans="1:9" ht="15" hidden="1">
      <c r="A398" s="109" t="s">
        <v>320</v>
      </c>
      <c r="B398" s="274"/>
      <c r="C398" s="280" t="s">
        <v>117</v>
      </c>
      <c r="D398" s="280" t="s">
        <v>462</v>
      </c>
      <c r="E398" s="280" t="s">
        <v>321</v>
      </c>
      <c r="F398" s="277"/>
      <c r="G398" s="258">
        <f>SUM(G399)</f>
        <v>0</v>
      </c>
      <c r="H398" s="20">
        <f>SUM(H412+H399)</f>
        <v>0</v>
      </c>
      <c r="I398" s="20" t="e">
        <f t="shared" si="8"/>
        <v>#DIV/0!</v>
      </c>
    </row>
    <row r="399" spans="1:9" ht="28.5" hidden="1">
      <c r="A399" s="109" t="s">
        <v>56</v>
      </c>
      <c r="B399" s="281"/>
      <c r="C399" s="280" t="s">
        <v>117</v>
      </c>
      <c r="D399" s="280" t="s">
        <v>462</v>
      </c>
      <c r="E399" s="280" t="s">
        <v>322</v>
      </c>
      <c r="F399" s="277"/>
      <c r="G399" s="258">
        <f>SUM(G400)</f>
        <v>0</v>
      </c>
      <c r="H399" s="20">
        <f>SUM(H400)</f>
        <v>0</v>
      </c>
      <c r="I399" s="20" t="e">
        <f t="shared" si="8"/>
        <v>#DIV/0!</v>
      </c>
    </row>
    <row r="400" spans="1:9" ht="15" hidden="1">
      <c r="A400" s="114" t="s">
        <v>57</v>
      </c>
      <c r="B400" s="317"/>
      <c r="C400" s="280" t="s">
        <v>117</v>
      </c>
      <c r="D400" s="280" t="s">
        <v>462</v>
      </c>
      <c r="E400" s="280" t="s">
        <v>322</v>
      </c>
      <c r="F400" s="278" t="s">
        <v>247</v>
      </c>
      <c r="G400" s="258"/>
      <c r="H400" s="20">
        <f>SUM(H401)</f>
        <v>0</v>
      </c>
      <c r="I400" s="20" t="e">
        <f t="shared" si="8"/>
        <v>#DIV/0!</v>
      </c>
    </row>
    <row r="401" spans="1:9" ht="15">
      <c r="A401" s="109" t="s">
        <v>323</v>
      </c>
      <c r="B401" s="274"/>
      <c r="C401" s="280" t="s">
        <v>117</v>
      </c>
      <c r="D401" s="280" t="s">
        <v>462</v>
      </c>
      <c r="E401" s="280" t="s">
        <v>324</v>
      </c>
      <c r="F401" s="276"/>
      <c r="G401" s="258">
        <f>SUM(G402)</f>
        <v>64606.700000000004</v>
      </c>
      <c r="H401" s="20"/>
      <c r="I401" s="20" t="e">
        <f t="shared" si="8"/>
        <v>#DIV/0!</v>
      </c>
    </row>
    <row r="402" spans="1:9" ht="28.5">
      <c r="A402" s="109" t="s">
        <v>56</v>
      </c>
      <c r="B402" s="274"/>
      <c r="C402" s="280" t="s">
        <v>117</v>
      </c>
      <c r="D402" s="280" t="s">
        <v>462</v>
      </c>
      <c r="E402" s="280" t="s">
        <v>325</v>
      </c>
      <c r="F402" s="276"/>
      <c r="G402" s="258">
        <f>SUM(G406+G404+G403)</f>
        <v>64606.700000000004</v>
      </c>
      <c r="H402" s="20" t="e">
        <f>SUM(#REF!)</f>
        <v>#REF!</v>
      </c>
      <c r="I402" s="20" t="e">
        <f t="shared" si="8"/>
        <v>#REF!</v>
      </c>
    </row>
    <row r="403" spans="1:9" ht="14.25" customHeight="1">
      <c r="A403" s="109" t="s">
        <v>500</v>
      </c>
      <c r="B403" s="274"/>
      <c r="C403" s="280" t="s">
        <v>117</v>
      </c>
      <c r="D403" s="280" t="s">
        <v>462</v>
      </c>
      <c r="E403" s="275" t="s">
        <v>325</v>
      </c>
      <c r="F403" s="277" t="s">
        <v>120</v>
      </c>
      <c r="G403" s="258">
        <v>250</v>
      </c>
      <c r="H403" s="20"/>
      <c r="I403" s="20"/>
    </row>
    <row r="404" spans="1:9" ht="42.75" hidden="1">
      <c r="A404" s="114" t="s">
        <v>62</v>
      </c>
      <c r="B404" s="317"/>
      <c r="C404" s="280" t="s">
        <v>117</v>
      </c>
      <c r="D404" s="280" t="s">
        <v>462</v>
      </c>
      <c r="E404" s="280" t="s">
        <v>326</v>
      </c>
      <c r="F404" s="278"/>
      <c r="G404" s="258">
        <f>SUM(G405)</f>
        <v>0</v>
      </c>
      <c r="H404" s="20"/>
      <c r="I404" s="20"/>
    </row>
    <row r="405" spans="1:9" ht="15" hidden="1">
      <c r="A405" s="114" t="s">
        <v>57</v>
      </c>
      <c r="B405" s="317"/>
      <c r="C405" s="280" t="s">
        <v>117</v>
      </c>
      <c r="D405" s="280" t="s">
        <v>462</v>
      </c>
      <c r="E405" s="280" t="s">
        <v>326</v>
      </c>
      <c r="F405" s="278" t="s">
        <v>247</v>
      </c>
      <c r="G405" s="258"/>
      <c r="H405" s="20" t="e">
        <f>SUM(H412+H416+#REF!+#REF!+H409)</f>
        <v>#REF!</v>
      </c>
      <c r="I405" s="20" t="e">
        <f>SUM(H405/#REF!*100)</f>
        <v>#REF!</v>
      </c>
    </row>
    <row r="406" spans="1:9" ht="57">
      <c r="A406" s="109" t="s">
        <v>467</v>
      </c>
      <c r="B406" s="274"/>
      <c r="C406" s="280" t="s">
        <v>117</v>
      </c>
      <c r="D406" s="280" t="s">
        <v>462</v>
      </c>
      <c r="E406" s="280" t="s">
        <v>329</v>
      </c>
      <c r="F406" s="276"/>
      <c r="G406" s="258">
        <f>SUM(G407:G410)</f>
        <v>64356.700000000004</v>
      </c>
      <c r="H406" s="20"/>
      <c r="I406" s="20"/>
    </row>
    <row r="407" spans="1:9" ht="28.5">
      <c r="A407" s="109" t="s">
        <v>495</v>
      </c>
      <c r="B407" s="274"/>
      <c r="C407" s="280" t="s">
        <v>117</v>
      </c>
      <c r="D407" s="280" t="s">
        <v>462</v>
      </c>
      <c r="E407" s="280" t="s">
        <v>329</v>
      </c>
      <c r="F407" s="276" t="s">
        <v>496</v>
      </c>
      <c r="G407" s="258">
        <v>42775.3</v>
      </c>
      <c r="H407" s="20"/>
      <c r="I407" s="20"/>
    </row>
    <row r="408" spans="1:9" ht="14.25" customHeight="1">
      <c r="A408" s="109" t="s">
        <v>500</v>
      </c>
      <c r="B408" s="274"/>
      <c r="C408" s="280" t="s">
        <v>117</v>
      </c>
      <c r="D408" s="280" t="s">
        <v>462</v>
      </c>
      <c r="E408" s="280" t="s">
        <v>329</v>
      </c>
      <c r="F408" s="276" t="s">
        <v>120</v>
      </c>
      <c r="G408" s="258">
        <v>20850.2</v>
      </c>
      <c r="H408" s="20"/>
      <c r="I408" s="20"/>
    </row>
    <row r="409" spans="1:9" ht="15">
      <c r="A409" s="109" t="s">
        <v>505</v>
      </c>
      <c r="B409" s="274"/>
      <c r="C409" s="280" t="s">
        <v>117</v>
      </c>
      <c r="D409" s="280" t="s">
        <v>462</v>
      </c>
      <c r="E409" s="280" t="s">
        <v>329</v>
      </c>
      <c r="F409" s="276" t="s">
        <v>506</v>
      </c>
      <c r="G409" s="258">
        <v>26.9</v>
      </c>
      <c r="H409" s="20">
        <f>SUM(H410)</f>
        <v>17823.6</v>
      </c>
      <c r="I409" s="20" t="e">
        <f>SUM(H409/#REF!*100)</f>
        <v>#REF!</v>
      </c>
    </row>
    <row r="410" spans="1:9" ht="15">
      <c r="A410" s="109" t="s">
        <v>501</v>
      </c>
      <c r="B410" s="274"/>
      <c r="C410" s="280" t="s">
        <v>117</v>
      </c>
      <c r="D410" s="280" t="s">
        <v>462</v>
      </c>
      <c r="E410" s="280" t="s">
        <v>329</v>
      </c>
      <c r="F410" s="276" t="s">
        <v>176</v>
      </c>
      <c r="G410" s="258">
        <v>704.3</v>
      </c>
      <c r="H410" s="20">
        <f>SUM(H411+H412+H414)</f>
        <v>17823.6</v>
      </c>
      <c r="I410" s="20" t="e">
        <f>SUM(H410/#REF!*100)</f>
        <v>#REF!</v>
      </c>
    </row>
    <row r="411" spans="1:9" ht="15" hidden="1">
      <c r="A411" s="109" t="s">
        <v>330</v>
      </c>
      <c r="B411" s="284"/>
      <c r="C411" s="280" t="s">
        <v>117</v>
      </c>
      <c r="D411" s="280" t="s">
        <v>462</v>
      </c>
      <c r="E411" s="280" t="s">
        <v>331</v>
      </c>
      <c r="F411" s="277"/>
      <c r="G411" s="258">
        <f>SUM(G412)</f>
        <v>0</v>
      </c>
      <c r="H411" s="20">
        <v>17823.6</v>
      </c>
      <c r="I411" s="20" t="e">
        <f>SUM(H411/#REF!*100)</f>
        <v>#REF!</v>
      </c>
    </row>
    <row r="412" spans="1:9" ht="28.5" hidden="1">
      <c r="A412" s="109" t="s">
        <v>56</v>
      </c>
      <c r="B412" s="281"/>
      <c r="C412" s="280" t="s">
        <v>117</v>
      </c>
      <c r="D412" s="280" t="s">
        <v>462</v>
      </c>
      <c r="E412" s="280" t="s">
        <v>332</v>
      </c>
      <c r="F412" s="277"/>
      <c r="G412" s="258">
        <f>SUM(G413)</f>
        <v>0</v>
      </c>
      <c r="H412" s="20">
        <f>SUM(H413)</f>
        <v>0</v>
      </c>
      <c r="I412" s="20" t="e">
        <f>SUM(H412/#REF!*100)</f>
        <v>#REF!</v>
      </c>
    </row>
    <row r="413" spans="1:9" ht="15" hidden="1">
      <c r="A413" s="114" t="s">
        <v>57</v>
      </c>
      <c r="B413" s="274"/>
      <c r="C413" s="280" t="s">
        <v>117</v>
      </c>
      <c r="D413" s="280" t="s">
        <v>462</v>
      </c>
      <c r="E413" s="280" t="s">
        <v>332</v>
      </c>
      <c r="F413" s="276" t="s">
        <v>247</v>
      </c>
      <c r="G413" s="258"/>
      <c r="H413" s="20">
        <f>SUM(H414)</f>
        <v>0</v>
      </c>
      <c r="I413" s="20" t="e">
        <f>SUM(H413/#REF!*100)</f>
        <v>#REF!</v>
      </c>
    </row>
    <row r="414" spans="1:9" s="104" customFormat="1" ht="15" hidden="1">
      <c r="A414" s="109" t="s">
        <v>118</v>
      </c>
      <c r="B414" s="274"/>
      <c r="C414" s="275" t="s">
        <v>117</v>
      </c>
      <c r="D414" s="275" t="s">
        <v>117</v>
      </c>
      <c r="E414" s="280"/>
      <c r="F414" s="276"/>
      <c r="G414" s="258">
        <f>SUM(G415+G418)</f>
        <v>0</v>
      </c>
      <c r="H414" s="20"/>
      <c r="I414" s="20" t="e">
        <f>SUM(H414/#REF!*100)</f>
        <v>#REF!</v>
      </c>
    </row>
    <row r="415" spans="1:9" s="104" customFormat="1" ht="15" hidden="1">
      <c r="A415" s="113" t="s">
        <v>225</v>
      </c>
      <c r="B415" s="284"/>
      <c r="C415" s="280" t="s">
        <v>117</v>
      </c>
      <c r="D415" s="280" t="s">
        <v>117</v>
      </c>
      <c r="E415" s="280" t="s">
        <v>226</v>
      </c>
      <c r="F415" s="277"/>
      <c r="G415" s="258">
        <f>SUM(G416)</f>
        <v>0</v>
      </c>
      <c r="H415" s="20">
        <f>SUM(H416)</f>
        <v>119.8</v>
      </c>
      <c r="I415" s="20" t="e">
        <f>SUM(H415/#REF!*100)</f>
        <v>#REF!</v>
      </c>
    </row>
    <row r="416" spans="1:9" s="104" customFormat="1" ht="28.5" hidden="1">
      <c r="A416" s="109" t="s">
        <v>56</v>
      </c>
      <c r="B416" s="284"/>
      <c r="C416" s="280" t="s">
        <v>117</v>
      </c>
      <c r="D416" s="280" t="s">
        <v>117</v>
      </c>
      <c r="E416" s="280" t="s">
        <v>229</v>
      </c>
      <c r="F416" s="277"/>
      <c r="G416" s="258">
        <f>SUM(G417)</f>
        <v>0</v>
      </c>
      <c r="H416" s="20">
        <f>SUM(H417)</f>
        <v>119.8</v>
      </c>
      <c r="I416" s="20" t="e">
        <f>SUM(H416/#REF!*100)</f>
        <v>#REF!</v>
      </c>
    </row>
    <row r="417" spans="1:9" s="104" customFormat="1" ht="15" hidden="1">
      <c r="A417" s="114" t="s">
        <v>57</v>
      </c>
      <c r="B417" s="284"/>
      <c r="C417" s="280" t="s">
        <v>117</v>
      </c>
      <c r="D417" s="280" t="s">
        <v>117</v>
      </c>
      <c r="E417" s="280" t="s">
        <v>229</v>
      </c>
      <c r="F417" s="277" t="s">
        <v>247</v>
      </c>
      <c r="G417" s="258"/>
      <c r="H417" s="20">
        <v>119.8</v>
      </c>
      <c r="I417" s="20" t="e">
        <f>SUM(H417/#REF!*100)</f>
        <v>#REF!</v>
      </c>
    </row>
    <row r="418" spans="1:9" ht="15" hidden="1">
      <c r="A418" s="114" t="s">
        <v>128</v>
      </c>
      <c r="B418" s="318"/>
      <c r="C418" s="280" t="s">
        <v>117</v>
      </c>
      <c r="D418" s="280" t="s">
        <v>117</v>
      </c>
      <c r="E418" s="280" t="s">
        <v>129</v>
      </c>
      <c r="F418" s="278"/>
      <c r="G418" s="258">
        <f>SUM(G419)</f>
        <v>0</v>
      </c>
      <c r="H418" s="20" t="e">
        <f>SUM(#REF!+H428)</f>
        <v>#REF!</v>
      </c>
      <c r="I418" s="20" t="e">
        <f>SUM(H418/#REF!*100)</f>
        <v>#REF!</v>
      </c>
    </row>
    <row r="419" spans="1:9" ht="42.75" hidden="1">
      <c r="A419" s="117" t="s">
        <v>369</v>
      </c>
      <c r="B419" s="318"/>
      <c r="C419" s="280" t="s">
        <v>117</v>
      </c>
      <c r="D419" s="280" t="s">
        <v>117</v>
      </c>
      <c r="E419" s="280" t="s">
        <v>368</v>
      </c>
      <c r="F419" s="278"/>
      <c r="G419" s="258">
        <f>SUM(G420)</f>
        <v>0</v>
      </c>
      <c r="H419" s="20"/>
      <c r="I419" s="20"/>
    </row>
    <row r="420" spans="1:9" ht="15" hidden="1">
      <c r="A420" s="114" t="s">
        <v>223</v>
      </c>
      <c r="B420" s="318"/>
      <c r="C420" s="280" t="s">
        <v>117</v>
      </c>
      <c r="D420" s="280" t="s">
        <v>117</v>
      </c>
      <c r="E420" s="280" t="s">
        <v>368</v>
      </c>
      <c r="F420" s="278" t="s">
        <v>224</v>
      </c>
      <c r="G420" s="258"/>
      <c r="H420" s="20"/>
      <c r="I420" s="20"/>
    </row>
    <row r="421" spans="1:9" ht="15">
      <c r="A421" s="114" t="s">
        <v>231</v>
      </c>
      <c r="B421" s="318"/>
      <c r="C421" s="280" t="s">
        <v>117</v>
      </c>
      <c r="D421" s="280" t="s">
        <v>300</v>
      </c>
      <c r="E421" s="280"/>
      <c r="F421" s="278"/>
      <c r="G421" s="258">
        <f>SUM(G422)</f>
        <v>7</v>
      </c>
      <c r="H421" s="20"/>
      <c r="I421" s="20"/>
    </row>
    <row r="422" spans="1:9" ht="15">
      <c r="A422" s="114" t="s">
        <v>681</v>
      </c>
      <c r="B422" s="318"/>
      <c r="C422" s="280" t="s">
        <v>117</v>
      </c>
      <c r="D422" s="280" t="s">
        <v>300</v>
      </c>
      <c r="E422" s="280" t="s">
        <v>683</v>
      </c>
      <c r="F422" s="278"/>
      <c r="G422" s="258">
        <f>SUM(G423)</f>
        <v>7</v>
      </c>
      <c r="H422" s="20"/>
      <c r="I422" s="20"/>
    </row>
    <row r="423" spans="1:9" ht="28.5">
      <c r="A423" s="114" t="s">
        <v>682</v>
      </c>
      <c r="B423" s="318"/>
      <c r="C423" s="280" t="s">
        <v>117</v>
      </c>
      <c r="D423" s="280" t="s">
        <v>300</v>
      </c>
      <c r="E423" s="280" t="s">
        <v>684</v>
      </c>
      <c r="F423" s="278"/>
      <c r="G423" s="258">
        <f>SUM(G424)</f>
        <v>7</v>
      </c>
      <c r="H423" s="20" t="e">
        <f>SUM(H424+H426)</f>
        <v>#REF!</v>
      </c>
      <c r="I423" s="20" t="e">
        <f>SUM(H423/G436*100)</f>
        <v>#REF!</v>
      </c>
    </row>
    <row r="424" spans="1:9" ht="28.5">
      <c r="A424" s="109" t="s">
        <v>495</v>
      </c>
      <c r="B424" s="318"/>
      <c r="C424" s="280" t="s">
        <v>117</v>
      </c>
      <c r="D424" s="280" t="s">
        <v>300</v>
      </c>
      <c r="E424" s="280" t="s">
        <v>684</v>
      </c>
      <c r="F424" s="278" t="s">
        <v>496</v>
      </c>
      <c r="G424" s="258">
        <v>7</v>
      </c>
      <c r="H424" s="20" t="e">
        <f>SUM(#REF!)</f>
        <v>#REF!</v>
      </c>
      <c r="I424" s="20" t="e">
        <f>SUM(H424/G437*100)</f>
        <v>#REF!</v>
      </c>
    </row>
    <row r="425" spans="1:9" ht="15">
      <c r="A425" s="109" t="s">
        <v>188</v>
      </c>
      <c r="B425" s="274"/>
      <c r="C425" s="275" t="s">
        <v>5</v>
      </c>
      <c r="D425" s="275"/>
      <c r="E425" s="275"/>
      <c r="F425" s="276"/>
      <c r="G425" s="258">
        <f>SUM(G426+G430+G444+G515+G527)</f>
        <v>825255</v>
      </c>
      <c r="H425" s="20"/>
      <c r="I425" s="20"/>
    </row>
    <row r="426" spans="1:9" ht="15">
      <c r="A426" s="109" t="s">
        <v>190</v>
      </c>
      <c r="B426" s="274"/>
      <c r="C426" s="275" t="s">
        <v>5</v>
      </c>
      <c r="D426" s="275" t="s">
        <v>460</v>
      </c>
      <c r="E426" s="275"/>
      <c r="F426" s="276"/>
      <c r="G426" s="258">
        <f>SUM(G427)</f>
        <v>4242.6</v>
      </c>
      <c r="H426" s="20">
        <f>SUM(H427)</f>
        <v>16618.3</v>
      </c>
      <c r="I426" s="20">
        <f>SUM(H426/G440*100)</f>
        <v>33.1021391109314</v>
      </c>
    </row>
    <row r="427" spans="1:9" ht="15">
      <c r="A427" s="109" t="s">
        <v>191</v>
      </c>
      <c r="B427" s="274"/>
      <c r="C427" s="275" t="s">
        <v>5</v>
      </c>
      <c r="D427" s="275" t="s">
        <v>460</v>
      </c>
      <c r="E427" s="275" t="s">
        <v>192</v>
      </c>
      <c r="F427" s="276"/>
      <c r="G427" s="258">
        <f>SUM(G428)</f>
        <v>4242.6</v>
      </c>
      <c r="H427" s="20">
        <v>16618.3</v>
      </c>
      <c r="I427" s="20" t="e">
        <f>SUM(H427/#REF!*100)</f>
        <v>#REF!</v>
      </c>
    </row>
    <row r="428" spans="1:9" ht="28.5">
      <c r="A428" s="109" t="s">
        <v>193</v>
      </c>
      <c r="B428" s="274"/>
      <c r="C428" s="275" t="s">
        <v>5</v>
      </c>
      <c r="D428" s="275" t="s">
        <v>460</v>
      </c>
      <c r="E428" s="275" t="s">
        <v>194</v>
      </c>
      <c r="F428" s="276"/>
      <c r="G428" s="258">
        <f>SUM(G429)</f>
        <v>4242.6</v>
      </c>
      <c r="H428" s="20" t="e">
        <f>SUM(H432+H492+H496+H429)</f>
        <v>#REF!</v>
      </c>
      <c r="I428" s="20" t="e">
        <f>SUM(H428/G444*100)</f>
        <v>#REF!</v>
      </c>
    </row>
    <row r="429" spans="1:9" ht="15">
      <c r="A429" s="109" t="s">
        <v>505</v>
      </c>
      <c r="B429" s="274"/>
      <c r="C429" s="275" t="s">
        <v>5</v>
      </c>
      <c r="D429" s="275" t="s">
        <v>460</v>
      </c>
      <c r="E429" s="275" t="s">
        <v>194</v>
      </c>
      <c r="F429" s="276" t="s">
        <v>506</v>
      </c>
      <c r="G429" s="258">
        <v>4242.6</v>
      </c>
      <c r="H429" s="20">
        <f>SUM(H431)</f>
        <v>200</v>
      </c>
      <c r="I429" s="20" t="e">
        <f>SUM(H429/G445*100)</f>
        <v>#DIV/0!</v>
      </c>
    </row>
    <row r="430" spans="1:9" ht="14.25" customHeight="1">
      <c r="A430" s="109" t="s">
        <v>195</v>
      </c>
      <c r="B430" s="274"/>
      <c r="C430" s="280" t="s">
        <v>5</v>
      </c>
      <c r="D430" s="280" t="s">
        <v>462</v>
      </c>
      <c r="E430" s="275"/>
      <c r="F430" s="276"/>
      <c r="G430" s="258">
        <f>SUM(G431+G436)</f>
        <v>52273.1</v>
      </c>
      <c r="H430" s="20">
        <f>SUM(H431)</f>
        <v>200</v>
      </c>
      <c r="I430" s="20" t="e">
        <f>SUM(H430/G446*100)</f>
        <v>#DIV/0!</v>
      </c>
    </row>
    <row r="431" spans="1:9" ht="15" hidden="1">
      <c r="A431" s="118" t="s">
        <v>74</v>
      </c>
      <c r="B431" s="274"/>
      <c r="C431" s="280" t="s">
        <v>5</v>
      </c>
      <c r="D431" s="280" t="s">
        <v>462</v>
      </c>
      <c r="E431" s="280" t="s">
        <v>75</v>
      </c>
      <c r="F431" s="277"/>
      <c r="G431" s="258"/>
      <c r="H431" s="20">
        <v>200</v>
      </c>
      <c r="I431" s="20" t="e">
        <f>SUM(H431/G447*100)</f>
        <v>#DIV/0!</v>
      </c>
    </row>
    <row r="432" spans="1:9" ht="28.5" hidden="1">
      <c r="A432" s="118" t="s">
        <v>17</v>
      </c>
      <c r="B432" s="274"/>
      <c r="C432" s="280" t="s">
        <v>5</v>
      </c>
      <c r="D432" s="280" t="s">
        <v>462</v>
      </c>
      <c r="E432" s="280" t="s">
        <v>18</v>
      </c>
      <c r="F432" s="277"/>
      <c r="G432" s="258">
        <f>SUM(G433+G434)</f>
        <v>0</v>
      </c>
      <c r="H432" s="20" t="e">
        <f>SUM(H433+H435+H437+H443+H445+#REF!+#REF!+#REF!+#REF!+H463+#REF!+#REF!+#REF!+#REF!+#REF!+#REF!+#REF!+#REF!+#REF!+#REF!+H440)</f>
        <v>#REF!</v>
      </c>
      <c r="I432" s="20" t="e">
        <f>SUM(H432/G448*100)</f>
        <v>#REF!</v>
      </c>
    </row>
    <row r="433" spans="1:9" ht="24" customHeight="1" hidden="1">
      <c r="A433" s="113" t="s">
        <v>246</v>
      </c>
      <c r="B433" s="274"/>
      <c r="C433" s="280" t="s">
        <v>5</v>
      </c>
      <c r="D433" s="280" t="s">
        <v>462</v>
      </c>
      <c r="E433" s="280" t="s">
        <v>18</v>
      </c>
      <c r="F433" s="277" t="s">
        <v>247</v>
      </c>
      <c r="G433" s="258"/>
      <c r="H433" s="20">
        <f>SUM(H434:H434)</f>
        <v>0</v>
      </c>
      <c r="I433" s="20" t="e">
        <f>SUM(H433/#REF!*100)</f>
        <v>#REF!</v>
      </c>
    </row>
    <row r="434" spans="1:9" ht="28.5" hidden="1">
      <c r="A434" s="118" t="s">
        <v>19</v>
      </c>
      <c r="B434" s="274"/>
      <c r="C434" s="280" t="s">
        <v>5</v>
      </c>
      <c r="D434" s="280" t="s">
        <v>462</v>
      </c>
      <c r="E434" s="280" t="s">
        <v>20</v>
      </c>
      <c r="F434" s="277"/>
      <c r="G434" s="258">
        <f>SUM(G435)</f>
        <v>0</v>
      </c>
      <c r="H434" s="20"/>
      <c r="I434" s="20" t="e">
        <f>SUM(H434/#REF!*100)</f>
        <v>#REF!</v>
      </c>
    </row>
    <row r="435" spans="1:9" ht="15" hidden="1">
      <c r="A435" s="113" t="s">
        <v>246</v>
      </c>
      <c r="B435" s="274"/>
      <c r="C435" s="280" t="s">
        <v>5</v>
      </c>
      <c r="D435" s="280" t="s">
        <v>462</v>
      </c>
      <c r="E435" s="280" t="s">
        <v>20</v>
      </c>
      <c r="F435" s="277" t="s">
        <v>247</v>
      </c>
      <c r="G435" s="258"/>
      <c r="H435" s="20">
        <f>SUM(H436:H436)</f>
        <v>0</v>
      </c>
      <c r="I435" s="20" t="e">
        <f>SUM(H435/#REF!*100)</f>
        <v>#REF!</v>
      </c>
    </row>
    <row r="436" spans="1:9" ht="15">
      <c r="A436" s="118" t="s">
        <v>74</v>
      </c>
      <c r="B436" s="274"/>
      <c r="C436" s="280" t="s">
        <v>5</v>
      </c>
      <c r="D436" s="280" t="s">
        <v>462</v>
      </c>
      <c r="E436" s="280" t="s">
        <v>21</v>
      </c>
      <c r="F436" s="277"/>
      <c r="G436" s="258">
        <f>SUM(G437+G440)</f>
        <v>52273.1</v>
      </c>
      <c r="H436" s="20"/>
      <c r="I436" s="20" t="e">
        <f>SUM(H436/#REF!*100)</f>
        <v>#REF!</v>
      </c>
    </row>
    <row r="437" spans="1:9" ht="28.5">
      <c r="A437" s="113" t="s">
        <v>56</v>
      </c>
      <c r="B437" s="274"/>
      <c r="C437" s="280" t="s">
        <v>5</v>
      </c>
      <c r="D437" s="280" t="s">
        <v>462</v>
      </c>
      <c r="E437" s="280" t="s">
        <v>22</v>
      </c>
      <c r="F437" s="277"/>
      <c r="G437" s="258">
        <f>SUM(G438:G439)</f>
        <v>2070</v>
      </c>
      <c r="H437" s="20" t="e">
        <f>SUM(#REF!)</f>
        <v>#REF!</v>
      </c>
      <c r="I437" s="20" t="e">
        <f>SUM(H437/#REF!*100)</f>
        <v>#REF!</v>
      </c>
    </row>
    <row r="438" spans="1:9" ht="28.5">
      <c r="A438" s="109" t="s">
        <v>495</v>
      </c>
      <c r="B438" s="274"/>
      <c r="C438" s="280" t="s">
        <v>5</v>
      </c>
      <c r="D438" s="280" t="s">
        <v>462</v>
      </c>
      <c r="E438" s="280" t="s">
        <v>22</v>
      </c>
      <c r="F438" s="276" t="s">
        <v>496</v>
      </c>
      <c r="G438" s="258">
        <v>699.2</v>
      </c>
      <c r="H438" s="20">
        <v>634.3</v>
      </c>
      <c r="I438" s="20" t="e">
        <f>SUM(H438/#REF!*100)</f>
        <v>#REF!</v>
      </c>
    </row>
    <row r="439" spans="1:9" ht="15">
      <c r="A439" s="109" t="s">
        <v>500</v>
      </c>
      <c r="B439" s="274"/>
      <c r="C439" s="280" t="s">
        <v>5</v>
      </c>
      <c r="D439" s="280" t="s">
        <v>462</v>
      </c>
      <c r="E439" s="280" t="s">
        <v>22</v>
      </c>
      <c r="F439" s="276" t="s">
        <v>120</v>
      </c>
      <c r="G439" s="258">
        <v>1370.8</v>
      </c>
      <c r="H439" s="20"/>
      <c r="I439" s="20"/>
    </row>
    <row r="440" spans="1:9" ht="28.5">
      <c r="A440" s="113" t="s">
        <v>23</v>
      </c>
      <c r="B440" s="274"/>
      <c r="C440" s="280" t="s">
        <v>5</v>
      </c>
      <c r="D440" s="280" t="s">
        <v>462</v>
      </c>
      <c r="E440" s="280" t="s">
        <v>24</v>
      </c>
      <c r="F440" s="277"/>
      <c r="G440" s="258">
        <f>SUM(G441:G443)</f>
        <v>50203.1</v>
      </c>
      <c r="H440" s="20">
        <f>SUM(H441)</f>
        <v>542.8</v>
      </c>
      <c r="I440" s="20" t="e">
        <f>SUM(H440/#REF!*100)</f>
        <v>#REF!</v>
      </c>
    </row>
    <row r="441" spans="1:9" ht="28.5">
      <c r="A441" s="109" t="s">
        <v>495</v>
      </c>
      <c r="B441" s="274"/>
      <c r="C441" s="280" t="s">
        <v>5</v>
      </c>
      <c r="D441" s="280" t="s">
        <v>462</v>
      </c>
      <c r="E441" s="280" t="s">
        <v>24</v>
      </c>
      <c r="F441" s="276" t="s">
        <v>496</v>
      </c>
      <c r="G441" s="258">
        <v>40867.7</v>
      </c>
      <c r="H441" s="20">
        <v>542.8</v>
      </c>
      <c r="I441" s="20" t="e">
        <f>SUM(H441/#REF!*100)</f>
        <v>#REF!</v>
      </c>
    </row>
    <row r="442" spans="1:9" ht="15">
      <c r="A442" s="109" t="s">
        <v>500</v>
      </c>
      <c r="B442" s="274"/>
      <c r="C442" s="280" t="s">
        <v>5</v>
      </c>
      <c r="D442" s="280" t="s">
        <v>462</v>
      </c>
      <c r="E442" s="280" t="s">
        <v>24</v>
      </c>
      <c r="F442" s="276" t="s">
        <v>120</v>
      </c>
      <c r="G442" s="258">
        <v>8949.4</v>
      </c>
      <c r="H442" s="20">
        <v>542.8</v>
      </c>
      <c r="I442" s="20" t="e">
        <f>SUM(H442/#REF!*100)</f>
        <v>#REF!</v>
      </c>
    </row>
    <row r="443" spans="1:9" s="101" customFormat="1" ht="15.75">
      <c r="A443" s="109" t="s">
        <v>501</v>
      </c>
      <c r="B443" s="274"/>
      <c r="C443" s="280" t="s">
        <v>5</v>
      </c>
      <c r="D443" s="280" t="s">
        <v>462</v>
      </c>
      <c r="E443" s="280" t="s">
        <v>24</v>
      </c>
      <c r="F443" s="276" t="s">
        <v>176</v>
      </c>
      <c r="G443" s="258">
        <v>386</v>
      </c>
      <c r="H443" s="20">
        <f>SUM(H444)</f>
        <v>1313.1</v>
      </c>
      <c r="I443" s="20" t="e">
        <f>SUM(H443/#REF!*100)</f>
        <v>#REF!</v>
      </c>
    </row>
    <row r="444" spans="1:9" s="101" customFormat="1" ht="15" customHeight="1">
      <c r="A444" s="109" t="s">
        <v>25</v>
      </c>
      <c r="B444" s="274"/>
      <c r="C444" s="275" t="s">
        <v>5</v>
      </c>
      <c r="D444" s="275" t="s">
        <v>106</v>
      </c>
      <c r="E444" s="275"/>
      <c r="F444" s="276"/>
      <c r="G444" s="258">
        <f>SUM(G448+G508+G512)</f>
        <v>703206.8</v>
      </c>
      <c r="H444" s="20">
        <v>1313.1</v>
      </c>
      <c r="I444" s="20" t="e">
        <f>SUM(H444/#REF!*100)</f>
        <v>#REF!</v>
      </c>
    </row>
    <row r="445" spans="1:9" s="101" customFormat="1" ht="15.75" hidden="1">
      <c r="A445" s="109" t="s">
        <v>407</v>
      </c>
      <c r="B445" s="274"/>
      <c r="C445" s="275" t="s">
        <v>5</v>
      </c>
      <c r="D445" s="275" t="s">
        <v>106</v>
      </c>
      <c r="E445" s="275" t="s">
        <v>409</v>
      </c>
      <c r="F445" s="276"/>
      <c r="G445" s="258">
        <f>SUM(G447)</f>
        <v>0</v>
      </c>
      <c r="H445" s="20">
        <f>SUM(H446)</f>
        <v>6301</v>
      </c>
      <c r="I445" s="20" t="e">
        <f>SUM(H445/#REF!*100)</f>
        <v>#REF!</v>
      </c>
    </row>
    <row r="446" spans="1:9" s="101" customFormat="1" ht="15.75" hidden="1">
      <c r="A446" s="109" t="s">
        <v>387</v>
      </c>
      <c r="B446" s="274"/>
      <c r="C446" s="275" t="s">
        <v>5</v>
      </c>
      <c r="D446" s="275" t="s">
        <v>106</v>
      </c>
      <c r="E446" s="275" t="s">
        <v>388</v>
      </c>
      <c r="F446" s="276"/>
      <c r="G446" s="258">
        <f>SUM(G447)</f>
        <v>0</v>
      </c>
      <c r="H446" s="20">
        <v>6301</v>
      </c>
      <c r="I446" s="20" t="e">
        <f>SUM(H446/#REF!*100)</f>
        <v>#REF!</v>
      </c>
    </row>
    <row r="447" spans="1:9" ht="15" hidden="1">
      <c r="A447" s="109" t="s">
        <v>296</v>
      </c>
      <c r="B447" s="284"/>
      <c r="C447" s="275" t="s">
        <v>5</v>
      </c>
      <c r="D447" s="275" t="s">
        <v>106</v>
      </c>
      <c r="E447" s="275" t="s">
        <v>388</v>
      </c>
      <c r="F447" s="277" t="s">
        <v>297</v>
      </c>
      <c r="G447" s="258"/>
      <c r="H447" s="20">
        <f>SUM(H449)</f>
        <v>8082.5</v>
      </c>
      <c r="I447" s="20">
        <f>SUM(H447/G474*100)</f>
        <v>4.938278393649677</v>
      </c>
    </row>
    <row r="448" spans="1:9" ht="15">
      <c r="A448" s="109" t="s">
        <v>26</v>
      </c>
      <c r="B448" s="274"/>
      <c r="C448" s="275" t="s">
        <v>5</v>
      </c>
      <c r="D448" s="275" t="s">
        <v>106</v>
      </c>
      <c r="E448" s="275" t="s">
        <v>27</v>
      </c>
      <c r="F448" s="276"/>
      <c r="G448" s="258">
        <f>SUM(G449+G452+G455+G458+G461+G464)+G505</f>
        <v>701958.5</v>
      </c>
      <c r="H448" s="20"/>
      <c r="I448" s="20"/>
    </row>
    <row r="449" spans="1:9" ht="28.5">
      <c r="A449" s="109" t="s">
        <v>286</v>
      </c>
      <c r="B449" s="274"/>
      <c r="C449" s="280" t="s">
        <v>5</v>
      </c>
      <c r="D449" s="280" t="s">
        <v>106</v>
      </c>
      <c r="E449" s="280" t="s">
        <v>287</v>
      </c>
      <c r="F449" s="277"/>
      <c r="G449" s="258">
        <f>SUM(G450:G451)</f>
        <v>113612</v>
      </c>
      <c r="H449" s="20">
        <v>8082.5</v>
      </c>
      <c r="I449" s="20">
        <f>SUM(H449/G476*100)</f>
        <v>5.128590727355678</v>
      </c>
    </row>
    <row r="450" spans="1:9" ht="15">
      <c r="A450" s="109" t="s">
        <v>500</v>
      </c>
      <c r="B450" s="274"/>
      <c r="C450" s="280" t="s">
        <v>5</v>
      </c>
      <c r="D450" s="280" t="s">
        <v>106</v>
      </c>
      <c r="E450" s="280" t="s">
        <v>287</v>
      </c>
      <c r="F450" s="277" t="s">
        <v>120</v>
      </c>
      <c r="G450" s="258">
        <v>2250</v>
      </c>
      <c r="H450" s="20">
        <f>SUM(H452)</f>
        <v>70381.4</v>
      </c>
      <c r="I450" s="20">
        <f>SUM(H450/G477*100)</f>
        <v>4510.760751137601</v>
      </c>
    </row>
    <row r="451" spans="1:9" ht="15">
      <c r="A451" s="109" t="s">
        <v>505</v>
      </c>
      <c r="B451" s="274"/>
      <c r="C451" s="280" t="s">
        <v>5</v>
      </c>
      <c r="D451" s="280" t="s">
        <v>106</v>
      </c>
      <c r="E451" s="280" t="s">
        <v>287</v>
      </c>
      <c r="F451" s="277" t="s">
        <v>506</v>
      </c>
      <c r="G451" s="258">
        <v>111362</v>
      </c>
      <c r="H451" s="20"/>
      <c r="I451" s="20"/>
    </row>
    <row r="452" spans="1:9" ht="15">
      <c r="A452" s="109" t="s">
        <v>285</v>
      </c>
      <c r="B452" s="274"/>
      <c r="C452" s="280" t="s">
        <v>5</v>
      </c>
      <c r="D452" s="280" t="s">
        <v>106</v>
      </c>
      <c r="E452" s="280" t="s">
        <v>571</v>
      </c>
      <c r="F452" s="277"/>
      <c r="G452" s="258">
        <f>SUM(G453:G454)</f>
        <v>95024.6</v>
      </c>
      <c r="H452" s="20">
        <v>70381.4</v>
      </c>
      <c r="I452" s="20">
        <f>SUM(H452/G479*100)</f>
        <v>4579.439130717678</v>
      </c>
    </row>
    <row r="453" spans="1:9" ht="15">
      <c r="A453" s="109" t="s">
        <v>500</v>
      </c>
      <c r="B453" s="274"/>
      <c r="C453" s="280" t="s">
        <v>5</v>
      </c>
      <c r="D453" s="280" t="s">
        <v>106</v>
      </c>
      <c r="E453" s="280" t="s">
        <v>571</v>
      </c>
      <c r="F453" s="277" t="s">
        <v>120</v>
      </c>
      <c r="G453" s="258">
        <v>1443.5</v>
      </c>
      <c r="H453" s="20"/>
      <c r="I453" s="20"/>
    </row>
    <row r="454" spans="1:9" ht="15">
      <c r="A454" s="109" t="s">
        <v>505</v>
      </c>
      <c r="B454" s="284"/>
      <c r="C454" s="280" t="s">
        <v>5</v>
      </c>
      <c r="D454" s="280" t="s">
        <v>106</v>
      </c>
      <c r="E454" s="280" t="s">
        <v>571</v>
      </c>
      <c r="F454" s="277" t="s">
        <v>506</v>
      </c>
      <c r="G454" s="258">
        <v>93581.1</v>
      </c>
      <c r="H454" s="20"/>
      <c r="I454" s="20"/>
    </row>
    <row r="455" spans="1:9" ht="42.75">
      <c r="A455" s="110" t="s">
        <v>284</v>
      </c>
      <c r="B455" s="274"/>
      <c r="C455" s="280" t="s">
        <v>5</v>
      </c>
      <c r="D455" s="280" t="s">
        <v>106</v>
      </c>
      <c r="E455" s="280" t="s">
        <v>572</v>
      </c>
      <c r="F455" s="277"/>
      <c r="G455" s="258">
        <f>SUM(G456:G457)</f>
        <v>77.10000000000001</v>
      </c>
      <c r="H455" s="20"/>
      <c r="I455" s="20"/>
    </row>
    <row r="456" spans="1:9" ht="24" customHeight="1">
      <c r="A456" s="109" t="s">
        <v>500</v>
      </c>
      <c r="B456" s="274"/>
      <c r="C456" s="280" t="s">
        <v>5</v>
      </c>
      <c r="D456" s="280" t="s">
        <v>106</v>
      </c>
      <c r="E456" s="280" t="s">
        <v>572</v>
      </c>
      <c r="F456" s="277" t="s">
        <v>120</v>
      </c>
      <c r="G456" s="258">
        <v>1.2</v>
      </c>
      <c r="H456" s="20"/>
      <c r="I456" s="20"/>
    </row>
    <row r="457" spans="1:9" ht="21" customHeight="1">
      <c r="A457" s="109" t="s">
        <v>505</v>
      </c>
      <c r="B457" s="274"/>
      <c r="C457" s="280" t="s">
        <v>5</v>
      </c>
      <c r="D457" s="280" t="s">
        <v>106</v>
      </c>
      <c r="E457" s="280" t="s">
        <v>572</v>
      </c>
      <c r="F457" s="277" t="s">
        <v>506</v>
      </c>
      <c r="G457" s="258">
        <v>75.9</v>
      </c>
      <c r="H457" s="20"/>
      <c r="I457" s="20"/>
    </row>
    <row r="458" spans="1:9" ht="56.25" customHeight="1">
      <c r="A458" s="151" t="s">
        <v>574</v>
      </c>
      <c r="B458" s="293"/>
      <c r="C458" s="294" t="s">
        <v>5</v>
      </c>
      <c r="D458" s="294" t="s">
        <v>106</v>
      </c>
      <c r="E458" s="294" t="s">
        <v>573</v>
      </c>
      <c r="F458" s="295"/>
      <c r="G458" s="263">
        <f>SUM(G459:G460)</f>
        <v>78774.5</v>
      </c>
      <c r="H458" s="20"/>
      <c r="I458" s="20"/>
    </row>
    <row r="459" spans="1:9" ht="15">
      <c r="A459" s="109" t="s">
        <v>500</v>
      </c>
      <c r="B459" s="274"/>
      <c r="C459" s="280" t="s">
        <v>5</v>
      </c>
      <c r="D459" s="280" t="s">
        <v>106</v>
      </c>
      <c r="E459" s="294" t="s">
        <v>573</v>
      </c>
      <c r="F459" s="277" t="s">
        <v>120</v>
      </c>
      <c r="G459" s="263"/>
      <c r="H459" s="20">
        <f>SUM(H460)</f>
        <v>1365.8</v>
      </c>
      <c r="I459" s="20">
        <f>SUM(H459/G485*100)</f>
        <v>1.170598086657513</v>
      </c>
    </row>
    <row r="460" spans="1:9" ht="15">
      <c r="A460" s="114" t="s">
        <v>505</v>
      </c>
      <c r="B460" s="293"/>
      <c r="C460" s="294" t="s">
        <v>5</v>
      </c>
      <c r="D460" s="294" t="s">
        <v>106</v>
      </c>
      <c r="E460" s="294" t="s">
        <v>573</v>
      </c>
      <c r="F460" s="295" t="s">
        <v>506</v>
      </c>
      <c r="G460" s="263">
        <v>78774.5</v>
      </c>
      <c r="H460" s="20">
        <v>1365.8</v>
      </c>
      <c r="I460" s="20">
        <f>SUM(H460/G486*100)</f>
        <v>146.1843091084234</v>
      </c>
    </row>
    <row r="461" spans="1:9" ht="15">
      <c r="A461" s="114" t="s">
        <v>221</v>
      </c>
      <c r="B461" s="293"/>
      <c r="C461" s="294" t="s">
        <v>5</v>
      </c>
      <c r="D461" s="294" t="s">
        <v>106</v>
      </c>
      <c r="E461" s="294" t="s">
        <v>575</v>
      </c>
      <c r="F461" s="295"/>
      <c r="G461" s="263">
        <f>G462+G463</f>
        <v>5756.3</v>
      </c>
      <c r="H461" s="20">
        <f>SUM(H462)</f>
        <v>1324.9</v>
      </c>
      <c r="I461" s="20">
        <f>SUM(H461/G488*100)</f>
        <v>149.68930064399504</v>
      </c>
    </row>
    <row r="462" spans="1:9" ht="15">
      <c r="A462" s="114" t="s">
        <v>505</v>
      </c>
      <c r="B462" s="293"/>
      <c r="C462" s="294" t="s">
        <v>5</v>
      </c>
      <c r="D462" s="294" t="s">
        <v>106</v>
      </c>
      <c r="E462" s="294" t="s">
        <v>575</v>
      </c>
      <c r="F462" s="295" t="s">
        <v>506</v>
      </c>
      <c r="G462" s="263">
        <v>3056.3</v>
      </c>
      <c r="H462" s="20">
        <v>1324.9</v>
      </c>
      <c r="I462" s="20">
        <f>SUM(H462/G489*100)</f>
        <v>685.0568769389865</v>
      </c>
    </row>
    <row r="463" spans="1:9" ht="28.5">
      <c r="A463" s="114" t="s">
        <v>592</v>
      </c>
      <c r="B463" s="293"/>
      <c r="C463" s="294" t="s">
        <v>5</v>
      </c>
      <c r="D463" s="294" t="s">
        <v>106</v>
      </c>
      <c r="E463" s="294" t="s">
        <v>575</v>
      </c>
      <c r="F463" s="295" t="s">
        <v>513</v>
      </c>
      <c r="G463" s="263">
        <v>2700</v>
      </c>
      <c r="H463" s="20">
        <f>SUM(H465)</f>
        <v>0</v>
      </c>
      <c r="I463" s="20">
        <f>SUM(H463/G491*100)</f>
        <v>0</v>
      </c>
    </row>
    <row r="464" spans="1:9" ht="15">
      <c r="A464" s="114" t="s">
        <v>289</v>
      </c>
      <c r="B464" s="293"/>
      <c r="C464" s="294" t="s">
        <v>5</v>
      </c>
      <c r="D464" s="294" t="s">
        <v>106</v>
      </c>
      <c r="E464" s="294" t="s">
        <v>577</v>
      </c>
      <c r="F464" s="295"/>
      <c r="G464" s="263">
        <f>G465+G468+G471+G474+G477+G480+G483+G486+G489+G492+G495+G498+G502</f>
        <v>408458.69999999995</v>
      </c>
      <c r="H464" s="20"/>
      <c r="I464" s="20"/>
    </row>
    <row r="465" spans="1:9" ht="42.75">
      <c r="A465" s="114" t="s">
        <v>468</v>
      </c>
      <c r="B465" s="293"/>
      <c r="C465" s="294" t="s">
        <v>5</v>
      </c>
      <c r="D465" s="294" t="s">
        <v>106</v>
      </c>
      <c r="E465" s="294" t="s">
        <v>578</v>
      </c>
      <c r="F465" s="295"/>
      <c r="G465" s="263">
        <f>SUM(G466:G467)</f>
        <v>545.8000000000001</v>
      </c>
      <c r="H465" s="20"/>
      <c r="I465" s="20">
        <f>SUM(H465/G492*100)</f>
        <v>0</v>
      </c>
    </row>
    <row r="466" spans="1:9" ht="15">
      <c r="A466" s="109" t="s">
        <v>500</v>
      </c>
      <c r="B466" s="274"/>
      <c r="C466" s="280" t="s">
        <v>5</v>
      </c>
      <c r="D466" s="280" t="s">
        <v>106</v>
      </c>
      <c r="E466" s="294" t="s">
        <v>578</v>
      </c>
      <c r="F466" s="277" t="s">
        <v>120</v>
      </c>
      <c r="G466" s="263">
        <v>8.2</v>
      </c>
      <c r="H466" s="20">
        <f>SUM(H468)</f>
        <v>5141.4</v>
      </c>
      <c r="I466" s="20">
        <f>SUM(H466/G494*100)</f>
        <v>74.03450162716354</v>
      </c>
    </row>
    <row r="467" spans="1:9" ht="15">
      <c r="A467" s="114" t="s">
        <v>505</v>
      </c>
      <c r="B467" s="293"/>
      <c r="C467" s="294" t="s">
        <v>5</v>
      </c>
      <c r="D467" s="294" t="s">
        <v>106</v>
      </c>
      <c r="E467" s="294" t="s">
        <v>578</v>
      </c>
      <c r="F467" s="295" t="s">
        <v>506</v>
      </c>
      <c r="G467" s="263">
        <v>537.6</v>
      </c>
      <c r="H467" s="20"/>
      <c r="I467" s="20"/>
    </row>
    <row r="468" spans="1:9" ht="28.5">
      <c r="A468" s="120" t="s">
        <v>469</v>
      </c>
      <c r="B468" s="293"/>
      <c r="C468" s="294" t="s">
        <v>5</v>
      </c>
      <c r="D468" s="294" t="s">
        <v>106</v>
      </c>
      <c r="E468" s="294" t="s">
        <v>579</v>
      </c>
      <c r="F468" s="295"/>
      <c r="G468" s="263">
        <f>SUM(G469:G470)</f>
        <v>40134.2</v>
      </c>
      <c r="H468" s="20">
        <v>5141.4</v>
      </c>
      <c r="I468" s="20">
        <f>SUM(H468/G495*100)</f>
        <v>82.16774276034009</v>
      </c>
    </row>
    <row r="469" spans="1:9" ht="15">
      <c r="A469" s="109" t="s">
        <v>500</v>
      </c>
      <c r="B469" s="274"/>
      <c r="C469" s="280" t="s">
        <v>5</v>
      </c>
      <c r="D469" s="280" t="s">
        <v>106</v>
      </c>
      <c r="E469" s="294" t="s">
        <v>579</v>
      </c>
      <c r="F469" s="277" t="s">
        <v>120</v>
      </c>
      <c r="G469" s="263">
        <v>593.2</v>
      </c>
      <c r="H469" s="20"/>
      <c r="I469" s="20"/>
    </row>
    <row r="470" spans="1:9" ht="15">
      <c r="A470" s="114" t="s">
        <v>505</v>
      </c>
      <c r="B470" s="293"/>
      <c r="C470" s="294" t="s">
        <v>5</v>
      </c>
      <c r="D470" s="294" t="s">
        <v>106</v>
      </c>
      <c r="E470" s="294" t="s">
        <v>579</v>
      </c>
      <c r="F470" s="295" t="s">
        <v>506</v>
      </c>
      <c r="G470" s="263">
        <v>39541</v>
      </c>
      <c r="H470" s="20"/>
      <c r="I470" s="20"/>
    </row>
    <row r="471" spans="1:9" ht="57">
      <c r="A471" s="152" t="s">
        <v>470</v>
      </c>
      <c r="B471" s="293"/>
      <c r="C471" s="294" t="s">
        <v>5</v>
      </c>
      <c r="D471" s="294" t="s">
        <v>106</v>
      </c>
      <c r="E471" s="294" t="s">
        <v>580</v>
      </c>
      <c r="F471" s="295"/>
      <c r="G471" s="263">
        <f>SUM(G472:G473)</f>
        <v>51650.8</v>
      </c>
      <c r="H471" s="20"/>
      <c r="I471" s="20"/>
    </row>
    <row r="472" spans="1:9" ht="15">
      <c r="A472" s="109" t="s">
        <v>500</v>
      </c>
      <c r="B472" s="274"/>
      <c r="C472" s="280" t="s">
        <v>5</v>
      </c>
      <c r="D472" s="280" t="s">
        <v>106</v>
      </c>
      <c r="E472" s="294" t="s">
        <v>580</v>
      </c>
      <c r="F472" s="277" t="s">
        <v>120</v>
      </c>
      <c r="G472" s="263">
        <v>775.9</v>
      </c>
      <c r="H472" s="20"/>
      <c r="I472" s="20"/>
    </row>
    <row r="473" spans="1:9" ht="15">
      <c r="A473" s="114" t="s">
        <v>505</v>
      </c>
      <c r="B473" s="293"/>
      <c r="C473" s="294" t="s">
        <v>5</v>
      </c>
      <c r="D473" s="294" t="s">
        <v>106</v>
      </c>
      <c r="E473" s="294" t="s">
        <v>580</v>
      </c>
      <c r="F473" s="295" t="s">
        <v>506</v>
      </c>
      <c r="G473" s="263">
        <v>50874.9</v>
      </c>
      <c r="H473" s="20"/>
      <c r="I473" s="20"/>
    </row>
    <row r="474" spans="1:9" ht="71.25">
      <c r="A474" s="152" t="s">
        <v>581</v>
      </c>
      <c r="B474" s="293"/>
      <c r="C474" s="294" t="s">
        <v>5</v>
      </c>
      <c r="D474" s="294" t="s">
        <v>106</v>
      </c>
      <c r="E474" s="294" t="s">
        <v>582</v>
      </c>
      <c r="F474" s="295"/>
      <c r="G474" s="263">
        <f>SUM(G475:G476)</f>
        <v>163670.4</v>
      </c>
      <c r="H474" s="20"/>
      <c r="I474" s="20"/>
    </row>
    <row r="475" spans="1:9" ht="15">
      <c r="A475" s="109" t="s">
        <v>500</v>
      </c>
      <c r="B475" s="293"/>
      <c r="C475" s="294" t="s">
        <v>5</v>
      </c>
      <c r="D475" s="294" t="s">
        <v>106</v>
      </c>
      <c r="E475" s="294" t="s">
        <v>582</v>
      </c>
      <c r="F475" s="295" t="s">
        <v>120</v>
      </c>
      <c r="G475" s="263">
        <v>6073.5</v>
      </c>
      <c r="H475" s="20"/>
      <c r="I475" s="20"/>
    </row>
    <row r="476" spans="1:9" ht="15">
      <c r="A476" s="114" t="s">
        <v>505</v>
      </c>
      <c r="B476" s="293"/>
      <c r="C476" s="294" t="s">
        <v>5</v>
      </c>
      <c r="D476" s="294" t="s">
        <v>106</v>
      </c>
      <c r="E476" s="294" t="s">
        <v>582</v>
      </c>
      <c r="F476" s="295" t="s">
        <v>506</v>
      </c>
      <c r="G476" s="263">
        <v>157596.9</v>
      </c>
      <c r="H476" s="20"/>
      <c r="I476" s="20"/>
    </row>
    <row r="477" spans="1:9" ht="71.25">
      <c r="A477" s="120" t="s">
        <v>471</v>
      </c>
      <c r="B477" s="293"/>
      <c r="C477" s="294" t="s">
        <v>5</v>
      </c>
      <c r="D477" s="294" t="s">
        <v>106</v>
      </c>
      <c r="E477" s="294" t="s">
        <v>583</v>
      </c>
      <c r="F477" s="295"/>
      <c r="G477" s="263">
        <f>SUM(G478:G479)</f>
        <v>1560.3000000000002</v>
      </c>
      <c r="H477" s="20"/>
      <c r="I477" s="20"/>
    </row>
    <row r="478" spans="1:9" ht="15">
      <c r="A478" s="109" t="s">
        <v>500</v>
      </c>
      <c r="B478" s="293"/>
      <c r="C478" s="294" t="s">
        <v>5</v>
      </c>
      <c r="D478" s="294" t="s">
        <v>106</v>
      </c>
      <c r="E478" s="294" t="s">
        <v>583</v>
      </c>
      <c r="F478" s="295" t="s">
        <v>120</v>
      </c>
      <c r="G478" s="263">
        <v>23.4</v>
      </c>
      <c r="H478" s="20"/>
      <c r="I478" s="20"/>
    </row>
    <row r="479" spans="1:9" ht="15">
      <c r="A479" s="114" t="s">
        <v>505</v>
      </c>
      <c r="B479" s="293"/>
      <c r="C479" s="294" t="s">
        <v>5</v>
      </c>
      <c r="D479" s="294" t="s">
        <v>106</v>
      </c>
      <c r="E479" s="294" t="s">
        <v>583</v>
      </c>
      <c r="F479" s="295" t="s">
        <v>506</v>
      </c>
      <c r="G479" s="263">
        <v>1536.9</v>
      </c>
      <c r="H479" s="20"/>
      <c r="I479" s="20"/>
    </row>
    <row r="480" spans="1:9" ht="85.5">
      <c r="A480" s="120" t="s">
        <v>472</v>
      </c>
      <c r="B480" s="293"/>
      <c r="C480" s="294" t="s">
        <v>5</v>
      </c>
      <c r="D480" s="294" t="s">
        <v>106</v>
      </c>
      <c r="E480" s="294" t="s">
        <v>584</v>
      </c>
      <c r="F480" s="295"/>
      <c r="G480" s="263">
        <f>SUM(G481:G482)</f>
        <v>8322.300000000001</v>
      </c>
      <c r="H480" s="20"/>
      <c r="I480" s="20"/>
    </row>
    <row r="481" spans="1:9" ht="15">
      <c r="A481" s="109" t="s">
        <v>500</v>
      </c>
      <c r="B481" s="293"/>
      <c r="C481" s="294" t="s">
        <v>5</v>
      </c>
      <c r="D481" s="294" t="s">
        <v>106</v>
      </c>
      <c r="E481" s="294" t="s">
        <v>584</v>
      </c>
      <c r="F481" s="295" t="s">
        <v>120</v>
      </c>
      <c r="G481" s="263">
        <v>349.2</v>
      </c>
      <c r="H481" s="20"/>
      <c r="I481" s="20"/>
    </row>
    <row r="482" spans="1:9" ht="15">
      <c r="A482" s="114" t="s">
        <v>505</v>
      </c>
      <c r="B482" s="293"/>
      <c r="C482" s="294" t="s">
        <v>5</v>
      </c>
      <c r="D482" s="294" t="s">
        <v>106</v>
      </c>
      <c r="E482" s="294" t="s">
        <v>584</v>
      </c>
      <c r="F482" s="295" t="s">
        <v>506</v>
      </c>
      <c r="G482" s="263">
        <v>7973.1</v>
      </c>
      <c r="H482" s="20"/>
      <c r="I482" s="20"/>
    </row>
    <row r="483" spans="1:9" ht="42.75">
      <c r="A483" s="114" t="s">
        <v>473</v>
      </c>
      <c r="B483" s="293"/>
      <c r="C483" s="294" t="s">
        <v>5</v>
      </c>
      <c r="D483" s="294" t="s">
        <v>106</v>
      </c>
      <c r="E483" s="294" t="s">
        <v>585</v>
      </c>
      <c r="F483" s="295"/>
      <c r="G483" s="263">
        <f>SUM(G484:G485)</f>
        <v>118441.59999999999</v>
      </c>
      <c r="H483" s="20"/>
      <c r="I483" s="20"/>
    </row>
    <row r="484" spans="1:9" ht="15">
      <c r="A484" s="109" t="s">
        <v>500</v>
      </c>
      <c r="B484" s="293"/>
      <c r="C484" s="294" t="s">
        <v>5</v>
      </c>
      <c r="D484" s="294" t="s">
        <v>106</v>
      </c>
      <c r="E484" s="294" t="s">
        <v>585</v>
      </c>
      <c r="F484" s="295" t="s">
        <v>120</v>
      </c>
      <c r="G484" s="263">
        <v>1766.2</v>
      </c>
      <c r="H484" s="20"/>
      <c r="I484" s="20"/>
    </row>
    <row r="485" spans="1:9" ht="15">
      <c r="A485" s="114" t="s">
        <v>505</v>
      </c>
      <c r="B485" s="293"/>
      <c r="C485" s="294" t="s">
        <v>5</v>
      </c>
      <c r="D485" s="294" t="s">
        <v>106</v>
      </c>
      <c r="E485" s="294" t="s">
        <v>585</v>
      </c>
      <c r="F485" s="295" t="s">
        <v>506</v>
      </c>
      <c r="G485" s="263">
        <v>116675.4</v>
      </c>
      <c r="H485" s="20"/>
      <c r="I485" s="20"/>
    </row>
    <row r="486" spans="1:9" ht="71.25">
      <c r="A486" s="114" t="s">
        <v>474</v>
      </c>
      <c r="B486" s="293"/>
      <c r="C486" s="294" t="s">
        <v>5</v>
      </c>
      <c r="D486" s="294" t="s">
        <v>106</v>
      </c>
      <c r="E486" s="294" t="s">
        <v>586</v>
      </c>
      <c r="F486" s="295"/>
      <c r="G486" s="263">
        <f>SUM(G487:G488)</f>
        <v>934.3000000000001</v>
      </c>
      <c r="H486" s="20"/>
      <c r="I486" s="20"/>
    </row>
    <row r="487" spans="1:9" ht="15">
      <c r="A487" s="109" t="s">
        <v>500</v>
      </c>
      <c r="B487" s="293"/>
      <c r="C487" s="294" t="s">
        <v>5</v>
      </c>
      <c r="D487" s="294" t="s">
        <v>106</v>
      </c>
      <c r="E487" s="294" t="s">
        <v>586</v>
      </c>
      <c r="F487" s="295" t="s">
        <v>120</v>
      </c>
      <c r="G487" s="263">
        <v>49.2</v>
      </c>
      <c r="H487" s="20"/>
      <c r="I487" s="20"/>
    </row>
    <row r="488" spans="1:9" ht="15">
      <c r="A488" s="114" t="s">
        <v>505</v>
      </c>
      <c r="B488" s="293"/>
      <c r="C488" s="294" t="s">
        <v>5</v>
      </c>
      <c r="D488" s="294" t="s">
        <v>106</v>
      </c>
      <c r="E488" s="294" t="s">
        <v>586</v>
      </c>
      <c r="F488" s="295" t="s">
        <v>506</v>
      </c>
      <c r="G488" s="263">
        <v>885.1</v>
      </c>
      <c r="H488" s="20"/>
      <c r="I488" s="20"/>
    </row>
    <row r="489" spans="1:9" ht="57">
      <c r="A489" s="114" t="s">
        <v>587</v>
      </c>
      <c r="B489" s="293"/>
      <c r="C489" s="294" t="s">
        <v>5</v>
      </c>
      <c r="D489" s="294" t="s">
        <v>106</v>
      </c>
      <c r="E489" s="294" t="s">
        <v>588</v>
      </c>
      <c r="F489" s="295"/>
      <c r="G489" s="263">
        <f>SUM(G490:G491)</f>
        <v>193.4</v>
      </c>
      <c r="H489" s="20"/>
      <c r="I489" s="20"/>
    </row>
    <row r="490" spans="1:9" ht="15">
      <c r="A490" s="109" t="s">
        <v>500</v>
      </c>
      <c r="B490" s="293"/>
      <c r="C490" s="294" t="s">
        <v>5</v>
      </c>
      <c r="D490" s="294" t="s">
        <v>106</v>
      </c>
      <c r="E490" s="294" t="s">
        <v>588</v>
      </c>
      <c r="F490" s="295" t="s">
        <v>120</v>
      </c>
      <c r="G490" s="263">
        <v>3</v>
      </c>
      <c r="H490" s="20"/>
      <c r="I490" s="20"/>
    </row>
    <row r="491" spans="1:9" ht="15">
      <c r="A491" s="114" t="s">
        <v>505</v>
      </c>
      <c r="B491" s="293"/>
      <c r="C491" s="294" t="s">
        <v>5</v>
      </c>
      <c r="D491" s="294" t="s">
        <v>106</v>
      </c>
      <c r="E491" s="294" t="s">
        <v>588</v>
      </c>
      <c r="F491" s="295" t="s">
        <v>506</v>
      </c>
      <c r="G491" s="263">
        <v>190.4</v>
      </c>
      <c r="H491" s="20"/>
      <c r="I491" s="20"/>
    </row>
    <row r="492" spans="1:9" ht="42.75">
      <c r="A492" s="114" t="s">
        <v>475</v>
      </c>
      <c r="B492" s="293"/>
      <c r="C492" s="294" t="s">
        <v>5</v>
      </c>
      <c r="D492" s="294" t="s">
        <v>106</v>
      </c>
      <c r="E492" s="294" t="s">
        <v>589</v>
      </c>
      <c r="F492" s="295"/>
      <c r="G492" s="263">
        <f>SUM(G493:G494)</f>
        <v>7180.6</v>
      </c>
      <c r="H492" s="20">
        <f>SUM(H493)</f>
        <v>927.6</v>
      </c>
      <c r="I492" s="20">
        <f>SUM(H492/G518*100)</f>
        <v>14.241191371766332</v>
      </c>
    </row>
    <row r="493" spans="1:9" ht="15">
      <c r="A493" s="109" t="s">
        <v>500</v>
      </c>
      <c r="B493" s="293"/>
      <c r="C493" s="294" t="s">
        <v>5</v>
      </c>
      <c r="D493" s="294" t="s">
        <v>106</v>
      </c>
      <c r="E493" s="294" t="s">
        <v>589</v>
      </c>
      <c r="F493" s="295" t="s">
        <v>120</v>
      </c>
      <c r="G493" s="263">
        <v>236</v>
      </c>
      <c r="H493" s="20">
        <f>SUM(H495:H495)</f>
        <v>927.6</v>
      </c>
      <c r="I493" s="20">
        <f>SUM(H493/G520*100)</f>
        <v>14.455803515771102</v>
      </c>
    </row>
    <row r="494" spans="1:9" ht="15">
      <c r="A494" s="114" t="s">
        <v>505</v>
      </c>
      <c r="B494" s="293"/>
      <c r="C494" s="294" t="s">
        <v>5</v>
      </c>
      <c r="D494" s="294" t="s">
        <v>106</v>
      </c>
      <c r="E494" s="294" t="s">
        <v>589</v>
      </c>
      <c r="F494" s="295" t="s">
        <v>506</v>
      </c>
      <c r="G494" s="263">
        <v>6944.6</v>
      </c>
      <c r="H494" s="20"/>
      <c r="I494" s="20"/>
    </row>
    <row r="495" spans="1:9" ht="28.5">
      <c r="A495" s="114" t="s">
        <v>476</v>
      </c>
      <c r="B495" s="293"/>
      <c r="C495" s="294" t="s">
        <v>5</v>
      </c>
      <c r="D495" s="294" t="s">
        <v>106</v>
      </c>
      <c r="E495" s="294" t="s">
        <v>590</v>
      </c>
      <c r="F495" s="295"/>
      <c r="G495" s="263">
        <f>SUM(G496:G497)</f>
        <v>6257.2</v>
      </c>
      <c r="H495" s="20">
        <v>927.6</v>
      </c>
      <c r="I495" s="20">
        <f>SUM(H495/G521*100)</f>
        <v>17.20326409495549</v>
      </c>
    </row>
    <row r="496" spans="1:9" ht="15">
      <c r="A496" s="109" t="s">
        <v>500</v>
      </c>
      <c r="B496" s="293"/>
      <c r="C496" s="294" t="s">
        <v>5</v>
      </c>
      <c r="D496" s="294" t="s">
        <v>106</v>
      </c>
      <c r="E496" s="294" t="s">
        <v>590</v>
      </c>
      <c r="F496" s="295" t="s">
        <v>120</v>
      </c>
      <c r="G496" s="263">
        <v>92.5</v>
      </c>
      <c r="H496" s="20">
        <f>SUM(H498)</f>
        <v>3319.1</v>
      </c>
      <c r="I496" s="20">
        <f>SUM(H496/G523*100)</f>
        <v>62.20552129992316</v>
      </c>
    </row>
    <row r="497" spans="1:9" ht="15">
      <c r="A497" s="114" t="s">
        <v>505</v>
      </c>
      <c r="B497" s="293"/>
      <c r="C497" s="294" t="s">
        <v>5</v>
      </c>
      <c r="D497" s="294" t="s">
        <v>106</v>
      </c>
      <c r="E497" s="294" t="s">
        <v>590</v>
      </c>
      <c r="F497" s="295" t="s">
        <v>506</v>
      </c>
      <c r="G497" s="263">
        <v>6164.7</v>
      </c>
      <c r="H497" s="20"/>
      <c r="I497" s="20"/>
    </row>
    <row r="498" spans="1:9" ht="42.75">
      <c r="A498" s="120" t="s">
        <v>477</v>
      </c>
      <c r="B498" s="293"/>
      <c r="C498" s="294" t="s">
        <v>5</v>
      </c>
      <c r="D498" s="294" t="s">
        <v>106</v>
      </c>
      <c r="E498" s="294" t="s">
        <v>591</v>
      </c>
      <c r="F498" s="295"/>
      <c r="G498" s="263">
        <f>SUM(G499:G501)</f>
        <v>1764.6999999999998</v>
      </c>
      <c r="H498" s="20">
        <f>SUM(H499)</f>
        <v>3319.1</v>
      </c>
      <c r="I498" s="20">
        <f>SUM(H498/G524*100)</f>
        <v>14.466595766937479</v>
      </c>
    </row>
    <row r="499" spans="1:9" ht="15">
      <c r="A499" s="109" t="s">
        <v>500</v>
      </c>
      <c r="B499" s="293"/>
      <c r="C499" s="294" t="s">
        <v>5</v>
      </c>
      <c r="D499" s="294" t="s">
        <v>106</v>
      </c>
      <c r="E499" s="294" t="s">
        <v>591</v>
      </c>
      <c r="F499" s="295" t="s">
        <v>120</v>
      </c>
      <c r="G499" s="263">
        <v>25.6</v>
      </c>
      <c r="H499" s="20">
        <v>3319.1</v>
      </c>
      <c r="I499" s="20">
        <f>SUM(H499/G526*100)</f>
        <v>14.694605794432244</v>
      </c>
    </row>
    <row r="500" spans="1:9" s="87" customFormat="1" ht="15">
      <c r="A500" s="114" t="s">
        <v>505</v>
      </c>
      <c r="B500" s="293"/>
      <c r="C500" s="294" t="s">
        <v>5</v>
      </c>
      <c r="D500" s="294" t="s">
        <v>106</v>
      </c>
      <c r="E500" s="294" t="s">
        <v>591</v>
      </c>
      <c r="F500" s="295" t="s">
        <v>506</v>
      </c>
      <c r="G500" s="263">
        <v>1451.5</v>
      </c>
      <c r="H500" s="20">
        <f>SUM(H502)</f>
        <v>3319.1</v>
      </c>
      <c r="I500" s="20">
        <f>SUM(H500/G527*100)</f>
        <v>10.81710870231197</v>
      </c>
    </row>
    <row r="501" spans="1:9" s="87" customFormat="1" ht="28.5">
      <c r="A501" s="114" t="s">
        <v>592</v>
      </c>
      <c r="B501" s="293"/>
      <c r="C501" s="294" t="s">
        <v>5</v>
      </c>
      <c r="D501" s="294" t="s">
        <v>106</v>
      </c>
      <c r="E501" s="294" t="s">
        <v>591</v>
      </c>
      <c r="F501" s="295" t="s">
        <v>513</v>
      </c>
      <c r="G501" s="263">
        <v>287.6</v>
      </c>
      <c r="H501" s="20"/>
      <c r="I501" s="20"/>
    </row>
    <row r="502" spans="1:9" s="87" customFormat="1" ht="42.75">
      <c r="A502" s="114" t="s">
        <v>478</v>
      </c>
      <c r="B502" s="293"/>
      <c r="C502" s="294" t="s">
        <v>5</v>
      </c>
      <c r="D502" s="294" t="s">
        <v>106</v>
      </c>
      <c r="E502" s="294" t="s">
        <v>593</v>
      </c>
      <c r="F502" s="295"/>
      <c r="G502" s="263">
        <f>SUM(G503:G504)</f>
        <v>7803.1</v>
      </c>
      <c r="H502" s="20">
        <v>3319.1</v>
      </c>
      <c r="I502" s="20">
        <f>SUM(H502/G528*100)</f>
        <v>11.892622066795898</v>
      </c>
    </row>
    <row r="503" spans="1:9" ht="15">
      <c r="A503" s="109" t="s">
        <v>500</v>
      </c>
      <c r="B503" s="293"/>
      <c r="C503" s="294" t="s">
        <v>5</v>
      </c>
      <c r="D503" s="294" t="s">
        <v>106</v>
      </c>
      <c r="E503" s="294" t="s">
        <v>593</v>
      </c>
      <c r="F503" s="295" t="s">
        <v>120</v>
      </c>
      <c r="G503" s="263">
        <v>115.3</v>
      </c>
      <c r="H503" s="20">
        <f>SUM(H504+H511)</f>
        <v>17205.399999999998</v>
      </c>
      <c r="I503" s="20">
        <f>SUM(H503/G529*100)</f>
        <v>480.45014101812285</v>
      </c>
    </row>
    <row r="504" spans="1:9" ht="15">
      <c r="A504" s="114" t="s">
        <v>505</v>
      </c>
      <c r="B504" s="293"/>
      <c r="C504" s="294" t="s">
        <v>5</v>
      </c>
      <c r="D504" s="294" t="s">
        <v>106</v>
      </c>
      <c r="E504" s="294" t="s">
        <v>593</v>
      </c>
      <c r="F504" s="295" t="s">
        <v>506</v>
      </c>
      <c r="G504" s="263">
        <v>7687.8</v>
      </c>
      <c r="H504" s="20">
        <f>SUM(H509)</f>
        <v>0</v>
      </c>
      <c r="I504" s="20">
        <f>SUM(H504/G530*100)</f>
        <v>0</v>
      </c>
    </row>
    <row r="505" spans="1:9" ht="28.5">
      <c r="A505" s="114" t="s">
        <v>740</v>
      </c>
      <c r="B505" s="293"/>
      <c r="C505" s="294" t="s">
        <v>5</v>
      </c>
      <c r="D505" s="294" t="s">
        <v>106</v>
      </c>
      <c r="E505" s="294" t="s">
        <v>741</v>
      </c>
      <c r="F505" s="295"/>
      <c r="G505" s="263">
        <f>SUM(G506:G507)</f>
        <v>255.3</v>
      </c>
      <c r="H505" s="20"/>
      <c r="I505" s="20"/>
    </row>
    <row r="506" spans="1:9" ht="15">
      <c r="A506" s="109" t="s">
        <v>500</v>
      </c>
      <c r="B506" s="293"/>
      <c r="C506" s="294" t="s">
        <v>5</v>
      </c>
      <c r="D506" s="294" t="s">
        <v>106</v>
      </c>
      <c r="E506" s="294" t="s">
        <v>741</v>
      </c>
      <c r="F506" s="295" t="s">
        <v>120</v>
      </c>
      <c r="G506" s="263">
        <v>5</v>
      </c>
      <c r="H506" s="20"/>
      <c r="I506" s="20"/>
    </row>
    <row r="507" spans="1:9" ht="15">
      <c r="A507" s="114" t="s">
        <v>505</v>
      </c>
      <c r="B507" s="293"/>
      <c r="C507" s="294" t="s">
        <v>5</v>
      </c>
      <c r="D507" s="294" t="s">
        <v>106</v>
      </c>
      <c r="E507" s="294" t="s">
        <v>741</v>
      </c>
      <c r="F507" s="295" t="s">
        <v>506</v>
      </c>
      <c r="G507" s="263">
        <v>250.3</v>
      </c>
      <c r="H507" s="20"/>
      <c r="I507" s="20"/>
    </row>
    <row r="508" spans="1:9" ht="15">
      <c r="A508" s="114" t="s">
        <v>184</v>
      </c>
      <c r="B508" s="293"/>
      <c r="C508" s="294" t="s">
        <v>5</v>
      </c>
      <c r="D508" s="294" t="s">
        <v>106</v>
      </c>
      <c r="E508" s="294" t="s">
        <v>185</v>
      </c>
      <c r="F508" s="295"/>
      <c r="G508" s="263">
        <f>SUM(G509)</f>
        <v>952.9</v>
      </c>
      <c r="H508" s="20"/>
      <c r="I508" s="20"/>
    </row>
    <row r="509" spans="1:9" ht="15">
      <c r="A509" s="114" t="s">
        <v>186</v>
      </c>
      <c r="B509" s="293"/>
      <c r="C509" s="294" t="s">
        <v>5</v>
      </c>
      <c r="D509" s="294" t="s">
        <v>106</v>
      </c>
      <c r="E509" s="294" t="s">
        <v>187</v>
      </c>
      <c r="F509" s="295"/>
      <c r="G509" s="263">
        <f>SUM(G510:G511)</f>
        <v>952.9</v>
      </c>
      <c r="H509" s="20">
        <f>SUM(H510)</f>
        <v>0</v>
      </c>
      <c r="I509" s="20">
        <f>SUM(H509/G531*100)</f>
        <v>0</v>
      </c>
    </row>
    <row r="510" spans="1:9" ht="15">
      <c r="A510" s="109" t="s">
        <v>500</v>
      </c>
      <c r="B510" s="293"/>
      <c r="C510" s="294" t="s">
        <v>5</v>
      </c>
      <c r="D510" s="294" t="s">
        <v>106</v>
      </c>
      <c r="E510" s="294" t="s">
        <v>187</v>
      </c>
      <c r="F510" s="295" t="s">
        <v>120</v>
      </c>
      <c r="G510" s="263">
        <v>648.9</v>
      </c>
      <c r="H510" s="20"/>
      <c r="I510" s="20">
        <f>SUM(H510/G532*100)</f>
        <v>0</v>
      </c>
    </row>
    <row r="511" spans="1:9" ht="15">
      <c r="A511" s="114" t="s">
        <v>505</v>
      </c>
      <c r="B511" s="293"/>
      <c r="C511" s="294" t="s">
        <v>5</v>
      </c>
      <c r="D511" s="294" t="s">
        <v>106</v>
      </c>
      <c r="E511" s="294" t="s">
        <v>187</v>
      </c>
      <c r="F511" s="295" t="s">
        <v>506</v>
      </c>
      <c r="G511" s="263">
        <v>304</v>
      </c>
      <c r="H511" s="20">
        <f>SUM(H512)</f>
        <v>17205.399999999998</v>
      </c>
      <c r="I511" s="20">
        <f>SUM(H511/G533*100)</f>
        <v>477.6093715300909</v>
      </c>
    </row>
    <row r="512" spans="1:9" ht="15">
      <c r="A512" s="114" t="s">
        <v>594</v>
      </c>
      <c r="B512" s="293"/>
      <c r="C512" s="294" t="s">
        <v>5</v>
      </c>
      <c r="D512" s="294" t="s">
        <v>106</v>
      </c>
      <c r="E512" s="294" t="s">
        <v>129</v>
      </c>
      <c r="F512" s="295"/>
      <c r="G512" s="263">
        <f>G513</f>
        <v>295.4</v>
      </c>
      <c r="H512" s="20">
        <f>SUM(H518)+H519+H524+H513+H515</f>
        <v>17205.399999999998</v>
      </c>
      <c r="I512" s="20">
        <f>SUM(H512/G534*100)</f>
        <v>3188.547071905114</v>
      </c>
    </row>
    <row r="513" spans="1:9" ht="15">
      <c r="A513" s="114" t="s">
        <v>685</v>
      </c>
      <c r="B513" s="293"/>
      <c r="C513" s="294" t="s">
        <v>5</v>
      </c>
      <c r="D513" s="294" t="s">
        <v>106</v>
      </c>
      <c r="E513" s="294" t="s">
        <v>595</v>
      </c>
      <c r="F513" s="295"/>
      <c r="G513" s="263">
        <f>G514</f>
        <v>295.4</v>
      </c>
      <c r="H513" s="20">
        <f>SUM(H514)</f>
        <v>241.8</v>
      </c>
      <c r="I513" s="20">
        <f>SUM(H513/G536*100)</f>
        <v>1.6592442135745116</v>
      </c>
    </row>
    <row r="514" spans="1:9" ht="15">
      <c r="A514" s="114" t="s">
        <v>505</v>
      </c>
      <c r="B514" s="293"/>
      <c r="C514" s="294" t="s">
        <v>5</v>
      </c>
      <c r="D514" s="294" t="s">
        <v>106</v>
      </c>
      <c r="E514" s="294" t="s">
        <v>595</v>
      </c>
      <c r="F514" s="295" t="s">
        <v>506</v>
      </c>
      <c r="G514" s="263">
        <v>295.4</v>
      </c>
      <c r="H514" s="20">
        <v>241.8</v>
      </c>
      <c r="I514" s="20">
        <f>SUM(H514/G537*100)</f>
        <v>1.6592442135745116</v>
      </c>
    </row>
    <row r="515" spans="1:9" ht="15">
      <c r="A515" s="120" t="s">
        <v>158</v>
      </c>
      <c r="B515" s="293"/>
      <c r="C515" s="294" t="s">
        <v>5</v>
      </c>
      <c r="D515" s="294" t="s">
        <v>122</v>
      </c>
      <c r="E515" s="294"/>
      <c r="F515" s="295"/>
      <c r="G515" s="263">
        <f>SUM(G516)</f>
        <v>34848.7</v>
      </c>
      <c r="H515" s="20">
        <f>SUM(H516)</f>
        <v>252</v>
      </c>
      <c r="I515" s="20">
        <f>SUM(H515/G538*100)</f>
        <v>4.563811869532933</v>
      </c>
    </row>
    <row r="516" spans="1:9" ht="15">
      <c r="A516" s="114" t="s">
        <v>159</v>
      </c>
      <c r="B516" s="293"/>
      <c r="C516" s="294" t="s">
        <v>5</v>
      </c>
      <c r="D516" s="294" t="s">
        <v>122</v>
      </c>
      <c r="E516" s="294" t="s">
        <v>222</v>
      </c>
      <c r="F516" s="295"/>
      <c r="G516" s="263">
        <f>SUM(G517)</f>
        <v>34848.7</v>
      </c>
      <c r="H516" s="20">
        <v>252</v>
      </c>
      <c r="I516" s="20">
        <f>SUM(H516/G539*100)</f>
        <v>5.0923493513316895</v>
      </c>
    </row>
    <row r="517" spans="1:9" ht="28.5">
      <c r="A517" s="114" t="s">
        <v>479</v>
      </c>
      <c r="B517" s="293"/>
      <c r="C517" s="294" t="s">
        <v>5</v>
      </c>
      <c r="D517" s="294" t="s">
        <v>122</v>
      </c>
      <c r="E517" s="294" t="s">
        <v>162</v>
      </c>
      <c r="F517" s="295"/>
      <c r="G517" s="263">
        <f>SUM(G524+G518+G521)</f>
        <v>34848.7</v>
      </c>
      <c r="H517" s="20"/>
      <c r="I517" s="20"/>
    </row>
    <row r="518" spans="1:9" ht="15">
      <c r="A518" s="114" t="s">
        <v>163</v>
      </c>
      <c r="B518" s="293"/>
      <c r="C518" s="294" t="s">
        <v>5</v>
      </c>
      <c r="D518" s="294" t="s">
        <v>122</v>
      </c>
      <c r="E518" s="294" t="s">
        <v>164</v>
      </c>
      <c r="F518" s="295"/>
      <c r="G518" s="263">
        <f>SUM(G519:G520)</f>
        <v>6513.5</v>
      </c>
      <c r="H518" s="20">
        <f>SUM(H522)</f>
        <v>0</v>
      </c>
      <c r="I518" s="20">
        <f>SUM(H518/G540*100)</f>
        <v>0</v>
      </c>
    </row>
    <row r="519" spans="1:9" ht="15">
      <c r="A519" s="109" t="s">
        <v>500</v>
      </c>
      <c r="B519" s="293"/>
      <c r="C519" s="294" t="s">
        <v>5</v>
      </c>
      <c r="D519" s="294" t="s">
        <v>122</v>
      </c>
      <c r="E519" s="294" t="s">
        <v>164</v>
      </c>
      <c r="F519" s="295" t="s">
        <v>120</v>
      </c>
      <c r="G519" s="263">
        <v>96.7</v>
      </c>
      <c r="H519" s="20">
        <f>SUM(H521)</f>
        <v>0</v>
      </c>
      <c r="I519" s="20">
        <f>SUM(H519/G541*100)</f>
        <v>0</v>
      </c>
    </row>
    <row r="520" spans="1:9" ht="15">
      <c r="A520" s="114" t="s">
        <v>505</v>
      </c>
      <c r="B520" s="293"/>
      <c r="C520" s="294" t="s">
        <v>5</v>
      </c>
      <c r="D520" s="294" t="s">
        <v>122</v>
      </c>
      <c r="E520" s="294" t="s">
        <v>164</v>
      </c>
      <c r="F520" s="295" t="s">
        <v>506</v>
      </c>
      <c r="G520" s="263">
        <v>6416.8</v>
      </c>
      <c r="H520" s="20"/>
      <c r="I520" s="20"/>
    </row>
    <row r="521" spans="1:9" ht="15">
      <c r="A521" s="114" t="s">
        <v>480</v>
      </c>
      <c r="B521" s="293"/>
      <c r="C521" s="294" t="s">
        <v>5</v>
      </c>
      <c r="D521" s="294" t="s">
        <v>122</v>
      </c>
      <c r="E521" s="294" t="s">
        <v>165</v>
      </c>
      <c r="F521" s="295"/>
      <c r="G521" s="263">
        <f>SUM(G522:G523)</f>
        <v>5392</v>
      </c>
      <c r="H521" s="20"/>
      <c r="I521" s="20">
        <f>SUM(H521/G542*100)</f>
        <v>0</v>
      </c>
    </row>
    <row r="522" spans="1:9" ht="15">
      <c r="A522" s="109" t="s">
        <v>500</v>
      </c>
      <c r="B522" s="293"/>
      <c r="C522" s="294" t="s">
        <v>5</v>
      </c>
      <c r="D522" s="294" t="s">
        <v>122</v>
      </c>
      <c r="E522" s="294" t="s">
        <v>165</v>
      </c>
      <c r="F522" s="295" t="s">
        <v>120</v>
      </c>
      <c r="G522" s="263">
        <v>56.3</v>
      </c>
      <c r="H522" s="20"/>
      <c r="I522" s="20">
        <f>SUM(H522/G543*100)</f>
        <v>0</v>
      </c>
    </row>
    <row r="523" spans="1:9" ht="15">
      <c r="A523" s="114" t="s">
        <v>505</v>
      </c>
      <c r="B523" s="293"/>
      <c r="C523" s="294" t="s">
        <v>5</v>
      </c>
      <c r="D523" s="294" t="s">
        <v>122</v>
      </c>
      <c r="E523" s="294" t="s">
        <v>165</v>
      </c>
      <c r="F523" s="295" t="s">
        <v>506</v>
      </c>
      <c r="G523" s="263">
        <v>5335.7</v>
      </c>
      <c r="H523" s="20"/>
      <c r="I523" s="20"/>
    </row>
    <row r="524" spans="1:9" ht="15">
      <c r="A524" s="114" t="s">
        <v>481</v>
      </c>
      <c r="B524" s="293"/>
      <c r="C524" s="294" t="s">
        <v>5</v>
      </c>
      <c r="D524" s="294" t="s">
        <v>122</v>
      </c>
      <c r="E524" s="294" t="s">
        <v>482</v>
      </c>
      <c r="F524" s="295"/>
      <c r="G524" s="263">
        <f>SUM(G525:G526)</f>
        <v>22943.2</v>
      </c>
      <c r="H524" s="20">
        <f>SUM(H525)</f>
        <v>16711.6</v>
      </c>
      <c r="I524" s="20">
        <f>SUM(H524/G545*100)</f>
        <v>1341.5429076021514</v>
      </c>
    </row>
    <row r="525" spans="1:9" ht="15">
      <c r="A525" s="109" t="s">
        <v>500</v>
      </c>
      <c r="B525" s="293"/>
      <c r="C525" s="294" t="s">
        <v>5</v>
      </c>
      <c r="D525" s="294" t="s">
        <v>122</v>
      </c>
      <c r="E525" s="294" t="s">
        <v>482</v>
      </c>
      <c r="F525" s="295" t="s">
        <v>120</v>
      </c>
      <c r="G525" s="263">
        <v>356</v>
      </c>
      <c r="H525" s="20">
        <v>16711.6</v>
      </c>
      <c r="I525" s="20">
        <f>SUM(H525/G546*100)</f>
        <v>1364.6578474603953</v>
      </c>
    </row>
    <row r="526" spans="1:9" ht="15">
      <c r="A526" s="114" t="s">
        <v>505</v>
      </c>
      <c r="B526" s="293"/>
      <c r="C526" s="294" t="s">
        <v>5</v>
      </c>
      <c r="D526" s="294" t="s">
        <v>122</v>
      </c>
      <c r="E526" s="294" t="s">
        <v>482</v>
      </c>
      <c r="F526" s="295" t="s">
        <v>506</v>
      </c>
      <c r="G526" s="263">
        <v>22587.2</v>
      </c>
      <c r="H526" s="20">
        <f>SUM(H527)</f>
        <v>15109.199999999999</v>
      </c>
      <c r="I526" s="20">
        <f aca="true" t="shared" si="9" ref="I526:I531">SUM(H526/G548*100)</f>
        <v>1315.4448894306108</v>
      </c>
    </row>
    <row r="527" spans="1:9" ht="15">
      <c r="A527" s="114" t="s">
        <v>166</v>
      </c>
      <c r="B527" s="293"/>
      <c r="C527" s="294" t="s">
        <v>5</v>
      </c>
      <c r="D527" s="294" t="s">
        <v>391</v>
      </c>
      <c r="E527" s="294"/>
      <c r="F527" s="295"/>
      <c r="G527" s="263">
        <f>G528+G541+G551</f>
        <v>30683.799999999996</v>
      </c>
      <c r="H527" s="20">
        <f>SUM(H528)</f>
        <v>15109.199999999999</v>
      </c>
      <c r="I527" s="20">
        <f t="shared" si="9"/>
        <v>7554599.999999998</v>
      </c>
    </row>
    <row r="528" spans="1:11" ht="28.5">
      <c r="A528" s="114" t="s">
        <v>99</v>
      </c>
      <c r="B528" s="293"/>
      <c r="C528" s="294" t="s">
        <v>5</v>
      </c>
      <c r="D528" s="294" t="s">
        <v>391</v>
      </c>
      <c r="E528" s="294" t="s">
        <v>100</v>
      </c>
      <c r="F528" s="295"/>
      <c r="G528" s="263">
        <f>G529+G532+G536+G538</f>
        <v>27908.899999999998</v>
      </c>
      <c r="H528" s="20">
        <f>SUM(H537+H530+H532+H539+H529)</f>
        <v>15109.199999999999</v>
      </c>
      <c r="I528" s="20">
        <f t="shared" si="9"/>
        <v>1315.6739811912225</v>
      </c>
      <c r="K528" s="105"/>
    </row>
    <row r="529" spans="1:9" ht="15">
      <c r="A529" s="114" t="s">
        <v>107</v>
      </c>
      <c r="B529" s="293"/>
      <c r="C529" s="294" t="s">
        <v>5</v>
      </c>
      <c r="D529" s="294" t="s">
        <v>391</v>
      </c>
      <c r="E529" s="294" t="s">
        <v>109</v>
      </c>
      <c r="F529" s="295"/>
      <c r="G529" s="263">
        <f>G530+G531</f>
        <v>3581.1</v>
      </c>
      <c r="H529" s="20">
        <v>227.6</v>
      </c>
      <c r="I529" s="20">
        <f t="shared" si="9"/>
        <v>151.73333333333332</v>
      </c>
    </row>
    <row r="530" spans="1:9" ht="28.5">
      <c r="A530" s="114" t="s">
        <v>596</v>
      </c>
      <c r="B530" s="293"/>
      <c r="C530" s="294" t="s">
        <v>5</v>
      </c>
      <c r="D530" s="294" t="s">
        <v>391</v>
      </c>
      <c r="E530" s="294" t="s">
        <v>109</v>
      </c>
      <c r="F530" s="295" t="s">
        <v>496</v>
      </c>
      <c r="G530" s="263">
        <v>3568.5</v>
      </c>
      <c r="H530" s="20">
        <f>SUM(H531)</f>
        <v>0</v>
      </c>
      <c r="I530" s="20">
        <f t="shared" si="9"/>
        <v>0</v>
      </c>
    </row>
    <row r="531" spans="1:9" ht="15">
      <c r="A531" s="114" t="s">
        <v>500</v>
      </c>
      <c r="B531" s="293"/>
      <c r="C531" s="294" t="s">
        <v>5</v>
      </c>
      <c r="D531" s="294" t="s">
        <v>391</v>
      </c>
      <c r="E531" s="294" t="s">
        <v>109</v>
      </c>
      <c r="F531" s="295" t="s">
        <v>120</v>
      </c>
      <c r="G531" s="263">
        <v>12.6</v>
      </c>
      <c r="H531" s="20"/>
      <c r="I531" s="20">
        <f t="shared" si="9"/>
        <v>0</v>
      </c>
    </row>
    <row r="532" spans="1:9" s="99" customFormat="1" ht="42.75">
      <c r="A532" s="114" t="s">
        <v>597</v>
      </c>
      <c r="B532" s="293"/>
      <c r="C532" s="294" t="s">
        <v>5</v>
      </c>
      <c r="D532" s="294" t="s">
        <v>391</v>
      </c>
      <c r="E532" s="294" t="s">
        <v>169</v>
      </c>
      <c r="F532" s="295"/>
      <c r="G532" s="263">
        <f>SUM(G533:G535)</f>
        <v>4233.2</v>
      </c>
      <c r="H532" s="20">
        <f>SUM(H534)</f>
        <v>2507.7</v>
      </c>
      <c r="I532" s="20" t="e">
        <f>SUM(H532/#REF!*100)</f>
        <v>#REF!</v>
      </c>
    </row>
    <row r="533" spans="1:9" s="99" customFormat="1" ht="28.5">
      <c r="A533" s="114" t="s">
        <v>596</v>
      </c>
      <c r="B533" s="293"/>
      <c r="C533" s="294" t="s">
        <v>5</v>
      </c>
      <c r="D533" s="294" t="s">
        <v>391</v>
      </c>
      <c r="E533" s="294" t="s">
        <v>169</v>
      </c>
      <c r="F533" s="295" t="s">
        <v>496</v>
      </c>
      <c r="G533" s="263">
        <v>3602.4</v>
      </c>
      <c r="H533" s="20"/>
      <c r="I533" s="20"/>
    </row>
    <row r="534" spans="1:9" s="99" customFormat="1" ht="15">
      <c r="A534" s="114" t="s">
        <v>500</v>
      </c>
      <c r="B534" s="319"/>
      <c r="C534" s="294" t="s">
        <v>5</v>
      </c>
      <c r="D534" s="294" t="s">
        <v>391</v>
      </c>
      <c r="E534" s="294" t="s">
        <v>169</v>
      </c>
      <c r="F534" s="295" t="s">
        <v>120</v>
      </c>
      <c r="G534" s="263">
        <v>539.6</v>
      </c>
      <c r="H534" s="20">
        <v>2507.7</v>
      </c>
      <c r="I534" s="20" t="e">
        <f>SUM(H534/#REF!*100)</f>
        <v>#REF!</v>
      </c>
    </row>
    <row r="535" spans="1:9" s="99" customFormat="1" ht="15">
      <c r="A535" s="109" t="s">
        <v>501</v>
      </c>
      <c r="B535" s="319"/>
      <c r="C535" s="294" t="s">
        <v>5</v>
      </c>
      <c r="D535" s="294" t="s">
        <v>391</v>
      </c>
      <c r="E535" s="294" t="s">
        <v>169</v>
      </c>
      <c r="F535" s="295" t="s">
        <v>176</v>
      </c>
      <c r="G535" s="263">
        <v>91.2</v>
      </c>
      <c r="H535" s="20"/>
      <c r="I535" s="20" t="e">
        <f>SUM(H535/#REF!*100)</f>
        <v>#REF!</v>
      </c>
    </row>
    <row r="536" spans="1:9" ht="28.5">
      <c r="A536" s="114" t="s">
        <v>167</v>
      </c>
      <c r="B536" s="293"/>
      <c r="C536" s="294" t="s">
        <v>5</v>
      </c>
      <c r="D536" s="294" t="s">
        <v>391</v>
      </c>
      <c r="E536" s="294" t="s">
        <v>168</v>
      </c>
      <c r="F536" s="295"/>
      <c r="G536" s="263">
        <f>SUM(G537)</f>
        <v>14572.9</v>
      </c>
      <c r="H536" s="20">
        <f>2956.3+101.6</f>
        <v>3057.9</v>
      </c>
      <c r="I536" s="20" t="e">
        <f>SUM(H536/#REF!*100)</f>
        <v>#REF!</v>
      </c>
    </row>
    <row r="537" spans="1:9" ht="28.5">
      <c r="A537" s="114" t="s">
        <v>596</v>
      </c>
      <c r="B537" s="293"/>
      <c r="C537" s="294" t="s">
        <v>5</v>
      </c>
      <c r="D537" s="294" t="s">
        <v>391</v>
      </c>
      <c r="E537" s="294" t="s">
        <v>168</v>
      </c>
      <c r="F537" s="295" t="s">
        <v>496</v>
      </c>
      <c r="G537" s="263">
        <v>14572.9</v>
      </c>
      <c r="H537" s="20">
        <f>SUM(H538)</f>
        <v>10267.1</v>
      </c>
      <c r="I537" s="20" t="e">
        <f>SUM(H537/#REF!*100)</f>
        <v>#REF!</v>
      </c>
    </row>
    <row r="538" spans="1:9" ht="28.5">
      <c r="A538" s="114" t="s">
        <v>170</v>
      </c>
      <c r="B538" s="319"/>
      <c r="C538" s="294" t="s">
        <v>5</v>
      </c>
      <c r="D538" s="294" t="s">
        <v>391</v>
      </c>
      <c r="E538" s="294" t="s">
        <v>171</v>
      </c>
      <c r="F538" s="295"/>
      <c r="G538" s="263">
        <f>G539+G540</f>
        <v>5521.700000000001</v>
      </c>
      <c r="H538" s="20">
        <v>10267.1</v>
      </c>
      <c r="I538" s="20" t="e">
        <f>SUM(H538/#REF!*100)</f>
        <v>#REF!</v>
      </c>
    </row>
    <row r="539" spans="1:9" s="99" customFormat="1" ht="28.5">
      <c r="A539" s="114" t="s">
        <v>596</v>
      </c>
      <c r="B539" s="293"/>
      <c r="C539" s="294" t="s">
        <v>5</v>
      </c>
      <c r="D539" s="294" t="s">
        <v>391</v>
      </c>
      <c r="E539" s="294" t="s">
        <v>171</v>
      </c>
      <c r="F539" s="295" t="s">
        <v>496</v>
      </c>
      <c r="G539" s="263">
        <v>4948.6</v>
      </c>
      <c r="H539" s="20">
        <f>SUM(H540)</f>
        <v>2106.8</v>
      </c>
      <c r="I539" s="20" t="e">
        <f>SUM(H539/#REF!*100)</f>
        <v>#REF!</v>
      </c>
    </row>
    <row r="540" spans="1:9" ht="15">
      <c r="A540" s="114" t="s">
        <v>500</v>
      </c>
      <c r="B540" s="293"/>
      <c r="C540" s="294" t="s">
        <v>5</v>
      </c>
      <c r="D540" s="294" t="s">
        <v>391</v>
      </c>
      <c r="E540" s="294" t="s">
        <v>171</v>
      </c>
      <c r="F540" s="295" t="s">
        <v>120</v>
      </c>
      <c r="G540" s="263">
        <v>573.1</v>
      </c>
      <c r="H540" s="20">
        <v>2106.8</v>
      </c>
      <c r="I540" s="20" t="e">
        <f>SUM(H540/#REF!*100)</f>
        <v>#REF!</v>
      </c>
    </row>
    <row r="541" spans="1:9" s="87" customFormat="1" ht="28.5">
      <c r="A541" s="114" t="s">
        <v>497</v>
      </c>
      <c r="B541" s="293"/>
      <c r="C541" s="294" t="s">
        <v>5</v>
      </c>
      <c r="D541" s="294" t="s">
        <v>391</v>
      </c>
      <c r="E541" s="294" t="s">
        <v>498</v>
      </c>
      <c r="F541" s="295"/>
      <c r="G541" s="263">
        <f>G542+G545+G548</f>
        <v>2624.8999999999996</v>
      </c>
      <c r="H541" s="20"/>
      <c r="I541" s="20"/>
    </row>
    <row r="542" spans="1:9" s="87" customFormat="1" ht="15">
      <c r="A542" s="114" t="s">
        <v>486</v>
      </c>
      <c r="B542" s="319"/>
      <c r="C542" s="294" t="s">
        <v>5</v>
      </c>
      <c r="D542" s="294" t="s">
        <v>391</v>
      </c>
      <c r="E542" s="294" t="s">
        <v>499</v>
      </c>
      <c r="F542" s="295"/>
      <c r="G542" s="263">
        <f>SUM(G543:G544)</f>
        <v>230.6</v>
      </c>
      <c r="H542" s="20"/>
      <c r="I542" s="20"/>
    </row>
    <row r="543" spans="1:9" s="87" customFormat="1" ht="15">
      <c r="A543" s="114" t="s">
        <v>500</v>
      </c>
      <c r="B543" s="293"/>
      <c r="C543" s="294" t="s">
        <v>5</v>
      </c>
      <c r="D543" s="294" t="s">
        <v>391</v>
      </c>
      <c r="E543" s="294" t="s">
        <v>499</v>
      </c>
      <c r="F543" s="295" t="s">
        <v>120</v>
      </c>
      <c r="G543" s="263">
        <v>230</v>
      </c>
      <c r="H543" s="20"/>
      <c r="I543" s="20"/>
    </row>
    <row r="544" spans="1:9" s="87" customFormat="1" ht="15">
      <c r="A544" s="109" t="s">
        <v>501</v>
      </c>
      <c r="B544" s="293"/>
      <c r="C544" s="294" t="s">
        <v>5</v>
      </c>
      <c r="D544" s="294" t="s">
        <v>391</v>
      </c>
      <c r="E544" s="294" t="s">
        <v>499</v>
      </c>
      <c r="F544" s="295" t="s">
        <v>176</v>
      </c>
      <c r="G544" s="263">
        <v>0.6</v>
      </c>
      <c r="H544" s="20"/>
      <c r="I544" s="20"/>
    </row>
    <row r="545" spans="1:9" s="87" customFormat="1" ht="28.5">
      <c r="A545" s="114" t="s">
        <v>487</v>
      </c>
      <c r="B545" s="319"/>
      <c r="C545" s="294" t="s">
        <v>5</v>
      </c>
      <c r="D545" s="294" t="s">
        <v>391</v>
      </c>
      <c r="E545" s="294" t="s">
        <v>502</v>
      </c>
      <c r="F545" s="295"/>
      <c r="G545" s="263">
        <f>SUM(G546:G547)</f>
        <v>1245.6999999999998</v>
      </c>
      <c r="H545" s="20">
        <v>1026.3</v>
      </c>
      <c r="I545" s="20" t="e">
        <f>SUM(H545/#REF!*100)</f>
        <v>#REF!</v>
      </c>
    </row>
    <row r="546" spans="1:9" s="87" customFormat="1" ht="15">
      <c r="A546" s="114" t="s">
        <v>500</v>
      </c>
      <c r="B546" s="293"/>
      <c r="C546" s="294" t="s">
        <v>5</v>
      </c>
      <c r="D546" s="294" t="s">
        <v>391</v>
      </c>
      <c r="E546" s="294" t="s">
        <v>502</v>
      </c>
      <c r="F546" s="295" t="s">
        <v>120</v>
      </c>
      <c r="G546" s="263">
        <v>1224.6</v>
      </c>
      <c r="H546" s="20"/>
      <c r="I546" s="20"/>
    </row>
    <row r="547" spans="1:9" s="87" customFormat="1" ht="15">
      <c r="A547" s="109" t="s">
        <v>501</v>
      </c>
      <c r="B547" s="293"/>
      <c r="C547" s="294" t="s">
        <v>5</v>
      </c>
      <c r="D547" s="294" t="s">
        <v>391</v>
      </c>
      <c r="E547" s="294" t="s">
        <v>502</v>
      </c>
      <c r="F547" s="295" t="s">
        <v>176</v>
      </c>
      <c r="G547" s="263">
        <v>21.1</v>
      </c>
      <c r="H547" s="20"/>
      <c r="I547" s="20"/>
    </row>
    <row r="548" spans="1:9" s="87" customFormat="1" ht="28.5">
      <c r="A548" s="114" t="s">
        <v>503</v>
      </c>
      <c r="B548" s="319"/>
      <c r="C548" s="294" t="s">
        <v>5</v>
      </c>
      <c r="D548" s="294" t="s">
        <v>391</v>
      </c>
      <c r="E548" s="294" t="s">
        <v>504</v>
      </c>
      <c r="F548" s="295"/>
      <c r="G548" s="263">
        <f>G549+G550</f>
        <v>1148.6000000000001</v>
      </c>
      <c r="H548" s="20"/>
      <c r="I548" s="20"/>
    </row>
    <row r="549" spans="1:9" s="87" customFormat="1" ht="28.5">
      <c r="A549" s="114" t="s">
        <v>596</v>
      </c>
      <c r="B549" s="293"/>
      <c r="C549" s="294" t="s">
        <v>5</v>
      </c>
      <c r="D549" s="294" t="s">
        <v>391</v>
      </c>
      <c r="E549" s="294" t="s">
        <v>504</v>
      </c>
      <c r="F549" s="295" t="s">
        <v>496</v>
      </c>
      <c r="G549" s="263">
        <v>0.2</v>
      </c>
      <c r="H549" s="20"/>
      <c r="I549" s="20"/>
    </row>
    <row r="550" spans="1:9" s="87" customFormat="1" ht="15">
      <c r="A550" s="114" t="s">
        <v>500</v>
      </c>
      <c r="B550" s="293"/>
      <c r="C550" s="294" t="s">
        <v>5</v>
      </c>
      <c r="D550" s="294" t="s">
        <v>391</v>
      </c>
      <c r="E550" s="294" t="s">
        <v>504</v>
      </c>
      <c r="F550" s="295" t="s">
        <v>120</v>
      </c>
      <c r="G550" s="263">
        <v>1148.4</v>
      </c>
      <c r="H550" s="20"/>
      <c r="I550" s="20"/>
    </row>
    <row r="551" spans="1:9" ht="15">
      <c r="A551" s="114" t="s">
        <v>594</v>
      </c>
      <c r="B551" s="293"/>
      <c r="C551" s="294" t="s">
        <v>5</v>
      </c>
      <c r="D551" s="294" t="s">
        <v>391</v>
      </c>
      <c r="E551" s="294" t="s">
        <v>129</v>
      </c>
      <c r="F551" s="295"/>
      <c r="G551" s="263">
        <f>G552</f>
        <v>150</v>
      </c>
      <c r="H551" s="20"/>
      <c r="I551" s="20"/>
    </row>
    <row r="552" spans="1:9" ht="71.25">
      <c r="A552" s="114" t="s">
        <v>669</v>
      </c>
      <c r="B552" s="293"/>
      <c r="C552" s="294" t="s">
        <v>5</v>
      </c>
      <c r="D552" s="294" t="s">
        <v>391</v>
      </c>
      <c r="E552" s="294" t="s">
        <v>365</v>
      </c>
      <c r="F552" s="295"/>
      <c r="G552" s="263">
        <f>G553</f>
        <v>150</v>
      </c>
      <c r="H552" s="20"/>
      <c r="I552" s="20"/>
    </row>
    <row r="553" spans="1:9" ht="28.5">
      <c r="A553" s="114" t="s">
        <v>592</v>
      </c>
      <c r="B553" s="293"/>
      <c r="C553" s="294" t="s">
        <v>5</v>
      </c>
      <c r="D553" s="294" t="s">
        <v>391</v>
      </c>
      <c r="E553" s="294" t="s">
        <v>365</v>
      </c>
      <c r="F553" s="295" t="s">
        <v>513</v>
      </c>
      <c r="G553" s="263">
        <v>150</v>
      </c>
      <c r="H553" s="20"/>
      <c r="I553" s="20"/>
    </row>
    <row r="554" spans="1:9" ht="30">
      <c r="A554" s="119" t="s">
        <v>488</v>
      </c>
      <c r="B554" s="320" t="s">
        <v>203</v>
      </c>
      <c r="C554" s="321"/>
      <c r="D554" s="321"/>
      <c r="E554" s="321"/>
      <c r="F554" s="322"/>
      <c r="G554" s="262">
        <f>SUM(G555+G569)</f>
        <v>68738.40000000001</v>
      </c>
      <c r="H554" s="20"/>
      <c r="I554" s="20"/>
    </row>
    <row r="555" spans="1:9" ht="15">
      <c r="A555" s="109" t="s">
        <v>116</v>
      </c>
      <c r="B555" s="274"/>
      <c r="C555" s="280" t="s">
        <v>117</v>
      </c>
      <c r="D555" s="280"/>
      <c r="E555" s="280"/>
      <c r="F555" s="277"/>
      <c r="G555" s="258">
        <f>SUM(G556)+G561</f>
        <v>58284.3</v>
      </c>
      <c r="H555" s="20"/>
      <c r="I555" s="20"/>
    </row>
    <row r="556" spans="1:9" ht="15">
      <c r="A556" s="109" t="s">
        <v>343</v>
      </c>
      <c r="B556" s="281"/>
      <c r="C556" s="280" t="s">
        <v>117</v>
      </c>
      <c r="D556" s="280" t="s">
        <v>462</v>
      </c>
      <c r="E556" s="280"/>
      <c r="F556" s="277"/>
      <c r="G556" s="258">
        <f>SUM(G557)</f>
        <v>57959.8</v>
      </c>
      <c r="H556" s="20"/>
      <c r="I556" s="20"/>
    </row>
    <row r="557" spans="1:9" ht="15.75">
      <c r="A557" s="109" t="s">
        <v>634</v>
      </c>
      <c r="B557" s="274"/>
      <c r="C557" s="280" t="s">
        <v>117</v>
      </c>
      <c r="D557" s="280" t="s">
        <v>462</v>
      </c>
      <c r="E557" s="280" t="s">
        <v>321</v>
      </c>
      <c r="F557" s="277"/>
      <c r="G557" s="258">
        <f>SUM(G558)</f>
        <v>57959.8</v>
      </c>
      <c r="H557" s="78"/>
      <c r="I557" s="20"/>
    </row>
    <row r="558" spans="1:9" ht="15.75">
      <c r="A558" s="109" t="s">
        <v>606</v>
      </c>
      <c r="B558" s="281"/>
      <c r="C558" s="280" t="s">
        <v>117</v>
      </c>
      <c r="D558" s="280" t="s">
        <v>462</v>
      </c>
      <c r="E558" s="280" t="s">
        <v>78</v>
      </c>
      <c r="F558" s="277"/>
      <c r="G558" s="258">
        <f>SUM(G559)</f>
        <v>57959.8</v>
      </c>
      <c r="H558" s="78"/>
      <c r="I558" s="20"/>
    </row>
    <row r="559" spans="1:9" ht="28.5">
      <c r="A559" s="109" t="s">
        <v>94</v>
      </c>
      <c r="B559" s="281"/>
      <c r="C559" s="280" t="s">
        <v>117</v>
      </c>
      <c r="D559" s="280" t="s">
        <v>462</v>
      </c>
      <c r="E559" s="280" t="s">
        <v>79</v>
      </c>
      <c r="F559" s="277"/>
      <c r="G559" s="258">
        <f>SUM(G560)</f>
        <v>57959.8</v>
      </c>
      <c r="H559" s="78"/>
      <c r="I559" s="20"/>
    </row>
    <row r="560" spans="1:9" ht="28.5">
      <c r="A560" s="114" t="s">
        <v>517</v>
      </c>
      <c r="B560" s="317"/>
      <c r="C560" s="280" t="s">
        <v>117</v>
      </c>
      <c r="D560" s="280" t="s">
        <v>462</v>
      </c>
      <c r="E560" s="280" t="s">
        <v>79</v>
      </c>
      <c r="F560" s="278" t="s">
        <v>513</v>
      </c>
      <c r="G560" s="258">
        <v>57959.8</v>
      </c>
      <c r="H560" s="78"/>
      <c r="I560" s="20"/>
    </row>
    <row r="561" spans="1:9" ht="15.75">
      <c r="A561" s="114" t="s">
        <v>118</v>
      </c>
      <c r="B561" s="323"/>
      <c r="C561" s="300" t="s">
        <v>117</v>
      </c>
      <c r="D561" s="300" t="s">
        <v>117</v>
      </c>
      <c r="E561" s="300"/>
      <c r="F561" s="324"/>
      <c r="G561" s="261">
        <f>SUM(G562)+G566</f>
        <v>324.5</v>
      </c>
      <c r="H561" s="78"/>
      <c r="I561" s="20"/>
    </row>
    <row r="562" spans="1:9" ht="15.75">
      <c r="A562" s="120" t="s">
        <v>230</v>
      </c>
      <c r="B562" s="323"/>
      <c r="C562" s="300" t="s">
        <v>117</v>
      </c>
      <c r="D562" s="300" t="s">
        <v>117</v>
      </c>
      <c r="E562" s="300" t="s">
        <v>119</v>
      </c>
      <c r="F562" s="324"/>
      <c r="G562" s="261">
        <f>SUM(G563)</f>
        <v>200</v>
      </c>
      <c r="H562" s="78"/>
      <c r="I562" s="20"/>
    </row>
    <row r="563" spans="1:9" ht="28.5">
      <c r="A563" s="120" t="s">
        <v>90</v>
      </c>
      <c r="B563" s="323"/>
      <c r="C563" s="300" t="s">
        <v>117</v>
      </c>
      <c r="D563" s="300" t="s">
        <v>117</v>
      </c>
      <c r="E563" s="300" t="s">
        <v>91</v>
      </c>
      <c r="F563" s="324"/>
      <c r="G563" s="261">
        <f>SUM(G564)</f>
        <v>200</v>
      </c>
      <c r="H563" s="78"/>
      <c r="I563" s="20"/>
    </row>
    <row r="564" spans="1:9" ht="42.75">
      <c r="A564" s="120" t="s">
        <v>92</v>
      </c>
      <c r="B564" s="323"/>
      <c r="C564" s="300" t="s">
        <v>117</v>
      </c>
      <c r="D564" s="300" t="s">
        <v>117</v>
      </c>
      <c r="E564" s="300" t="s">
        <v>93</v>
      </c>
      <c r="F564" s="324"/>
      <c r="G564" s="261">
        <f>SUM(G565:G565)</f>
        <v>200</v>
      </c>
      <c r="H564" s="78"/>
      <c r="I564" s="20"/>
    </row>
    <row r="565" spans="1:9" ht="28.5">
      <c r="A565" s="114" t="s">
        <v>524</v>
      </c>
      <c r="B565" s="323"/>
      <c r="C565" s="300" t="s">
        <v>117</v>
      </c>
      <c r="D565" s="300" t="s">
        <v>117</v>
      </c>
      <c r="E565" s="300" t="s">
        <v>93</v>
      </c>
      <c r="F565" s="324" t="s">
        <v>513</v>
      </c>
      <c r="G565" s="261">
        <v>200</v>
      </c>
      <c r="H565" s="78"/>
      <c r="I565" s="20"/>
    </row>
    <row r="566" spans="1:9" ht="15.75">
      <c r="A566" s="114" t="s">
        <v>594</v>
      </c>
      <c r="B566" s="318"/>
      <c r="C566" s="300" t="s">
        <v>117</v>
      </c>
      <c r="D566" s="300" t="s">
        <v>117</v>
      </c>
      <c r="E566" s="300" t="s">
        <v>129</v>
      </c>
      <c r="F566" s="324"/>
      <c r="G566" s="261">
        <f>SUM(G567)</f>
        <v>124.5</v>
      </c>
      <c r="H566" s="78"/>
      <c r="I566" s="20"/>
    </row>
    <row r="567" spans="1:9" ht="15.75">
      <c r="A567" s="153" t="s">
        <v>614</v>
      </c>
      <c r="B567" s="318"/>
      <c r="C567" s="300" t="s">
        <v>117</v>
      </c>
      <c r="D567" s="300" t="s">
        <v>117</v>
      </c>
      <c r="E567" s="300" t="s">
        <v>97</v>
      </c>
      <c r="F567" s="324"/>
      <c r="G567" s="263">
        <f>SUM(G568)</f>
        <v>124.5</v>
      </c>
      <c r="H567" s="78"/>
      <c r="I567" s="20"/>
    </row>
    <row r="568" spans="1:9" ht="27" customHeight="1">
      <c r="A568" s="114" t="s">
        <v>524</v>
      </c>
      <c r="B568" s="318"/>
      <c r="C568" s="300" t="s">
        <v>117</v>
      </c>
      <c r="D568" s="300" t="s">
        <v>117</v>
      </c>
      <c r="E568" s="300" t="s">
        <v>97</v>
      </c>
      <c r="F568" s="324" t="s">
        <v>513</v>
      </c>
      <c r="G568" s="263">
        <v>124.5</v>
      </c>
      <c r="H568" s="78"/>
      <c r="I568" s="20"/>
    </row>
    <row r="569" spans="1:9" ht="15.75">
      <c r="A569" s="109" t="s">
        <v>245</v>
      </c>
      <c r="B569" s="274"/>
      <c r="C569" s="280" t="s">
        <v>419</v>
      </c>
      <c r="D569" s="280"/>
      <c r="E569" s="280"/>
      <c r="F569" s="277"/>
      <c r="G569" s="258">
        <f>SUM(G570+G606+G586)+G598</f>
        <v>10454.1</v>
      </c>
      <c r="H569" s="78"/>
      <c r="I569" s="20"/>
    </row>
    <row r="570" spans="1:9" ht="15" customHeight="1">
      <c r="A570" s="109" t="s">
        <v>238</v>
      </c>
      <c r="B570" s="274"/>
      <c r="C570" s="275" t="s">
        <v>419</v>
      </c>
      <c r="D570" s="275" t="s">
        <v>460</v>
      </c>
      <c r="E570" s="275"/>
      <c r="F570" s="276"/>
      <c r="G570" s="258">
        <f>SUM(G571,G573,G579)</f>
        <v>7135.1</v>
      </c>
      <c r="H570" s="78"/>
      <c r="I570" s="20"/>
    </row>
    <row r="571" spans="1:9" ht="15.75" hidden="1">
      <c r="A571" s="114" t="s">
        <v>387</v>
      </c>
      <c r="B571" s="274"/>
      <c r="C571" s="275" t="s">
        <v>300</v>
      </c>
      <c r="D571" s="275" t="s">
        <v>124</v>
      </c>
      <c r="E571" s="280" t="s">
        <v>388</v>
      </c>
      <c r="F571" s="277"/>
      <c r="G571" s="258">
        <f>SUM(G572)</f>
        <v>0</v>
      </c>
      <c r="H571" s="78"/>
      <c r="I571" s="20"/>
    </row>
    <row r="572" spans="1:9" ht="15.75" hidden="1">
      <c r="A572" s="109" t="s">
        <v>103</v>
      </c>
      <c r="B572" s="274"/>
      <c r="C572" s="275" t="s">
        <v>300</v>
      </c>
      <c r="D572" s="275" t="s">
        <v>124</v>
      </c>
      <c r="E572" s="280" t="s">
        <v>388</v>
      </c>
      <c r="F572" s="277" t="s">
        <v>104</v>
      </c>
      <c r="G572" s="258">
        <f>50.3-50.3</f>
        <v>0</v>
      </c>
      <c r="H572" s="78"/>
      <c r="I572" s="20"/>
    </row>
    <row r="573" spans="1:9" ht="28.5">
      <c r="A573" s="109" t="s">
        <v>489</v>
      </c>
      <c r="B573" s="274"/>
      <c r="C573" s="275" t="s">
        <v>419</v>
      </c>
      <c r="D573" s="275" t="s">
        <v>460</v>
      </c>
      <c r="E573" s="275" t="s">
        <v>490</v>
      </c>
      <c r="F573" s="277"/>
      <c r="G573" s="258">
        <f>SUM(G574)</f>
        <v>3854.3</v>
      </c>
      <c r="H573" s="78"/>
      <c r="I573" s="20"/>
    </row>
    <row r="574" spans="1:9" ht="28.5">
      <c r="A574" s="109" t="s">
        <v>56</v>
      </c>
      <c r="B574" s="274"/>
      <c r="C574" s="275" t="s">
        <v>419</v>
      </c>
      <c r="D574" s="275" t="s">
        <v>460</v>
      </c>
      <c r="E574" s="275" t="s">
        <v>491</v>
      </c>
      <c r="F574" s="277"/>
      <c r="G574" s="258">
        <f>SUM(G575)</f>
        <v>3854.3</v>
      </c>
      <c r="H574" s="20">
        <f>SUM(H575)</f>
        <v>79.5</v>
      </c>
      <c r="I574" s="20"/>
    </row>
    <row r="575" spans="1:9" ht="28.5">
      <c r="A575" s="109" t="s">
        <v>635</v>
      </c>
      <c r="B575" s="274"/>
      <c r="C575" s="275" t="s">
        <v>419</v>
      </c>
      <c r="D575" s="275" t="s">
        <v>460</v>
      </c>
      <c r="E575" s="275" t="s">
        <v>570</v>
      </c>
      <c r="F575" s="277"/>
      <c r="G575" s="258">
        <f>SUM(G576:G578)</f>
        <v>3854.3</v>
      </c>
      <c r="H575" s="20">
        <v>79.5</v>
      </c>
      <c r="I575" s="20"/>
    </row>
    <row r="576" spans="1:9" ht="28.5">
      <c r="A576" s="109" t="s">
        <v>495</v>
      </c>
      <c r="B576" s="274"/>
      <c r="C576" s="275" t="s">
        <v>419</v>
      </c>
      <c r="D576" s="275" t="s">
        <v>460</v>
      </c>
      <c r="E576" s="275" t="s">
        <v>570</v>
      </c>
      <c r="F576" s="276" t="s">
        <v>496</v>
      </c>
      <c r="G576" s="258">
        <v>3228.9</v>
      </c>
      <c r="H576" s="20">
        <f>SUM(H578)</f>
        <v>186.6</v>
      </c>
      <c r="I576" s="20" t="e">
        <f>SUM(H576/G615*100)</f>
        <v>#DIV/0!</v>
      </c>
    </row>
    <row r="577" spans="1:9" ht="15">
      <c r="A577" s="109" t="s">
        <v>500</v>
      </c>
      <c r="B577" s="274"/>
      <c r="C577" s="275" t="s">
        <v>419</v>
      </c>
      <c r="D577" s="275" t="s">
        <v>460</v>
      </c>
      <c r="E577" s="275" t="s">
        <v>570</v>
      </c>
      <c r="F577" s="276" t="s">
        <v>120</v>
      </c>
      <c r="G577" s="259">
        <v>619.4</v>
      </c>
      <c r="H577" s="20">
        <f>SUM(H578)</f>
        <v>186.6</v>
      </c>
      <c r="I577" s="20" t="e">
        <f>SUM(H577/G616*100)</f>
        <v>#DIV/0!</v>
      </c>
    </row>
    <row r="578" spans="1:9" ht="15">
      <c r="A578" s="109" t="s">
        <v>501</v>
      </c>
      <c r="B578" s="274"/>
      <c r="C578" s="275" t="s">
        <v>419</v>
      </c>
      <c r="D578" s="275" t="s">
        <v>460</v>
      </c>
      <c r="E578" s="275" t="s">
        <v>570</v>
      </c>
      <c r="F578" s="277" t="s">
        <v>176</v>
      </c>
      <c r="G578" s="258">
        <v>6</v>
      </c>
      <c r="H578" s="20">
        <v>186.6</v>
      </c>
      <c r="I578" s="20" t="e">
        <f>SUM(H578/G617*100)</f>
        <v>#DIV/0!</v>
      </c>
    </row>
    <row r="579" spans="1:9" ht="15">
      <c r="A579" s="114" t="s">
        <v>594</v>
      </c>
      <c r="B579" s="274"/>
      <c r="C579" s="275" t="s">
        <v>419</v>
      </c>
      <c r="D579" s="275" t="s">
        <v>460</v>
      </c>
      <c r="E579" s="282" t="s">
        <v>129</v>
      </c>
      <c r="F579" s="276"/>
      <c r="G579" s="258">
        <f>SUM(G580)</f>
        <v>3280.8</v>
      </c>
      <c r="H579" s="20"/>
      <c r="I579" s="20"/>
    </row>
    <row r="580" spans="1:9" ht="28.5">
      <c r="A580" s="109" t="s">
        <v>632</v>
      </c>
      <c r="B580" s="274"/>
      <c r="C580" s="275" t="s">
        <v>419</v>
      </c>
      <c r="D580" s="275" t="s">
        <v>460</v>
      </c>
      <c r="E580" s="282" t="s">
        <v>98</v>
      </c>
      <c r="F580" s="276"/>
      <c r="G580" s="258">
        <f>SUM(G581:G583)</f>
        <v>3280.8</v>
      </c>
      <c r="H580" s="78" t="e">
        <f>SUM(H581)</f>
        <v>#REF!</v>
      </c>
      <c r="I580" s="78" t="e">
        <f>SUM(H580/#REF!*100)</f>
        <v>#REF!</v>
      </c>
    </row>
    <row r="581" spans="1:9" ht="27" customHeight="1">
      <c r="A581" s="109" t="s">
        <v>495</v>
      </c>
      <c r="B581" s="274"/>
      <c r="C581" s="275" t="s">
        <v>419</v>
      </c>
      <c r="D581" s="275" t="s">
        <v>460</v>
      </c>
      <c r="E581" s="282" t="s">
        <v>98</v>
      </c>
      <c r="F581" s="276" t="s">
        <v>496</v>
      </c>
      <c r="G581" s="258">
        <v>700</v>
      </c>
      <c r="H581" s="20" t="e">
        <f>SUM(H582)</f>
        <v>#REF!</v>
      </c>
      <c r="I581" s="20" t="e">
        <f>SUM(H581/#REF!*100)</f>
        <v>#REF!</v>
      </c>
    </row>
    <row r="582" spans="1:9" ht="15">
      <c r="A582" s="109" t="s">
        <v>500</v>
      </c>
      <c r="B582" s="274"/>
      <c r="C582" s="275" t="s">
        <v>419</v>
      </c>
      <c r="D582" s="275" t="s">
        <v>460</v>
      </c>
      <c r="E582" s="282" t="s">
        <v>98</v>
      </c>
      <c r="F582" s="276" t="s">
        <v>120</v>
      </c>
      <c r="G582" s="258">
        <v>1608.8</v>
      </c>
      <c r="H582" s="20" t="e">
        <f>SUM(H583+#REF!)</f>
        <v>#REF!</v>
      </c>
      <c r="I582" s="20" t="e">
        <f>SUM(H582/#REF!*100)</f>
        <v>#REF!</v>
      </c>
    </row>
    <row r="583" spans="1:9" ht="28.5">
      <c r="A583" s="114" t="s">
        <v>517</v>
      </c>
      <c r="B583" s="274"/>
      <c r="C583" s="275" t="s">
        <v>419</v>
      </c>
      <c r="D583" s="275" t="s">
        <v>460</v>
      </c>
      <c r="E583" s="282" t="s">
        <v>98</v>
      </c>
      <c r="F583" s="276" t="s">
        <v>513</v>
      </c>
      <c r="G583" s="258">
        <v>972</v>
      </c>
      <c r="H583" s="20" t="e">
        <f>SUM(H584+H586+#REF!+#REF!+#REF!+#REF!)</f>
        <v>#REF!</v>
      </c>
      <c r="I583" s="20" t="e">
        <f>SUM(H583/#REF!*100)</f>
        <v>#REF!</v>
      </c>
    </row>
    <row r="584" spans="1:9" ht="28.5" hidden="1">
      <c r="A584" s="109" t="s">
        <v>152</v>
      </c>
      <c r="B584" s="274"/>
      <c r="C584" s="275" t="s">
        <v>419</v>
      </c>
      <c r="D584" s="275" t="s">
        <v>460</v>
      </c>
      <c r="E584" s="282" t="s">
        <v>412</v>
      </c>
      <c r="F584" s="276"/>
      <c r="G584" s="258">
        <f>SUM(G585)</f>
        <v>0</v>
      </c>
      <c r="H584" s="20">
        <f>SUM(H585)</f>
        <v>2461.2</v>
      </c>
      <c r="I584" s="20" t="e">
        <f>SUM(H584/#REF!*100)</f>
        <v>#REF!</v>
      </c>
    </row>
    <row r="585" spans="1:9" ht="15" hidden="1">
      <c r="A585" s="114" t="s">
        <v>143</v>
      </c>
      <c r="B585" s="274"/>
      <c r="C585" s="275" t="s">
        <v>419</v>
      </c>
      <c r="D585" s="275" t="s">
        <v>460</v>
      </c>
      <c r="E585" s="282" t="s">
        <v>412</v>
      </c>
      <c r="F585" s="276" t="s">
        <v>83</v>
      </c>
      <c r="G585" s="258"/>
      <c r="H585" s="20">
        <v>2461.2</v>
      </c>
      <c r="I585" s="20" t="e">
        <f>SUM(H585/#REF!*100)</f>
        <v>#REF!</v>
      </c>
    </row>
    <row r="586" spans="1:9" ht="18" customHeight="1">
      <c r="A586" s="109" t="s">
        <v>155</v>
      </c>
      <c r="B586" s="274"/>
      <c r="C586" s="275" t="s">
        <v>419</v>
      </c>
      <c r="D586" s="275" t="s">
        <v>462</v>
      </c>
      <c r="E586" s="280"/>
      <c r="F586" s="277"/>
      <c r="G586" s="258">
        <f>SUM(G590)+G587</f>
        <v>2626.6</v>
      </c>
      <c r="H586" s="20">
        <f>SUM(H593)</f>
        <v>25107.2</v>
      </c>
      <c r="I586" s="20" t="e">
        <f>SUM(H586/#REF!*100)</f>
        <v>#REF!</v>
      </c>
    </row>
    <row r="587" spans="1:9" ht="18" customHeight="1">
      <c r="A587" s="109" t="s">
        <v>184</v>
      </c>
      <c r="B587" s="274"/>
      <c r="C587" s="275" t="s">
        <v>419</v>
      </c>
      <c r="D587" s="275" t="s">
        <v>462</v>
      </c>
      <c r="E587" s="280" t="s">
        <v>185</v>
      </c>
      <c r="F587" s="277"/>
      <c r="G587" s="258">
        <f>SUM(G588)</f>
        <v>1000</v>
      </c>
      <c r="H587" s="20"/>
      <c r="I587" s="20"/>
    </row>
    <row r="588" spans="1:9" ht="39" customHeight="1">
      <c r="A588" s="109" t="s">
        <v>759</v>
      </c>
      <c r="B588" s="274"/>
      <c r="C588" s="275" t="s">
        <v>419</v>
      </c>
      <c r="D588" s="275" t="s">
        <v>462</v>
      </c>
      <c r="E588" s="280" t="s">
        <v>760</v>
      </c>
      <c r="F588" s="277"/>
      <c r="G588" s="258">
        <f>SUM(G589)</f>
        <v>1000</v>
      </c>
      <c r="H588" s="20"/>
      <c r="I588" s="20"/>
    </row>
    <row r="589" spans="1:9" ht="31.5" customHeight="1">
      <c r="A589" s="114" t="s">
        <v>517</v>
      </c>
      <c r="B589" s="274"/>
      <c r="C589" s="275" t="s">
        <v>419</v>
      </c>
      <c r="D589" s="275" t="s">
        <v>462</v>
      </c>
      <c r="E589" s="280" t="s">
        <v>760</v>
      </c>
      <c r="F589" s="277" t="s">
        <v>513</v>
      </c>
      <c r="G589" s="258">
        <v>1000</v>
      </c>
      <c r="H589" s="20"/>
      <c r="I589" s="20"/>
    </row>
    <row r="590" spans="1:9" ht="15">
      <c r="A590" s="114" t="s">
        <v>681</v>
      </c>
      <c r="B590" s="274"/>
      <c r="C590" s="275" t="s">
        <v>419</v>
      </c>
      <c r="D590" s="275" t="s">
        <v>462</v>
      </c>
      <c r="E590" s="275" t="s">
        <v>683</v>
      </c>
      <c r="F590" s="277"/>
      <c r="G590" s="258">
        <f>SUM(G591)+G596</f>
        <v>1626.6</v>
      </c>
      <c r="H590" s="20"/>
      <c r="I590" s="20"/>
    </row>
    <row r="591" spans="1:9" ht="28.5">
      <c r="A591" s="109" t="s">
        <v>686</v>
      </c>
      <c r="B591" s="274"/>
      <c r="C591" s="275" t="s">
        <v>419</v>
      </c>
      <c r="D591" s="275" t="s">
        <v>462</v>
      </c>
      <c r="E591" s="275" t="s">
        <v>687</v>
      </c>
      <c r="F591" s="277"/>
      <c r="G591" s="258">
        <f>SUM(G594)+G592</f>
        <v>626.6</v>
      </c>
      <c r="H591" s="20"/>
      <c r="I591" s="20"/>
    </row>
    <row r="592" spans="1:9" ht="28.5">
      <c r="A592" s="109" t="s">
        <v>714</v>
      </c>
      <c r="B592" s="274"/>
      <c r="C592" s="275" t="s">
        <v>419</v>
      </c>
      <c r="D592" s="275" t="s">
        <v>462</v>
      </c>
      <c r="E592" s="275" t="s">
        <v>715</v>
      </c>
      <c r="F592" s="277"/>
      <c r="G592" s="258">
        <f>SUM(G593)</f>
        <v>468.6</v>
      </c>
      <c r="H592" s="20"/>
      <c r="I592" s="20"/>
    </row>
    <row r="593" spans="1:9" ht="33.75" customHeight="1">
      <c r="A593" s="114" t="s">
        <v>517</v>
      </c>
      <c r="B593" s="274"/>
      <c r="C593" s="275" t="s">
        <v>419</v>
      </c>
      <c r="D593" s="275" t="s">
        <v>462</v>
      </c>
      <c r="E593" s="275" t="s">
        <v>715</v>
      </c>
      <c r="F593" s="277" t="s">
        <v>513</v>
      </c>
      <c r="G593" s="258">
        <v>468.6</v>
      </c>
      <c r="H593" s="20">
        <v>25107.2</v>
      </c>
      <c r="I593" s="20" t="e">
        <f>SUM(H593/#REF!*100)</f>
        <v>#REF!</v>
      </c>
    </row>
    <row r="594" spans="1:9" ht="33.75" customHeight="1">
      <c r="A594" s="109" t="s">
        <v>695</v>
      </c>
      <c r="B594" s="274"/>
      <c r="C594" s="275" t="s">
        <v>419</v>
      </c>
      <c r="D594" s="275" t="s">
        <v>462</v>
      </c>
      <c r="E594" s="275" t="s">
        <v>696</v>
      </c>
      <c r="F594" s="277"/>
      <c r="G594" s="258">
        <f>SUM(G595)</f>
        <v>158</v>
      </c>
      <c r="H594" s="20"/>
      <c r="I594" s="20"/>
    </row>
    <row r="595" spans="1:9" ht="33.75" customHeight="1">
      <c r="A595" s="114" t="s">
        <v>517</v>
      </c>
      <c r="B595" s="274"/>
      <c r="C595" s="275" t="s">
        <v>419</v>
      </c>
      <c r="D595" s="275" t="s">
        <v>462</v>
      </c>
      <c r="E595" s="275" t="s">
        <v>696</v>
      </c>
      <c r="F595" s="276" t="s">
        <v>513</v>
      </c>
      <c r="G595" s="258">
        <v>158</v>
      </c>
      <c r="H595" s="20"/>
      <c r="I595" s="20"/>
    </row>
    <row r="596" spans="1:9" ht="30.75" customHeight="1">
      <c r="A596" s="114" t="s">
        <v>716</v>
      </c>
      <c r="B596" s="274"/>
      <c r="C596" s="275" t="s">
        <v>419</v>
      </c>
      <c r="D596" s="275" t="s">
        <v>462</v>
      </c>
      <c r="E596" s="275" t="s">
        <v>717</v>
      </c>
      <c r="F596" s="276"/>
      <c r="G596" s="258">
        <f>SUM(G597)</f>
        <v>1000</v>
      </c>
      <c r="H596" s="20"/>
      <c r="I596" s="20"/>
    </row>
    <row r="597" spans="1:9" ht="33" customHeight="1">
      <c r="A597" s="114" t="s">
        <v>517</v>
      </c>
      <c r="B597" s="274"/>
      <c r="C597" s="275" t="s">
        <v>419</v>
      </c>
      <c r="D597" s="275" t="s">
        <v>462</v>
      </c>
      <c r="E597" s="275" t="s">
        <v>717</v>
      </c>
      <c r="F597" s="276" t="s">
        <v>513</v>
      </c>
      <c r="G597" s="258">
        <v>1000</v>
      </c>
      <c r="H597" s="20"/>
      <c r="I597" s="20"/>
    </row>
    <row r="598" spans="1:9" ht="18.75" customHeight="1">
      <c r="A598" s="114" t="s">
        <v>718</v>
      </c>
      <c r="B598" s="274"/>
      <c r="C598" s="275" t="s">
        <v>419</v>
      </c>
      <c r="D598" s="275" t="s">
        <v>106</v>
      </c>
      <c r="E598" s="275"/>
      <c r="F598" s="276"/>
      <c r="G598" s="258">
        <f>SUM(G602)+G599</f>
        <v>692.4</v>
      </c>
      <c r="H598" s="20"/>
      <c r="I598" s="20"/>
    </row>
    <row r="599" spans="1:9" ht="21" customHeight="1">
      <c r="A599" s="114" t="s">
        <v>719</v>
      </c>
      <c r="B599" s="274"/>
      <c r="C599" s="275" t="s">
        <v>419</v>
      </c>
      <c r="D599" s="275" t="s">
        <v>106</v>
      </c>
      <c r="E599" s="275" t="s">
        <v>720</v>
      </c>
      <c r="F599" s="276"/>
      <c r="G599" s="258">
        <f>SUM(G600)</f>
        <v>306.5</v>
      </c>
      <c r="H599" s="20"/>
      <c r="I599" s="20"/>
    </row>
    <row r="600" spans="1:9" ht="33.75" customHeight="1">
      <c r="A600" s="114" t="s">
        <v>721</v>
      </c>
      <c r="B600" s="274"/>
      <c r="C600" s="275" t="s">
        <v>419</v>
      </c>
      <c r="D600" s="275" t="s">
        <v>106</v>
      </c>
      <c r="E600" s="275" t="s">
        <v>722</v>
      </c>
      <c r="F600" s="276"/>
      <c r="G600" s="258">
        <f>SUM(G601)</f>
        <v>306.5</v>
      </c>
      <c r="H600" s="20"/>
      <c r="I600" s="20"/>
    </row>
    <row r="601" spans="1:9" ht="33.75" customHeight="1">
      <c r="A601" s="114" t="s">
        <v>517</v>
      </c>
      <c r="B601" s="274"/>
      <c r="C601" s="275" t="s">
        <v>419</v>
      </c>
      <c r="D601" s="275" t="s">
        <v>106</v>
      </c>
      <c r="E601" s="275" t="s">
        <v>722</v>
      </c>
      <c r="F601" s="276" t="s">
        <v>513</v>
      </c>
      <c r="G601" s="258">
        <v>306.5</v>
      </c>
      <c r="H601" s="20"/>
      <c r="I601" s="20"/>
    </row>
    <row r="602" spans="1:9" ht="19.5" customHeight="1">
      <c r="A602" s="114" t="s">
        <v>681</v>
      </c>
      <c r="B602" s="274"/>
      <c r="C602" s="275" t="s">
        <v>419</v>
      </c>
      <c r="D602" s="275" t="s">
        <v>106</v>
      </c>
      <c r="E602" s="275" t="s">
        <v>683</v>
      </c>
      <c r="F602" s="277"/>
      <c r="G602" s="258">
        <f>SUM(G603)</f>
        <v>385.9</v>
      </c>
      <c r="H602" s="20"/>
      <c r="I602" s="20"/>
    </row>
    <row r="603" spans="1:9" ht="33" customHeight="1">
      <c r="A603" s="109" t="s">
        <v>686</v>
      </c>
      <c r="B603" s="274"/>
      <c r="C603" s="275" t="s">
        <v>419</v>
      </c>
      <c r="D603" s="275" t="s">
        <v>106</v>
      </c>
      <c r="E603" s="275" t="s">
        <v>687</v>
      </c>
      <c r="F603" s="277"/>
      <c r="G603" s="258">
        <f>SUM(G604)</f>
        <v>385.9</v>
      </c>
      <c r="H603" s="20"/>
      <c r="I603" s="20"/>
    </row>
    <row r="604" spans="1:9" ht="28.5">
      <c r="A604" s="109" t="s">
        <v>714</v>
      </c>
      <c r="B604" s="274"/>
      <c r="C604" s="275" t="s">
        <v>419</v>
      </c>
      <c r="D604" s="275" t="s">
        <v>106</v>
      </c>
      <c r="E604" s="275" t="s">
        <v>715</v>
      </c>
      <c r="F604" s="277"/>
      <c r="G604" s="258">
        <f>SUM(G605)</f>
        <v>385.9</v>
      </c>
      <c r="H604" s="20">
        <f>SUM(H608+H709+H707)</f>
        <v>56722</v>
      </c>
      <c r="I604" s="20">
        <f>SUM(H604/G622*100)</f>
        <v>10.253128747967567</v>
      </c>
    </row>
    <row r="605" spans="1:9" ht="28.5">
      <c r="A605" s="114" t="s">
        <v>517</v>
      </c>
      <c r="B605" s="274"/>
      <c r="C605" s="275" t="s">
        <v>419</v>
      </c>
      <c r="D605" s="275" t="s">
        <v>106</v>
      </c>
      <c r="E605" s="275" t="s">
        <v>715</v>
      </c>
      <c r="F605" s="277" t="s">
        <v>513</v>
      </c>
      <c r="G605" s="258">
        <v>385.9</v>
      </c>
      <c r="H605" s="20"/>
      <c r="I605" s="20"/>
    </row>
    <row r="606" spans="1:9" ht="15" hidden="1">
      <c r="A606" s="109" t="s">
        <v>239</v>
      </c>
      <c r="B606" s="274"/>
      <c r="C606" s="275" t="s">
        <v>419</v>
      </c>
      <c r="D606" s="275" t="s">
        <v>131</v>
      </c>
      <c r="E606" s="280"/>
      <c r="F606" s="277"/>
      <c r="G606" s="258">
        <f>SUM(G607+G613+G615)+G610</f>
        <v>0</v>
      </c>
      <c r="H606" s="20"/>
      <c r="I606" s="20"/>
    </row>
    <row r="607" spans="1:9" ht="28.5" hidden="1">
      <c r="A607" s="109" t="s">
        <v>99</v>
      </c>
      <c r="B607" s="274"/>
      <c r="C607" s="275" t="s">
        <v>419</v>
      </c>
      <c r="D607" s="275" t="s">
        <v>131</v>
      </c>
      <c r="E607" s="275" t="s">
        <v>100</v>
      </c>
      <c r="F607" s="277"/>
      <c r="G607" s="258">
        <f>SUM(G608)</f>
        <v>0</v>
      </c>
      <c r="H607" s="20"/>
      <c r="I607" s="20"/>
    </row>
    <row r="608" spans="1:9" ht="15" hidden="1">
      <c r="A608" s="109" t="s">
        <v>107</v>
      </c>
      <c r="B608" s="274"/>
      <c r="C608" s="275" t="s">
        <v>419</v>
      </c>
      <c r="D608" s="275" t="s">
        <v>131</v>
      </c>
      <c r="E608" s="275" t="s">
        <v>109</v>
      </c>
      <c r="F608" s="277"/>
      <c r="G608" s="258">
        <f>SUM(G609)</f>
        <v>0</v>
      </c>
      <c r="H608" s="20">
        <v>56722</v>
      </c>
      <c r="I608" s="20">
        <f>SUM(H608/G624*100)</f>
        <v>15.704691334234273</v>
      </c>
    </row>
    <row r="609" spans="1:9" ht="15" hidden="1">
      <c r="A609" s="109" t="s">
        <v>103</v>
      </c>
      <c r="B609" s="274"/>
      <c r="C609" s="275" t="s">
        <v>419</v>
      </c>
      <c r="D609" s="275" t="s">
        <v>131</v>
      </c>
      <c r="E609" s="275" t="s">
        <v>109</v>
      </c>
      <c r="F609" s="276" t="s">
        <v>104</v>
      </c>
      <c r="G609" s="258"/>
      <c r="H609" s="20"/>
      <c r="I609" s="20"/>
    </row>
    <row r="610" spans="1:9" ht="15" hidden="1">
      <c r="A610" s="114" t="s">
        <v>128</v>
      </c>
      <c r="B610" s="274"/>
      <c r="C610" s="275" t="s">
        <v>419</v>
      </c>
      <c r="D610" s="275" t="s">
        <v>131</v>
      </c>
      <c r="E610" s="282" t="s">
        <v>129</v>
      </c>
      <c r="F610" s="276"/>
      <c r="G610" s="258">
        <f>SUM(G611)</f>
        <v>0</v>
      </c>
      <c r="H610" s="20"/>
      <c r="I610" s="20"/>
    </row>
    <row r="611" spans="1:9" ht="42.75" hidden="1">
      <c r="A611" s="117" t="s">
        <v>208</v>
      </c>
      <c r="B611" s="274"/>
      <c r="C611" s="275" t="s">
        <v>419</v>
      </c>
      <c r="D611" s="275" t="s">
        <v>131</v>
      </c>
      <c r="E611" s="280" t="s">
        <v>298</v>
      </c>
      <c r="F611" s="276"/>
      <c r="G611" s="258">
        <f>SUM(G612)</f>
        <v>0</v>
      </c>
      <c r="H611" s="20"/>
      <c r="I611" s="20"/>
    </row>
    <row r="612" spans="1:9" ht="15" hidden="1">
      <c r="A612" s="109" t="s">
        <v>103</v>
      </c>
      <c r="B612" s="274"/>
      <c r="C612" s="275" t="s">
        <v>419</v>
      </c>
      <c r="D612" s="275" t="s">
        <v>131</v>
      </c>
      <c r="E612" s="280" t="s">
        <v>298</v>
      </c>
      <c r="F612" s="276" t="s">
        <v>104</v>
      </c>
      <c r="G612" s="258"/>
      <c r="H612" s="20"/>
      <c r="I612" s="20"/>
    </row>
    <row r="613" spans="1:9" ht="15" hidden="1">
      <c r="A613" s="114" t="s">
        <v>387</v>
      </c>
      <c r="B613" s="274"/>
      <c r="C613" s="275" t="s">
        <v>419</v>
      </c>
      <c r="D613" s="275" t="s">
        <v>131</v>
      </c>
      <c r="E613" s="280" t="s">
        <v>388</v>
      </c>
      <c r="F613" s="277"/>
      <c r="G613" s="258">
        <f>SUM(G614)</f>
        <v>0</v>
      </c>
      <c r="H613" s="20"/>
      <c r="I613" s="20"/>
    </row>
    <row r="614" spans="1:9" ht="15" hidden="1">
      <c r="A614" s="109" t="s">
        <v>103</v>
      </c>
      <c r="B614" s="274"/>
      <c r="C614" s="275" t="s">
        <v>419</v>
      </c>
      <c r="D614" s="275" t="s">
        <v>131</v>
      </c>
      <c r="E614" s="280" t="s">
        <v>388</v>
      </c>
      <c r="F614" s="277" t="s">
        <v>104</v>
      </c>
      <c r="G614" s="258"/>
      <c r="H614" s="20"/>
      <c r="I614" s="20"/>
    </row>
    <row r="615" spans="1:9" ht="28.5" hidden="1">
      <c r="A615" s="110" t="s">
        <v>113</v>
      </c>
      <c r="B615" s="274"/>
      <c r="C615" s="275" t="s">
        <v>419</v>
      </c>
      <c r="D615" s="275" t="s">
        <v>131</v>
      </c>
      <c r="E615" s="275" t="s">
        <v>114</v>
      </c>
      <c r="F615" s="278"/>
      <c r="G615" s="258">
        <f>SUM(G617)</f>
        <v>0</v>
      </c>
      <c r="H615" s="20"/>
      <c r="I615" s="20"/>
    </row>
    <row r="616" spans="1:9" ht="15" hidden="1">
      <c r="A616" s="110" t="s">
        <v>115</v>
      </c>
      <c r="B616" s="274"/>
      <c r="C616" s="275" t="s">
        <v>419</v>
      </c>
      <c r="D616" s="275" t="s">
        <v>131</v>
      </c>
      <c r="E616" s="275" t="s">
        <v>248</v>
      </c>
      <c r="F616" s="278"/>
      <c r="G616" s="258">
        <f>SUM(G617)</f>
        <v>0</v>
      </c>
      <c r="H616" s="20"/>
      <c r="I616" s="20"/>
    </row>
    <row r="617" spans="1:9" ht="15" hidden="1">
      <c r="A617" s="109" t="s">
        <v>103</v>
      </c>
      <c r="B617" s="274"/>
      <c r="C617" s="275" t="s">
        <v>419</v>
      </c>
      <c r="D617" s="275" t="s">
        <v>131</v>
      </c>
      <c r="E617" s="275" t="s">
        <v>248</v>
      </c>
      <c r="F617" s="278" t="s">
        <v>104</v>
      </c>
      <c r="G617" s="258"/>
      <c r="H617" s="20"/>
      <c r="I617" s="20"/>
    </row>
    <row r="618" spans="1:9" ht="15">
      <c r="A618" s="112" t="s">
        <v>305</v>
      </c>
      <c r="B618" s="281" t="s">
        <v>263</v>
      </c>
      <c r="C618" s="325"/>
      <c r="D618" s="325"/>
      <c r="E618" s="325"/>
      <c r="F618" s="326"/>
      <c r="G618" s="260">
        <f>SUM(G619+G751)</f>
        <v>1712650.0000000002</v>
      </c>
      <c r="H618" s="20">
        <v>187516.5</v>
      </c>
      <c r="I618" s="20">
        <f>SUM(H618/G657*100)</f>
        <v>202.18524145262978</v>
      </c>
    </row>
    <row r="619" spans="1:9" s="87" customFormat="1" ht="15">
      <c r="A619" s="114" t="s">
        <v>116</v>
      </c>
      <c r="B619" s="323"/>
      <c r="C619" s="300" t="s">
        <v>117</v>
      </c>
      <c r="D619" s="300"/>
      <c r="E619" s="300"/>
      <c r="F619" s="324"/>
      <c r="G619" s="261">
        <f>SUM(G620+G654+G709+G740)</f>
        <v>1676158.7000000002</v>
      </c>
      <c r="H619" s="20"/>
      <c r="I619" s="20"/>
    </row>
    <row r="620" spans="1:9" s="87" customFormat="1" ht="15">
      <c r="A620" s="114" t="s">
        <v>338</v>
      </c>
      <c r="B620" s="317"/>
      <c r="C620" s="300" t="s">
        <v>117</v>
      </c>
      <c r="D620" s="300" t="s">
        <v>460</v>
      </c>
      <c r="E620" s="300"/>
      <c r="F620" s="324"/>
      <c r="G620" s="261">
        <f>SUM(G621+G646)+G641</f>
        <v>677697.4</v>
      </c>
      <c r="H620" s="20">
        <v>187516.5</v>
      </c>
      <c r="I620" s="20">
        <f>SUM(H620/G666*100)</f>
        <v>66.92010799062844</v>
      </c>
    </row>
    <row r="621" spans="1:9" s="87" customFormat="1" ht="15">
      <c r="A621" s="114" t="s">
        <v>339</v>
      </c>
      <c r="B621" s="317"/>
      <c r="C621" s="300" t="s">
        <v>117</v>
      </c>
      <c r="D621" s="300" t="s">
        <v>460</v>
      </c>
      <c r="E621" s="300" t="s">
        <v>340</v>
      </c>
      <c r="F621" s="324"/>
      <c r="G621" s="261">
        <f>SUM(G622+G634+G638)</f>
        <v>652579.7</v>
      </c>
      <c r="H621" s="20"/>
      <c r="I621" s="20"/>
    </row>
    <row r="622" spans="1:9" s="87" customFormat="1" ht="15">
      <c r="A622" s="114" t="s">
        <v>606</v>
      </c>
      <c r="B622" s="317"/>
      <c r="C622" s="300" t="s">
        <v>117</v>
      </c>
      <c r="D622" s="300" t="s">
        <v>460</v>
      </c>
      <c r="E622" s="300" t="s">
        <v>85</v>
      </c>
      <c r="F622" s="324"/>
      <c r="G622" s="261">
        <f>SUM(G625+G623+G627)</f>
        <v>553216.5</v>
      </c>
      <c r="H622" s="20"/>
      <c r="I622" s="20"/>
    </row>
    <row r="623" spans="1:9" s="87" customFormat="1" ht="71.25">
      <c r="A623" s="114" t="s">
        <v>607</v>
      </c>
      <c r="B623" s="317"/>
      <c r="C623" s="300" t="s">
        <v>117</v>
      </c>
      <c r="D623" s="300" t="s">
        <v>460</v>
      </c>
      <c r="E623" s="300" t="s">
        <v>212</v>
      </c>
      <c r="F623" s="324"/>
      <c r="G623" s="261">
        <f>G624</f>
        <v>361178.7</v>
      </c>
      <c r="H623" s="20"/>
      <c r="I623" s="20"/>
    </row>
    <row r="624" spans="1:9" ht="28.5">
      <c r="A624" s="114" t="s">
        <v>524</v>
      </c>
      <c r="B624" s="317"/>
      <c r="C624" s="300" t="s">
        <v>117</v>
      </c>
      <c r="D624" s="300" t="s">
        <v>460</v>
      </c>
      <c r="E624" s="300" t="s">
        <v>212</v>
      </c>
      <c r="F624" s="324" t="s">
        <v>513</v>
      </c>
      <c r="G624" s="261">
        <v>361178.7</v>
      </c>
      <c r="H624" s="20"/>
      <c r="I624" s="20"/>
    </row>
    <row r="625" spans="1:9" ht="28.5">
      <c r="A625" s="114" t="s">
        <v>205</v>
      </c>
      <c r="B625" s="317"/>
      <c r="C625" s="300" t="s">
        <v>117</v>
      </c>
      <c r="D625" s="300" t="s">
        <v>460</v>
      </c>
      <c r="E625" s="300" t="s">
        <v>86</v>
      </c>
      <c r="F625" s="324"/>
      <c r="G625" s="261">
        <f>SUM(G626)</f>
        <v>185267</v>
      </c>
      <c r="H625" s="20"/>
      <c r="I625" s="20"/>
    </row>
    <row r="626" spans="1:9" ht="28.5">
      <c r="A626" s="114" t="s">
        <v>524</v>
      </c>
      <c r="B626" s="317"/>
      <c r="C626" s="300" t="s">
        <v>117</v>
      </c>
      <c r="D626" s="300" t="s">
        <v>460</v>
      </c>
      <c r="E626" s="300" t="s">
        <v>86</v>
      </c>
      <c r="F626" s="324" t="s">
        <v>513</v>
      </c>
      <c r="G626" s="261">
        <v>185267</v>
      </c>
      <c r="H626" s="20"/>
      <c r="I626" s="20"/>
    </row>
    <row r="627" spans="1:9" ht="15">
      <c r="A627" s="174" t="s">
        <v>157</v>
      </c>
      <c r="B627" s="327"/>
      <c r="C627" s="302" t="s">
        <v>117</v>
      </c>
      <c r="D627" s="302" t="s">
        <v>460</v>
      </c>
      <c r="E627" s="302" t="s">
        <v>663</v>
      </c>
      <c r="F627" s="304"/>
      <c r="G627" s="169">
        <f>SUM(G632)+G628+G630</f>
        <v>6770.8</v>
      </c>
      <c r="H627" s="20"/>
      <c r="I627" s="20"/>
    </row>
    <row r="628" spans="1:9" ht="28.5">
      <c r="A628" s="174" t="s">
        <v>144</v>
      </c>
      <c r="B628" s="327"/>
      <c r="C628" s="302" t="s">
        <v>117</v>
      </c>
      <c r="D628" s="302" t="s">
        <v>460</v>
      </c>
      <c r="E628" s="302" t="s">
        <v>723</v>
      </c>
      <c r="F628" s="304"/>
      <c r="G628" s="169">
        <f>SUM(G629)</f>
        <v>2593.2</v>
      </c>
      <c r="H628" s="20"/>
      <c r="I628" s="20"/>
    </row>
    <row r="629" spans="1:9" ht="28.5">
      <c r="A629" s="114" t="s">
        <v>524</v>
      </c>
      <c r="B629" s="327"/>
      <c r="C629" s="302" t="s">
        <v>117</v>
      </c>
      <c r="D629" s="302" t="s">
        <v>460</v>
      </c>
      <c r="E629" s="302" t="s">
        <v>723</v>
      </c>
      <c r="F629" s="304" t="s">
        <v>513</v>
      </c>
      <c r="G629" s="169">
        <v>2593.2</v>
      </c>
      <c r="H629" s="20"/>
      <c r="I629" s="20"/>
    </row>
    <row r="630" spans="1:9" ht="28.5">
      <c r="A630" s="174" t="s">
        <v>414</v>
      </c>
      <c r="B630" s="327"/>
      <c r="C630" s="302" t="s">
        <v>117</v>
      </c>
      <c r="D630" s="302" t="s">
        <v>460</v>
      </c>
      <c r="E630" s="302" t="s">
        <v>724</v>
      </c>
      <c r="F630" s="304"/>
      <c r="G630" s="169">
        <f>SUM(G631)</f>
        <v>10</v>
      </c>
      <c r="H630" s="20"/>
      <c r="I630" s="20"/>
    </row>
    <row r="631" spans="1:9" ht="28.5">
      <c r="A631" s="114" t="s">
        <v>524</v>
      </c>
      <c r="B631" s="327"/>
      <c r="C631" s="302" t="s">
        <v>117</v>
      </c>
      <c r="D631" s="302" t="s">
        <v>460</v>
      </c>
      <c r="E631" s="302" t="s">
        <v>724</v>
      </c>
      <c r="F631" s="304" t="s">
        <v>513</v>
      </c>
      <c r="G631" s="169">
        <v>10</v>
      </c>
      <c r="H631" s="20"/>
      <c r="I631" s="20"/>
    </row>
    <row r="632" spans="1:9" ht="15">
      <c r="A632" s="172" t="s">
        <v>154</v>
      </c>
      <c r="B632" s="327"/>
      <c r="C632" s="302" t="s">
        <v>117</v>
      </c>
      <c r="D632" s="302" t="s">
        <v>460</v>
      </c>
      <c r="E632" s="302" t="s">
        <v>662</v>
      </c>
      <c r="F632" s="304"/>
      <c r="G632" s="169">
        <f>SUM(G633)</f>
        <v>4167.6</v>
      </c>
      <c r="H632" s="20">
        <v>120.3</v>
      </c>
      <c r="I632" s="20">
        <f>SUM(H632/G671*100)</f>
        <v>0.7647126129905794</v>
      </c>
    </row>
    <row r="633" spans="1:9" ht="28.5">
      <c r="A633" s="114" t="s">
        <v>524</v>
      </c>
      <c r="B633" s="327"/>
      <c r="C633" s="302" t="s">
        <v>117</v>
      </c>
      <c r="D633" s="302" t="s">
        <v>460</v>
      </c>
      <c r="E633" s="302" t="s">
        <v>662</v>
      </c>
      <c r="F633" s="324" t="s">
        <v>513</v>
      </c>
      <c r="G633" s="169">
        <v>4167.6</v>
      </c>
      <c r="H633" s="20"/>
      <c r="I633" s="20">
        <f>SUM(H633/G674*100)</f>
        <v>0</v>
      </c>
    </row>
    <row r="634" spans="1:9" ht="28.5">
      <c r="A634" s="114" t="s">
        <v>56</v>
      </c>
      <c r="B634" s="317"/>
      <c r="C634" s="300" t="s">
        <v>117</v>
      </c>
      <c r="D634" s="300" t="s">
        <v>460</v>
      </c>
      <c r="E634" s="300" t="s">
        <v>341</v>
      </c>
      <c r="F634" s="324"/>
      <c r="G634" s="261">
        <f>SUM(G635+G636+G637)</f>
        <v>39095.200000000004</v>
      </c>
      <c r="H634" s="20">
        <f>SUM(H635)</f>
        <v>24134</v>
      </c>
      <c r="I634" s="20">
        <f>SUM(H634/G675*100)</f>
        <v>7.823899689138253</v>
      </c>
    </row>
    <row r="635" spans="1:9" ht="28.5">
      <c r="A635" s="114" t="s">
        <v>495</v>
      </c>
      <c r="B635" s="317"/>
      <c r="C635" s="300" t="s">
        <v>117</v>
      </c>
      <c r="D635" s="300" t="s">
        <v>460</v>
      </c>
      <c r="E635" s="300" t="s">
        <v>341</v>
      </c>
      <c r="F635" s="324" t="s">
        <v>496</v>
      </c>
      <c r="G635" s="261">
        <v>11329.5</v>
      </c>
      <c r="H635" s="20">
        <v>24134</v>
      </c>
      <c r="I635" s="20">
        <f>SUM(H635/G676*100)</f>
        <v>599.5726920401471</v>
      </c>
    </row>
    <row r="636" spans="1:9" ht="15">
      <c r="A636" s="114" t="s">
        <v>500</v>
      </c>
      <c r="B636" s="323"/>
      <c r="C636" s="300" t="s">
        <v>117</v>
      </c>
      <c r="D636" s="300" t="s">
        <v>460</v>
      </c>
      <c r="E636" s="300" t="s">
        <v>341</v>
      </c>
      <c r="F636" s="324" t="s">
        <v>120</v>
      </c>
      <c r="G636" s="261">
        <v>25491.9</v>
      </c>
      <c r="H636" s="20"/>
      <c r="I636" s="20"/>
    </row>
    <row r="637" spans="1:9" ht="15">
      <c r="A637" s="114" t="s">
        <v>501</v>
      </c>
      <c r="B637" s="317"/>
      <c r="C637" s="300" t="s">
        <v>117</v>
      </c>
      <c r="D637" s="300" t="s">
        <v>460</v>
      </c>
      <c r="E637" s="300" t="s">
        <v>341</v>
      </c>
      <c r="F637" s="324" t="s">
        <v>176</v>
      </c>
      <c r="G637" s="261">
        <v>2273.8</v>
      </c>
      <c r="H637" s="20"/>
      <c r="I637" s="20"/>
    </row>
    <row r="638" spans="1:9" ht="42.75">
      <c r="A638" s="121" t="s">
        <v>608</v>
      </c>
      <c r="B638" s="317"/>
      <c r="C638" s="300" t="s">
        <v>117</v>
      </c>
      <c r="D638" s="300" t="s">
        <v>460</v>
      </c>
      <c r="E638" s="300" t="s">
        <v>342</v>
      </c>
      <c r="F638" s="324"/>
      <c r="G638" s="261">
        <f>SUM(G639+G640)</f>
        <v>60268</v>
      </c>
      <c r="H638" s="20">
        <v>56722</v>
      </c>
      <c r="I638" s="20" t="e">
        <f>SUM(H638/G680*100)</f>
        <v>#DIV/0!</v>
      </c>
    </row>
    <row r="639" spans="1:9" ht="28.5">
      <c r="A639" s="114" t="s">
        <v>495</v>
      </c>
      <c r="B639" s="317"/>
      <c r="C639" s="300" t="s">
        <v>117</v>
      </c>
      <c r="D639" s="300" t="s">
        <v>460</v>
      </c>
      <c r="E639" s="300" t="s">
        <v>342</v>
      </c>
      <c r="F639" s="324" t="s">
        <v>496</v>
      </c>
      <c r="G639" s="261">
        <v>58822.8</v>
      </c>
      <c r="H639" s="20"/>
      <c r="I639" s="20"/>
    </row>
    <row r="640" spans="1:9" ht="15">
      <c r="A640" s="114" t="s">
        <v>500</v>
      </c>
      <c r="B640" s="317"/>
      <c r="C640" s="300" t="s">
        <v>117</v>
      </c>
      <c r="D640" s="300" t="s">
        <v>460</v>
      </c>
      <c r="E640" s="300" t="s">
        <v>342</v>
      </c>
      <c r="F640" s="324" t="s">
        <v>120</v>
      </c>
      <c r="G640" s="261">
        <v>1445.2</v>
      </c>
      <c r="H640" s="20"/>
      <c r="I640" s="20"/>
    </row>
    <row r="641" spans="1:9" ht="15">
      <c r="A641" s="114" t="s">
        <v>681</v>
      </c>
      <c r="B641" s="317"/>
      <c r="C641" s="300" t="s">
        <v>117</v>
      </c>
      <c r="D641" s="300" t="s">
        <v>460</v>
      </c>
      <c r="E641" s="300" t="s">
        <v>683</v>
      </c>
      <c r="F641" s="324"/>
      <c r="G641" s="261">
        <f>SUM(G642)</f>
        <v>17968.8</v>
      </c>
      <c r="H641" s="20"/>
      <c r="I641" s="20"/>
    </row>
    <row r="642" spans="1:9" ht="28.5">
      <c r="A642" s="114" t="s">
        <v>693</v>
      </c>
      <c r="B642" s="317"/>
      <c r="C642" s="300" t="s">
        <v>117</v>
      </c>
      <c r="D642" s="300" t="s">
        <v>460</v>
      </c>
      <c r="E642" s="300" t="s">
        <v>694</v>
      </c>
      <c r="F642" s="324"/>
      <c r="G642" s="261">
        <f>SUM(G643:G645)</f>
        <v>17968.8</v>
      </c>
      <c r="H642" s="20"/>
      <c r="I642" s="20"/>
    </row>
    <row r="643" spans="1:9" ht="15">
      <c r="A643" s="114" t="s">
        <v>500</v>
      </c>
      <c r="B643" s="317"/>
      <c r="C643" s="300" t="s">
        <v>117</v>
      </c>
      <c r="D643" s="300" t="s">
        <v>460</v>
      </c>
      <c r="E643" s="300" t="s">
        <v>694</v>
      </c>
      <c r="F643" s="324" t="s">
        <v>120</v>
      </c>
      <c r="G643" s="261">
        <v>11663.4</v>
      </c>
      <c r="H643" s="20"/>
      <c r="I643" s="20"/>
    </row>
    <row r="644" spans="1:9" ht="15">
      <c r="A644" s="116" t="s">
        <v>505</v>
      </c>
      <c r="B644" s="317"/>
      <c r="C644" s="300" t="s">
        <v>117</v>
      </c>
      <c r="D644" s="300" t="s">
        <v>460</v>
      </c>
      <c r="E644" s="300" t="s">
        <v>694</v>
      </c>
      <c r="F644" s="324" t="s">
        <v>506</v>
      </c>
      <c r="G644" s="261">
        <v>808.1</v>
      </c>
      <c r="H644" s="20"/>
      <c r="I644" s="20"/>
    </row>
    <row r="645" spans="1:9" ht="28.5">
      <c r="A645" s="114" t="s">
        <v>524</v>
      </c>
      <c r="B645" s="317"/>
      <c r="C645" s="300" t="s">
        <v>117</v>
      </c>
      <c r="D645" s="300" t="s">
        <v>460</v>
      </c>
      <c r="E645" s="300" t="s">
        <v>694</v>
      </c>
      <c r="F645" s="324" t="s">
        <v>513</v>
      </c>
      <c r="G645" s="261">
        <v>5497.3</v>
      </c>
      <c r="H645" s="20">
        <f>SUM(H647)</f>
        <v>1236.7</v>
      </c>
      <c r="I645" s="20">
        <f>SUM(H645/G682*100)</f>
        <v>2.4769916378749186</v>
      </c>
    </row>
    <row r="646" spans="1:9" ht="15">
      <c r="A646" s="114" t="s">
        <v>594</v>
      </c>
      <c r="B646" s="318"/>
      <c r="C646" s="300" t="s">
        <v>117</v>
      </c>
      <c r="D646" s="300" t="s">
        <v>460</v>
      </c>
      <c r="E646" s="300" t="s">
        <v>129</v>
      </c>
      <c r="F646" s="324"/>
      <c r="G646" s="261">
        <f>G647+G651</f>
        <v>7148.9</v>
      </c>
      <c r="H646" s="20"/>
      <c r="I646" s="20"/>
    </row>
    <row r="647" spans="1:9" ht="28.5">
      <c r="A647" s="114" t="s">
        <v>609</v>
      </c>
      <c r="B647" s="317"/>
      <c r="C647" s="300" t="s">
        <v>117</v>
      </c>
      <c r="D647" s="300" t="s">
        <v>460</v>
      </c>
      <c r="E647" s="300" t="s">
        <v>366</v>
      </c>
      <c r="F647" s="324"/>
      <c r="G647" s="261">
        <f>SUM(G648:G650)</f>
        <v>4146.9</v>
      </c>
      <c r="H647" s="20">
        <v>1236.7</v>
      </c>
      <c r="I647" s="20">
        <f>SUM(H647/G683*100)</f>
        <v>2.4769916378749186</v>
      </c>
    </row>
    <row r="648" spans="1:9" ht="15">
      <c r="A648" s="114" t="s">
        <v>500</v>
      </c>
      <c r="B648" s="328"/>
      <c r="C648" s="300" t="s">
        <v>117</v>
      </c>
      <c r="D648" s="300" t="s">
        <v>460</v>
      </c>
      <c r="E648" s="300" t="s">
        <v>366</v>
      </c>
      <c r="F648" s="324" t="s">
        <v>120</v>
      </c>
      <c r="G648" s="261">
        <v>2301.9</v>
      </c>
      <c r="H648" s="20"/>
      <c r="I648" s="20"/>
    </row>
    <row r="649" spans="1:9" ht="15">
      <c r="A649" s="116" t="s">
        <v>505</v>
      </c>
      <c r="B649" s="328"/>
      <c r="C649" s="300" t="s">
        <v>117</v>
      </c>
      <c r="D649" s="300" t="s">
        <v>460</v>
      </c>
      <c r="E649" s="300" t="s">
        <v>366</v>
      </c>
      <c r="F649" s="324" t="s">
        <v>506</v>
      </c>
      <c r="G649" s="261">
        <v>1700</v>
      </c>
      <c r="H649" s="20"/>
      <c r="I649" s="20"/>
    </row>
    <row r="650" spans="1:9" ht="28.5">
      <c r="A650" s="114" t="s">
        <v>524</v>
      </c>
      <c r="B650" s="328"/>
      <c r="C650" s="300" t="s">
        <v>117</v>
      </c>
      <c r="D650" s="300" t="s">
        <v>460</v>
      </c>
      <c r="E650" s="300" t="s">
        <v>366</v>
      </c>
      <c r="F650" s="324" t="s">
        <v>513</v>
      </c>
      <c r="G650" s="261">
        <v>145</v>
      </c>
      <c r="H650" s="20"/>
      <c r="I650" s="20"/>
    </row>
    <row r="651" spans="1:9" ht="28.5">
      <c r="A651" s="114" t="s">
        <v>725</v>
      </c>
      <c r="B651" s="328"/>
      <c r="C651" s="300" t="s">
        <v>117</v>
      </c>
      <c r="D651" s="300" t="s">
        <v>460</v>
      </c>
      <c r="E651" s="300" t="s">
        <v>726</v>
      </c>
      <c r="F651" s="324"/>
      <c r="G651" s="261">
        <f>SUM(G652:G653)</f>
        <v>3002</v>
      </c>
      <c r="H651" s="20"/>
      <c r="I651" s="20"/>
    </row>
    <row r="652" spans="1:9" ht="14.25" customHeight="1">
      <c r="A652" s="114" t="s">
        <v>500</v>
      </c>
      <c r="B652" s="328"/>
      <c r="C652" s="300" t="s">
        <v>117</v>
      </c>
      <c r="D652" s="300" t="s">
        <v>460</v>
      </c>
      <c r="E652" s="300" t="s">
        <v>726</v>
      </c>
      <c r="F652" s="324" t="s">
        <v>120</v>
      </c>
      <c r="G652" s="261">
        <v>410</v>
      </c>
      <c r="H652" s="20">
        <f>SUM(H654)</f>
        <v>0</v>
      </c>
      <c r="I652" s="20" t="e">
        <f>SUM(H652/#REF!*100)</f>
        <v>#REF!</v>
      </c>
    </row>
    <row r="653" spans="1:9" ht="28.5">
      <c r="A653" s="114" t="s">
        <v>524</v>
      </c>
      <c r="B653" s="328"/>
      <c r="C653" s="300" t="s">
        <v>117</v>
      </c>
      <c r="D653" s="300" t="s">
        <v>460</v>
      </c>
      <c r="E653" s="300" t="s">
        <v>726</v>
      </c>
      <c r="F653" s="324" t="s">
        <v>513</v>
      </c>
      <c r="G653" s="261">
        <v>2592</v>
      </c>
      <c r="H653" s="20"/>
      <c r="I653" s="20" t="e">
        <f>SUM(H653/#REF!*100)</f>
        <v>#REF!</v>
      </c>
    </row>
    <row r="654" spans="1:9" ht="15">
      <c r="A654" s="114" t="s">
        <v>343</v>
      </c>
      <c r="B654" s="317"/>
      <c r="C654" s="300" t="s">
        <v>117</v>
      </c>
      <c r="D654" s="300" t="s">
        <v>462</v>
      </c>
      <c r="E654" s="300"/>
      <c r="F654" s="324"/>
      <c r="G654" s="261">
        <f>SUM(G655+G678+G687+G695+G699)+G703</f>
        <v>916601.9</v>
      </c>
      <c r="H654" s="20"/>
      <c r="I654" s="20" t="e">
        <f>SUM(H654/#REF!*100)</f>
        <v>#REF!</v>
      </c>
    </row>
    <row r="655" spans="1:9" ht="15">
      <c r="A655" s="114" t="s">
        <v>344</v>
      </c>
      <c r="B655" s="317"/>
      <c r="C655" s="300" t="s">
        <v>117</v>
      </c>
      <c r="D655" s="300" t="s">
        <v>462</v>
      </c>
      <c r="E655" s="300" t="s">
        <v>345</v>
      </c>
      <c r="F655" s="324"/>
      <c r="G655" s="261">
        <f>G656+G668</f>
        <v>796721.1</v>
      </c>
      <c r="H655" s="20">
        <f>SUM(H656)</f>
        <v>9549.8</v>
      </c>
      <c r="I655" s="20" t="e">
        <f>SUM(H655/#REF!*100)</f>
        <v>#REF!</v>
      </c>
    </row>
    <row r="656" spans="1:9" ht="15">
      <c r="A656" s="114" t="s">
        <v>15</v>
      </c>
      <c r="B656" s="317"/>
      <c r="C656" s="300" t="s">
        <v>117</v>
      </c>
      <c r="D656" s="300" t="s">
        <v>462</v>
      </c>
      <c r="E656" s="300" t="s">
        <v>87</v>
      </c>
      <c r="F656" s="324"/>
      <c r="G656" s="261">
        <f>G657+G666+G659+G664</f>
        <v>379373.7</v>
      </c>
      <c r="H656" s="20">
        <f>SUM(H664)</f>
        <v>9549.8</v>
      </c>
      <c r="I656" s="20" t="e">
        <f>SUM(H656/#REF!*100)</f>
        <v>#REF!</v>
      </c>
    </row>
    <row r="657" spans="1:9" ht="28.5">
      <c r="A657" s="114" t="s">
        <v>205</v>
      </c>
      <c r="B657" s="317"/>
      <c r="C657" s="300" t="s">
        <v>117</v>
      </c>
      <c r="D657" s="300" t="s">
        <v>462</v>
      </c>
      <c r="E657" s="300" t="s">
        <v>88</v>
      </c>
      <c r="F657" s="324"/>
      <c r="G657" s="261">
        <f>SUM(G658)</f>
        <v>92744.9</v>
      </c>
      <c r="H657" s="20"/>
      <c r="I657" s="20"/>
    </row>
    <row r="658" spans="1:9" ht="28.5">
      <c r="A658" s="114" t="s">
        <v>517</v>
      </c>
      <c r="B658" s="317"/>
      <c r="C658" s="300" t="s">
        <v>117</v>
      </c>
      <c r="D658" s="300" t="s">
        <v>462</v>
      </c>
      <c r="E658" s="300" t="s">
        <v>88</v>
      </c>
      <c r="F658" s="324" t="s">
        <v>513</v>
      </c>
      <c r="G658" s="261">
        <v>92744.9</v>
      </c>
      <c r="H658" s="20"/>
      <c r="I658" s="20"/>
    </row>
    <row r="659" spans="1:9" ht="15">
      <c r="A659" s="174" t="s">
        <v>157</v>
      </c>
      <c r="B659" s="317"/>
      <c r="C659" s="302" t="s">
        <v>117</v>
      </c>
      <c r="D659" s="302" t="s">
        <v>462</v>
      </c>
      <c r="E659" s="302" t="s">
        <v>665</v>
      </c>
      <c r="F659" s="324"/>
      <c r="G659" s="261">
        <f>SUM(G662)+G660</f>
        <v>1665.1</v>
      </c>
      <c r="H659" s="20"/>
      <c r="I659" s="20"/>
    </row>
    <row r="660" spans="1:9" ht="28.5">
      <c r="A660" s="174" t="s">
        <v>144</v>
      </c>
      <c r="B660" s="327"/>
      <c r="C660" s="302" t="s">
        <v>117</v>
      </c>
      <c r="D660" s="302" t="s">
        <v>462</v>
      </c>
      <c r="E660" s="302" t="s">
        <v>727</v>
      </c>
      <c r="F660" s="304"/>
      <c r="G660" s="169">
        <f>SUM(G661)</f>
        <v>250</v>
      </c>
      <c r="H660" s="20"/>
      <c r="I660" s="20"/>
    </row>
    <row r="661" spans="1:9" ht="28.5">
      <c r="A661" s="114" t="s">
        <v>524</v>
      </c>
      <c r="B661" s="327"/>
      <c r="C661" s="302" t="s">
        <v>117</v>
      </c>
      <c r="D661" s="302" t="s">
        <v>462</v>
      </c>
      <c r="E661" s="302" t="s">
        <v>727</v>
      </c>
      <c r="F661" s="304" t="s">
        <v>513</v>
      </c>
      <c r="G661" s="169">
        <v>250</v>
      </c>
      <c r="H661" s="20"/>
      <c r="I661" s="20"/>
    </row>
    <row r="662" spans="1:9" ht="15">
      <c r="A662" s="172" t="s">
        <v>215</v>
      </c>
      <c r="B662" s="327"/>
      <c r="C662" s="302" t="s">
        <v>117</v>
      </c>
      <c r="D662" s="302" t="s">
        <v>462</v>
      </c>
      <c r="E662" s="302" t="s">
        <v>664</v>
      </c>
      <c r="F662" s="304"/>
      <c r="G662" s="169">
        <f>SUM(G663)</f>
        <v>1415.1</v>
      </c>
      <c r="H662" s="20"/>
      <c r="I662" s="20"/>
    </row>
    <row r="663" spans="1:9" ht="28.5">
      <c r="A663" s="114" t="s">
        <v>524</v>
      </c>
      <c r="B663" s="327"/>
      <c r="C663" s="302" t="s">
        <v>117</v>
      </c>
      <c r="D663" s="302" t="s">
        <v>462</v>
      </c>
      <c r="E663" s="302" t="s">
        <v>664</v>
      </c>
      <c r="F663" s="304" t="s">
        <v>513</v>
      </c>
      <c r="G663" s="169">
        <v>1415.1</v>
      </c>
      <c r="H663" s="20"/>
      <c r="I663" s="20"/>
    </row>
    <row r="664" spans="1:9" ht="42.75">
      <c r="A664" s="174" t="s">
        <v>666</v>
      </c>
      <c r="B664" s="313"/>
      <c r="C664" s="302" t="s">
        <v>117</v>
      </c>
      <c r="D664" s="302" t="s">
        <v>462</v>
      </c>
      <c r="E664" s="302" t="s">
        <v>668</v>
      </c>
      <c r="F664" s="304"/>
      <c r="G664" s="169">
        <f>SUM(G665)</f>
        <v>4754.2</v>
      </c>
      <c r="H664" s="20">
        <v>9549.8</v>
      </c>
      <c r="I664" s="20" t="e">
        <f>SUM(H664/#REF!*100)</f>
        <v>#REF!</v>
      </c>
    </row>
    <row r="665" spans="1:9" ht="28.5">
      <c r="A665" s="114" t="s">
        <v>524</v>
      </c>
      <c r="B665" s="327"/>
      <c r="C665" s="302" t="s">
        <v>117</v>
      </c>
      <c r="D665" s="302" t="s">
        <v>462</v>
      </c>
      <c r="E665" s="302" t="s">
        <v>668</v>
      </c>
      <c r="F665" s="304" t="s">
        <v>513</v>
      </c>
      <c r="G665" s="169">
        <v>4754.2</v>
      </c>
      <c r="H665" s="20">
        <v>56722</v>
      </c>
      <c r="I665" s="20" t="e">
        <f>SUM(H665/#REF!*100)</f>
        <v>#REF!</v>
      </c>
    </row>
    <row r="666" spans="1:9" ht="71.25">
      <c r="A666" s="114" t="s">
        <v>610</v>
      </c>
      <c r="B666" s="317"/>
      <c r="C666" s="300" t="s">
        <v>117</v>
      </c>
      <c r="D666" s="300" t="s">
        <v>462</v>
      </c>
      <c r="E666" s="300" t="s">
        <v>89</v>
      </c>
      <c r="F666" s="324"/>
      <c r="G666" s="261">
        <f>SUM(G667)</f>
        <v>280209.5</v>
      </c>
      <c r="H666" s="20"/>
      <c r="I666" s="20"/>
    </row>
    <row r="667" spans="1:9" s="87" customFormat="1" ht="28.5">
      <c r="A667" s="114" t="s">
        <v>517</v>
      </c>
      <c r="B667" s="317"/>
      <c r="C667" s="300" t="s">
        <v>117</v>
      </c>
      <c r="D667" s="300" t="s">
        <v>462</v>
      </c>
      <c r="E667" s="300" t="s">
        <v>89</v>
      </c>
      <c r="F667" s="324" t="s">
        <v>513</v>
      </c>
      <c r="G667" s="261">
        <v>280209.5</v>
      </c>
      <c r="H667" s="20"/>
      <c r="I667" s="20"/>
    </row>
    <row r="668" spans="1:9" s="87" customFormat="1" ht="28.5">
      <c r="A668" s="114" t="s">
        <v>56</v>
      </c>
      <c r="B668" s="317"/>
      <c r="C668" s="300" t="s">
        <v>117</v>
      </c>
      <c r="D668" s="300" t="s">
        <v>462</v>
      </c>
      <c r="E668" s="300" t="s">
        <v>346</v>
      </c>
      <c r="F668" s="324"/>
      <c r="G668" s="261">
        <f>SUM(G669+G670+G671+G674+G672)</f>
        <v>417347.39999999997</v>
      </c>
      <c r="H668" s="20"/>
      <c r="I668" s="20"/>
    </row>
    <row r="669" spans="1:9" s="87" customFormat="1" ht="28.5">
      <c r="A669" s="114" t="s">
        <v>495</v>
      </c>
      <c r="B669" s="317"/>
      <c r="C669" s="300" t="s">
        <v>117</v>
      </c>
      <c r="D669" s="300" t="s">
        <v>462</v>
      </c>
      <c r="E669" s="300" t="s">
        <v>346</v>
      </c>
      <c r="F669" s="324" t="s">
        <v>496</v>
      </c>
      <c r="G669" s="261">
        <v>37730.3</v>
      </c>
      <c r="H669" s="20"/>
      <c r="I669" s="20"/>
    </row>
    <row r="670" spans="1:9" s="87" customFormat="1" ht="15">
      <c r="A670" s="114" t="s">
        <v>500</v>
      </c>
      <c r="B670" s="317"/>
      <c r="C670" s="300" t="s">
        <v>117</v>
      </c>
      <c r="D670" s="300" t="s">
        <v>462</v>
      </c>
      <c r="E670" s="300" t="s">
        <v>346</v>
      </c>
      <c r="F670" s="324" t="s">
        <v>120</v>
      </c>
      <c r="G670" s="261">
        <v>46830.8</v>
      </c>
      <c r="H670" s="20"/>
      <c r="I670" s="20"/>
    </row>
    <row r="671" spans="1:9" s="87" customFormat="1" ht="15">
      <c r="A671" s="114" t="s">
        <v>501</v>
      </c>
      <c r="B671" s="328"/>
      <c r="C671" s="300" t="s">
        <v>117</v>
      </c>
      <c r="D671" s="300" t="s">
        <v>462</v>
      </c>
      <c r="E671" s="300" t="s">
        <v>346</v>
      </c>
      <c r="F671" s="329">
        <v>800</v>
      </c>
      <c r="G671" s="261">
        <v>15731.4</v>
      </c>
      <c r="H671" s="20"/>
      <c r="I671" s="20"/>
    </row>
    <row r="672" spans="1:9" s="87" customFormat="1" ht="42.75">
      <c r="A672" s="174" t="s">
        <v>666</v>
      </c>
      <c r="B672" s="313"/>
      <c r="C672" s="302" t="s">
        <v>117</v>
      </c>
      <c r="D672" s="302" t="s">
        <v>462</v>
      </c>
      <c r="E672" s="302" t="s">
        <v>667</v>
      </c>
      <c r="F672" s="304"/>
      <c r="G672" s="169">
        <f>SUM(G673)</f>
        <v>4549</v>
      </c>
      <c r="H672" s="20"/>
      <c r="I672" s="20"/>
    </row>
    <row r="673" spans="1:9" s="87" customFormat="1" ht="15">
      <c r="A673" s="114" t="s">
        <v>500</v>
      </c>
      <c r="B673" s="328"/>
      <c r="C673" s="302" t="s">
        <v>117</v>
      </c>
      <c r="D673" s="302" t="s">
        <v>462</v>
      </c>
      <c r="E673" s="302" t="s">
        <v>667</v>
      </c>
      <c r="F673" s="329">
        <v>200</v>
      </c>
      <c r="G673" s="261">
        <v>4549</v>
      </c>
      <c r="H673" s="20"/>
      <c r="I673" s="20"/>
    </row>
    <row r="674" spans="1:9" s="87" customFormat="1" ht="71.25">
      <c r="A674" s="121" t="s">
        <v>610</v>
      </c>
      <c r="B674" s="317"/>
      <c r="C674" s="300" t="s">
        <v>117</v>
      </c>
      <c r="D674" s="300" t="s">
        <v>462</v>
      </c>
      <c r="E674" s="300" t="s">
        <v>319</v>
      </c>
      <c r="F674" s="324"/>
      <c r="G674" s="261">
        <f>SUM(G675+G676)+G677</f>
        <v>312505.89999999997</v>
      </c>
      <c r="H674" s="20"/>
      <c r="I674" s="20"/>
    </row>
    <row r="675" spans="1:9" s="87" customFormat="1" ht="28.5">
      <c r="A675" s="114" t="s">
        <v>495</v>
      </c>
      <c r="B675" s="317"/>
      <c r="C675" s="300" t="s">
        <v>117</v>
      </c>
      <c r="D675" s="300" t="s">
        <v>462</v>
      </c>
      <c r="E675" s="300" t="s">
        <v>319</v>
      </c>
      <c r="F675" s="324" t="s">
        <v>496</v>
      </c>
      <c r="G675" s="261">
        <v>308465.1</v>
      </c>
      <c r="H675" s="20"/>
      <c r="I675" s="20"/>
    </row>
    <row r="676" spans="1:9" ht="15">
      <c r="A676" s="114" t="s">
        <v>500</v>
      </c>
      <c r="B676" s="317"/>
      <c r="C676" s="300" t="s">
        <v>117</v>
      </c>
      <c r="D676" s="300" t="s">
        <v>462</v>
      </c>
      <c r="E676" s="300" t="s">
        <v>319</v>
      </c>
      <c r="F676" s="324" t="s">
        <v>120</v>
      </c>
      <c r="G676" s="261">
        <v>4025.2</v>
      </c>
      <c r="H676" s="20"/>
      <c r="I676" s="20"/>
    </row>
    <row r="677" spans="1:9" ht="15">
      <c r="A677" s="114" t="s">
        <v>501</v>
      </c>
      <c r="B677" s="317"/>
      <c r="C677" s="300" t="s">
        <v>117</v>
      </c>
      <c r="D677" s="300" t="s">
        <v>462</v>
      </c>
      <c r="E677" s="300" t="s">
        <v>319</v>
      </c>
      <c r="F677" s="324" t="s">
        <v>176</v>
      </c>
      <c r="G677" s="261">
        <v>15.6</v>
      </c>
      <c r="H677" s="20"/>
      <c r="I677" s="20"/>
    </row>
    <row r="678" spans="1:9" ht="15">
      <c r="A678" s="114" t="s">
        <v>320</v>
      </c>
      <c r="B678" s="323"/>
      <c r="C678" s="300" t="s">
        <v>117</v>
      </c>
      <c r="D678" s="300" t="s">
        <v>462</v>
      </c>
      <c r="E678" s="300" t="s">
        <v>321</v>
      </c>
      <c r="F678" s="324"/>
      <c r="G678" s="261">
        <f>SUM(G679)</f>
        <v>56899.1</v>
      </c>
      <c r="H678" s="20">
        <v>56722</v>
      </c>
      <c r="I678" s="20">
        <f>SUM(H678/G691*100)</f>
        <v>5988.386824324324</v>
      </c>
    </row>
    <row r="679" spans="1:9" ht="15">
      <c r="A679" s="114" t="s">
        <v>606</v>
      </c>
      <c r="B679" s="317"/>
      <c r="C679" s="300" t="s">
        <v>117</v>
      </c>
      <c r="D679" s="300" t="s">
        <v>462</v>
      </c>
      <c r="E679" s="300" t="s">
        <v>78</v>
      </c>
      <c r="F679" s="324"/>
      <c r="G679" s="261">
        <f>SUM(G682)+G684</f>
        <v>56899.1</v>
      </c>
      <c r="H679" s="20"/>
      <c r="I679" s="20"/>
    </row>
    <row r="680" spans="1:9" ht="42.75" hidden="1">
      <c r="A680" s="114" t="s">
        <v>211</v>
      </c>
      <c r="B680" s="317"/>
      <c r="C680" s="300" t="s">
        <v>117</v>
      </c>
      <c r="D680" s="300" t="s">
        <v>462</v>
      </c>
      <c r="E680" s="300" t="s">
        <v>213</v>
      </c>
      <c r="F680" s="324"/>
      <c r="G680" s="261">
        <f>SUM(G681)</f>
        <v>0</v>
      </c>
      <c r="H680" s="20" t="e">
        <f>SUM(#REF!+H717+H749+#REF!)+#REF!+H681</f>
        <v>#REF!</v>
      </c>
      <c r="I680" s="20" t="e">
        <f>SUM(H680/G693*100)</f>
        <v>#REF!</v>
      </c>
    </row>
    <row r="681" spans="1:9" ht="15" hidden="1">
      <c r="A681" s="114" t="s">
        <v>157</v>
      </c>
      <c r="B681" s="317"/>
      <c r="C681" s="300" t="s">
        <v>117</v>
      </c>
      <c r="D681" s="300" t="s">
        <v>462</v>
      </c>
      <c r="E681" s="300" t="s">
        <v>213</v>
      </c>
      <c r="F681" s="324" t="s">
        <v>83</v>
      </c>
      <c r="G681" s="261"/>
      <c r="H681" s="20" t="e">
        <f>SUM(#REF!+#REF!)</f>
        <v>#REF!</v>
      </c>
      <c r="I681" s="20" t="e">
        <f>SUM(H681/#REF!*100)</f>
        <v>#REF!</v>
      </c>
    </row>
    <row r="682" spans="1:9" ht="28.5">
      <c r="A682" s="114" t="s">
        <v>94</v>
      </c>
      <c r="B682" s="317"/>
      <c r="C682" s="300" t="s">
        <v>117</v>
      </c>
      <c r="D682" s="300" t="s">
        <v>462</v>
      </c>
      <c r="E682" s="300" t="s">
        <v>79</v>
      </c>
      <c r="F682" s="324"/>
      <c r="G682" s="261">
        <f>SUM(G683)</f>
        <v>49927.5</v>
      </c>
      <c r="H682" s="20"/>
      <c r="I682" s="20"/>
    </row>
    <row r="683" spans="1:9" ht="28.5">
      <c r="A683" s="114" t="s">
        <v>517</v>
      </c>
      <c r="B683" s="317"/>
      <c r="C683" s="300" t="s">
        <v>117</v>
      </c>
      <c r="D683" s="300" t="s">
        <v>462</v>
      </c>
      <c r="E683" s="300" t="s">
        <v>79</v>
      </c>
      <c r="F683" s="324" t="s">
        <v>513</v>
      </c>
      <c r="G683" s="261">
        <v>49927.5</v>
      </c>
      <c r="H683" s="20"/>
      <c r="I683" s="20"/>
    </row>
    <row r="684" spans="1:9" ht="15">
      <c r="A684" s="174" t="s">
        <v>157</v>
      </c>
      <c r="B684" s="317"/>
      <c r="C684" s="300" t="s">
        <v>117</v>
      </c>
      <c r="D684" s="300" t="s">
        <v>462</v>
      </c>
      <c r="E684" s="300" t="s">
        <v>151</v>
      </c>
      <c r="F684" s="324"/>
      <c r="G684" s="261">
        <f>SUM(G685)</f>
        <v>6971.6</v>
      </c>
      <c r="H684" s="20"/>
      <c r="I684" s="20"/>
    </row>
    <row r="685" spans="1:9" ht="15">
      <c r="A685" s="172" t="s">
        <v>215</v>
      </c>
      <c r="B685" s="317"/>
      <c r="C685" s="300" t="s">
        <v>117</v>
      </c>
      <c r="D685" s="300" t="s">
        <v>462</v>
      </c>
      <c r="E685" s="300" t="s">
        <v>220</v>
      </c>
      <c r="F685" s="324"/>
      <c r="G685" s="261">
        <f>SUM(G686)</f>
        <v>6971.6</v>
      </c>
      <c r="H685" s="20"/>
      <c r="I685" s="20"/>
    </row>
    <row r="686" spans="1:9" ht="28.5">
      <c r="A686" s="114" t="s">
        <v>524</v>
      </c>
      <c r="B686" s="317"/>
      <c r="C686" s="300" t="s">
        <v>117</v>
      </c>
      <c r="D686" s="300" t="s">
        <v>462</v>
      </c>
      <c r="E686" s="300" t="s">
        <v>220</v>
      </c>
      <c r="F686" s="324" t="s">
        <v>513</v>
      </c>
      <c r="G686" s="261">
        <v>6971.6</v>
      </c>
      <c r="H686" s="20"/>
      <c r="I686" s="20"/>
    </row>
    <row r="687" spans="1:9" ht="15">
      <c r="A687" s="114" t="s">
        <v>330</v>
      </c>
      <c r="B687" s="323"/>
      <c r="C687" s="300" t="s">
        <v>117</v>
      </c>
      <c r="D687" s="300" t="s">
        <v>462</v>
      </c>
      <c r="E687" s="300" t="s">
        <v>331</v>
      </c>
      <c r="F687" s="324"/>
      <c r="G687" s="261">
        <f>SUM(G688)</f>
        <v>53863.799999999996</v>
      </c>
      <c r="H687" s="20"/>
      <c r="I687" s="20"/>
    </row>
    <row r="688" spans="1:9" ht="28.5">
      <c r="A688" s="114" t="s">
        <v>56</v>
      </c>
      <c r="B688" s="317"/>
      <c r="C688" s="300" t="s">
        <v>117</v>
      </c>
      <c r="D688" s="300" t="s">
        <v>462</v>
      </c>
      <c r="E688" s="300" t="s">
        <v>332</v>
      </c>
      <c r="F688" s="324"/>
      <c r="G688" s="261">
        <f>SUM(G689+G690+G691+G692)</f>
        <v>53863.799999999996</v>
      </c>
      <c r="H688" s="20"/>
      <c r="I688" s="20"/>
    </row>
    <row r="689" spans="1:9" ht="28.5">
      <c r="A689" s="114" t="s">
        <v>495</v>
      </c>
      <c r="B689" s="317"/>
      <c r="C689" s="300" t="s">
        <v>117</v>
      </c>
      <c r="D689" s="300" t="s">
        <v>462</v>
      </c>
      <c r="E689" s="300" t="s">
        <v>611</v>
      </c>
      <c r="F689" s="324" t="s">
        <v>496</v>
      </c>
      <c r="G689" s="261">
        <v>2687.8</v>
      </c>
      <c r="H689" s="20"/>
      <c r="I689" s="20"/>
    </row>
    <row r="690" spans="1:11" ht="15">
      <c r="A690" s="114" t="s">
        <v>500</v>
      </c>
      <c r="B690" s="317"/>
      <c r="C690" s="300" t="s">
        <v>117</v>
      </c>
      <c r="D690" s="300" t="s">
        <v>462</v>
      </c>
      <c r="E690" s="300" t="s">
        <v>264</v>
      </c>
      <c r="F690" s="324" t="s">
        <v>120</v>
      </c>
      <c r="G690" s="261">
        <v>3094.7</v>
      </c>
      <c r="H690" s="20">
        <f>SUM(H691)</f>
        <v>56722</v>
      </c>
      <c r="I690" s="20">
        <f>SUM(H690/G718*100)</f>
        <v>3308.7557603686632</v>
      </c>
      <c r="K690" s="105"/>
    </row>
    <row r="691" spans="1:9" ht="15">
      <c r="A691" s="114" t="s">
        <v>501</v>
      </c>
      <c r="B691" s="317"/>
      <c r="C691" s="300" t="s">
        <v>117</v>
      </c>
      <c r="D691" s="300" t="s">
        <v>462</v>
      </c>
      <c r="E691" s="300" t="s">
        <v>264</v>
      </c>
      <c r="F691" s="324" t="s">
        <v>176</v>
      </c>
      <c r="G691" s="261">
        <v>947.2</v>
      </c>
      <c r="H691" s="20">
        <v>56722</v>
      </c>
      <c r="I691" s="20" t="e">
        <f>SUM(H691/#REF!*100)</f>
        <v>#REF!</v>
      </c>
    </row>
    <row r="692" spans="1:9" ht="71.25">
      <c r="A692" s="114" t="s">
        <v>612</v>
      </c>
      <c r="B692" s="317"/>
      <c r="C692" s="300" t="s">
        <v>117</v>
      </c>
      <c r="D692" s="300" t="s">
        <v>462</v>
      </c>
      <c r="E692" s="300" t="s">
        <v>333</v>
      </c>
      <c r="F692" s="324"/>
      <c r="G692" s="261">
        <f>SUM(G693+G694)</f>
        <v>47134.1</v>
      </c>
      <c r="H692" s="20">
        <v>56722</v>
      </c>
      <c r="I692" s="20" t="e">
        <f>SUM(H692/#REF!*100)</f>
        <v>#REF!</v>
      </c>
    </row>
    <row r="693" spans="1:9" ht="28.5">
      <c r="A693" s="114" t="s">
        <v>495</v>
      </c>
      <c r="B693" s="317"/>
      <c r="C693" s="300" t="s">
        <v>117</v>
      </c>
      <c r="D693" s="300" t="s">
        <v>462</v>
      </c>
      <c r="E693" s="300" t="s">
        <v>333</v>
      </c>
      <c r="F693" s="324" t="s">
        <v>496</v>
      </c>
      <c r="G693" s="261">
        <v>35190.7</v>
      </c>
      <c r="H693" s="20" t="e">
        <f>SUM(H694+H712+H714+#REF!)+H716+H696+H710+#REF!</f>
        <v>#REF!</v>
      </c>
      <c r="I693" s="20" t="e">
        <f>SUM(H693/G719*100)</f>
        <v>#REF!</v>
      </c>
    </row>
    <row r="694" spans="1:9" ht="15">
      <c r="A694" s="114" t="s">
        <v>500</v>
      </c>
      <c r="B694" s="317"/>
      <c r="C694" s="300" t="s">
        <v>117</v>
      </c>
      <c r="D694" s="300" t="s">
        <v>462</v>
      </c>
      <c r="E694" s="300" t="s">
        <v>333</v>
      </c>
      <c r="F694" s="324" t="s">
        <v>120</v>
      </c>
      <c r="G694" s="261">
        <v>11943.4</v>
      </c>
      <c r="H694" s="20">
        <v>53118.9</v>
      </c>
      <c r="I694" s="20">
        <f>SUM(H694/G720*100)</f>
        <v>450160.16949152545</v>
      </c>
    </row>
    <row r="695" spans="1:9" ht="15">
      <c r="A695" s="114" t="s">
        <v>334</v>
      </c>
      <c r="B695" s="323"/>
      <c r="C695" s="300" t="s">
        <v>117</v>
      </c>
      <c r="D695" s="300" t="s">
        <v>462</v>
      </c>
      <c r="E695" s="300" t="s">
        <v>335</v>
      </c>
      <c r="F695" s="324"/>
      <c r="G695" s="261">
        <f>G696</f>
        <v>6181.3</v>
      </c>
      <c r="H695" s="20">
        <f>SUM(H696)</f>
        <v>0</v>
      </c>
      <c r="I695" s="20">
        <f>SUM(H695/G721*100)</f>
        <v>0</v>
      </c>
    </row>
    <row r="696" spans="1:9" ht="15">
      <c r="A696" s="114" t="s">
        <v>232</v>
      </c>
      <c r="B696" s="323"/>
      <c r="C696" s="300" t="s">
        <v>117</v>
      </c>
      <c r="D696" s="300" t="s">
        <v>462</v>
      </c>
      <c r="E696" s="300" t="s">
        <v>294</v>
      </c>
      <c r="F696" s="324"/>
      <c r="G696" s="261">
        <f>G697</f>
        <v>6181.3</v>
      </c>
      <c r="H696" s="20"/>
      <c r="I696" s="20">
        <f>SUM(H696/G722*100)</f>
        <v>0</v>
      </c>
    </row>
    <row r="697" spans="1:9" ht="57">
      <c r="A697" s="114" t="s">
        <v>613</v>
      </c>
      <c r="B697" s="323"/>
      <c r="C697" s="300" t="s">
        <v>117</v>
      </c>
      <c r="D697" s="300" t="s">
        <v>462</v>
      </c>
      <c r="E697" s="300" t="s">
        <v>290</v>
      </c>
      <c r="F697" s="324"/>
      <c r="G697" s="261">
        <f>G698</f>
        <v>6181.3</v>
      </c>
      <c r="H697" s="20"/>
      <c r="I697" s="20"/>
    </row>
    <row r="698" spans="1:9" ht="28.5">
      <c r="A698" s="114" t="s">
        <v>517</v>
      </c>
      <c r="B698" s="323"/>
      <c r="C698" s="300" t="s">
        <v>117</v>
      </c>
      <c r="D698" s="300" t="s">
        <v>462</v>
      </c>
      <c r="E698" s="300" t="s">
        <v>290</v>
      </c>
      <c r="F698" s="324" t="s">
        <v>513</v>
      </c>
      <c r="G698" s="261">
        <v>6181.3</v>
      </c>
      <c r="H698" s="20"/>
      <c r="I698" s="20"/>
    </row>
    <row r="699" spans="1:9" ht="15">
      <c r="A699" s="114" t="s">
        <v>681</v>
      </c>
      <c r="B699" s="323"/>
      <c r="C699" s="300" t="s">
        <v>117</v>
      </c>
      <c r="D699" s="300" t="s">
        <v>462</v>
      </c>
      <c r="E699" s="300" t="s">
        <v>683</v>
      </c>
      <c r="F699" s="324"/>
      <c r="G699" s="261">
        <f>SUM(G700)</f>
        <v>549.6</v>
      </c>
      <c r="H699" s="20"/>
      <c r="I699" s="20"/>
    </row>
    <row r="700" spans="1:9" ht="28.5">
      <c r="A700" s="114" t="s">
        <v>682</v>
      </c>
      <c r="B700" s="323"/>
      <c r="C700" s="300" t="s">
        <v>117</v>
      </c>
      <c r="D700" s="300" t="s">
        <v>462</v>
      </c>
      <c r="E700" s="300" t="s">
        <v>684</v>
      </c>
      <c r="F700" s="324"/>
      <c r="G700" s="261">
        <f>SUM(G701:G702)</f>
        <v>549.6</v>
      </c>
      <c r="H700" s="20"/>
      <c r="I700" s="20"/>
    </row>
    <row r="701" spans="1:9" ht="15">
      <c r="A701" s="114" t="s">
        <v>500</v>
      </c>
      <c r="B701" s="323"/>
      <c r="C701" s="300" t="s">
        <v>117</v>
      </c>
      <c r="D701" s="300" t="s">
        <v>462</v>
      </c>
      <c r="E701" s="300" t="s">
        <v>684</v>
      </c>
      <c r="F701" s="324" t="s">
        <v>120</v>
      </c>
      <c r="G701" s="261">
        <v>43.5</v>
      </c>
      <c r="H701" s="20"/>
      <c r="I701" s="20"/>
    </row>
    <row r="702" spans="1:9" ht="28.5">
      <c r="A702" s="114" t="s">
        <v>524</v>
      </c>
      <c r="B702" s="323"/>
      <c r="C702" s="300" t="s">
        <v>117</v>
      </c>
      <c r="D702" s="300" t="s">
        <v>462</v>
      </c>
      <c r="E702" s="300" t="s">
        <v>684</v>
      </c>
      <c r="F702" s="324" t="s">
        <v>513</v>
      </c>
      <c r="G702" s="261">
        <v>506.1</v>
      </c>
      <c r="H702" s="20"/>
      <c r="I702" s="20"/>
    </row>
    <row r="703" spans="1:9" ht="15">
      <c r="A703" s="114" t="s">
        <v>594</v>
      </c>
      <c r="B703" s="318"/>
      <c r="C703" s="300" t="s">
        <v>117</v>
      </c>
      <c r="D703" s="300" t="s">
        <v>462</v>
      </c>
      <c r="E703" s="300" t="s">
        <v>129</v>
      </c>
      <c r="F703" s="324"/>
      <c r="G703" s="261">
        <f>G704+G707</f>
        <v>2387</v>
      </c>
      <c r="H703" s="20"/>
      <c r="I703" s="20"/>
    </row>
    <row r="704" spans="1:9" ht="28.5">
      <c r="A704" s="114" t="s">
        <v>725</v>
      </c>
      <c r="B704" s="328"/>
      <c r="C704" s="300" t="s">
        <v>117</v>
      </c>
      <c r="D704" s="300" t="s">
        <v>462</v>
      </c>
      <c r="E704" s="300" t="s">
        <v>726</v>
      </c>
      <c r="F704" s="324"/>
      <c r="G704" s="261">
        <f>SUM(G705:G706)</f>
        <v>2286</v>
      </c>
      <c r="H704" s="20"/>
      <c r="I704" s="20"/>
    </row>
    <row r="705" spans="1:9" ht="15">
      <c r="A705" s="114" t="s">
        <v>500</v>
      </c>
      <c r="B705" s="328"/>
      <c r="C705" s="300" t="s">
        <v>117</v>
      </c>
      <c r="D705" s="300" t="s">
        <v>462</v>
      </c>
      <c r="E705" s="300" t="s">
        <v>726</v>
      </c>
      <c r="F705" s="324" t="s">
        <v>120</v>
      </c>
      <c r="G705" s="261">
        <v>2086</v>
      </c>
      <c r="H705" s="20"/>
      <c r="I705" s="20"/>
    </row>
    <row r="706" spans="1:9" ht="28.5">
      <c r="A706" s="114" t="s">
        <v>524</v>
      </c>
      <c r="B706" s="328"/>
      <c r="C706" s="300" t="s">
        <v>117</v>
      </c>
      <c r="D706" s="300" t="s">
        <v>462</v>
      </c>
      <c r="E706" s="300" t="s">
        <v>726</v>
      </c>
      <c r="F706" s="324" t="s">
        <v>513</v>
      </c>
      <c r="G706" s="261">
        <v>200</v>
      </c>
      <c r="H706" s="20"/>
      <c r="I706" s="20"/>
    </row>
    <row r="707" spans="1:9" ht="28.5">
      <c r="A707" s="114" t="s">
        <v>728</v>
      </c>
      <c r="B707" s="323"/>
      <c r="C707" s="300" t="s">
        <v>117</v>
      </c>
      <c r="D707" s="300" t="s">
        <v>462</v>
      </c>
      <c r="E707" s="300" t="s">
        <v>729</v>
      </c>
      <c r="F707" s="324"/>
      <c r="G707" s="261">
        <f>SUM(G708)</f>
        <v>101</v>
      </c>
      <c r="H707" s="20"/>
      <c r="I707" s="20">
        <f>SUM(H707/G723*100)</f>
        <v>0</v>
      </c>
    </row>
    <row r="708" spans="1:9" ht="15">
      <c r="A708" s="114" t="s">
        <v>500</v>
      </c>
      <c r="B708" s="323"/>
      <c r="C708" s="300" t="s">
        <v>117</v>
      </c>
      <c r="D708" s="300" t="s">
        <v>462</v>
      </c>
      <c r="E708" s="300" t="s">
        <v>729</v>
      </c>
      <c r="F708" s="324" t="s">
        <v>120</v>
      </c>
      <c r="G708" s="261">
        <v>101</v>
      </c>
      <c r="H708" s="20"/>
      <c r="I708" s="20" t="e">
        <f>SUM(H708/G724*100)</f>
        <v>#DIV/0!</v>
      </c>
    </row>
    <row r="709" spans="1:9" ht="14.25" customHeight="1">
      <c r="A709" s="114" t="s">
        <v>118</v>
      </c>
      <c r="B709" s="323"/>
      <c r="C709" s="300" t="s">
        <v>117</v>
      </c>
      <c r="D709" s="300" t="s">
        <v>117</v>
      </c>
      <c r="E709" s="300"/>
      <c r="F709" s="324"/>
      <c r="G709" s="261">
        <f>SUM(G714+G721+G710+G736)+G732</f>
        <v>46849.600000000006</v>
      </c>
      <c r="H709" s="20"/>
      <c r="I709" s="20">
        <f>SUM(H709/G725*100)</f>
        <v>0</v>
      </c>
    </row>
    <row r="710" spans="1:9" ht="15" hidden="1">
      <c r="A710" s="114" t="s">
        <v>407</v>
      </c>
      <c r="B710" s="323"/>
      <c r="C710" s="300" t="s">
        <v>117</v>
      </c>
      <c r="D710" s="300" t="s">
        <v>117</v>
      </c>
      <c r="E710" s="300" t="s">
        <v>409</v>
      </c>
      <c r="F710" s="324"/>
      <c r="G710" s="261">
        <f>SUM(G711)</f>
        <v>0</v>
      </c>
      <c r="H710" s="20">
        <f>SUM(H711)</f>
        <v>0</v>
      </c>
      <c r="I710" s="20">
        <f>SUM(H710/G736*100)</f>
        <v>0</v>
      </c>
    </row>
    <row r="711" spans="1:9" ht="15" hidden="1">
      <c r="A711" s="114" t="s">
        <v>387</v>
      </c>
      <c r="B711" s="323"/>
      <c r="C711" s="300" t="s">
        <v>117</v>
      </c>
      <c r="D711" s="300" t="s">
        <v>117</v>
      </c>
      <c r="E711" s="300" t="s">
        <v>388</v>
      </c>
      <c r="F711" s="324"/>
      <c r="G711" s="261">
        <f>SUM(G712+G713)</f>
        <v>0</v>
      </c>
      <c r="H711" s="20"/>
      <c r="I711" s="20">
        <f>SUM(H711/G737*100)</f>
        <v>0</v>
      </c>
    </row>
    <row r="712" spans="1:9" ht="15" hidden="1">
      <c r="A712" s="114" t="s">
        <v>500</v>
      </c>
      <c r="B712" s="323"/>
      <c r="C712" s="300" t="s">
        <v>117</v>
      </c>
      <c r="D712" s="300" t="s">
        <v>117</v>
      </c>
      <c r="E712" s="300" t="s">
        <v>388</v>
      </c>
      <c r="F712" s="324" t="s">
        <v>247</v>
      </c>
      <c r="G712" s="261"/>
      <c r="H712" s="20">
        <f>SUM(H713)</f>
        <v>5014</v>
      </c>
      <c r="I712" s="20">
        <f>SUM(H712/G738*100)</f>
        <v>1207.6107899807323</v>
      </c>
    </row>
    <row r="713" spans="1:9" ht="15" hidden="1">
      <c r="A713" s="114" t="s">
        <v>223</v>
      </c>
      <c r="B713" s="323"/>
      <c r="C713" s="300" t="s">
        <v>117</v>
      </c>
      <c r="D713" s="300" t="s">
        <v>117</v>
      </c>
      <c r="E713" s="300" t="s">
        <v>388</v>
      </c>
      <c r="F713" s="324" t="s">
        <v>224</v>
      </c>
      <c r="G713" s="261"/>
      <c r="H713" s="20">
        <v>5014</v>
      </c>
      <c r="I713" s="20">
        <f>SUM(H713/G740*100)</f>
        <v>14.321704208535893</v>
      </c>
    </row>
    <row r="714" spans="1:9" ht="15">
      <c r="A714" s="114" t="s">
        <v>225</v>
      </c>
      <c r="B714" s="323"/>
      <c r="C714" s="300" t="s">
        <v>117</v>
      </c>
      <c r="D714" s="300" t="s">
        <v>117</v>
      </c>
      <c r="E714" s="300" t="s">
        <v>226</v>
      </c>
      <c r="F714" s="324"/>
      <c r="G714" s="261">
        <f>SUM(G717+G715)</f>
        <v>2270.2999999999997</v>
      </c>
      <c r="H714" s="20">
        <f>SUM(H715)</f>
        <v>0</v>
      </c>
      <c r="I714" s="20">
        <f>SUM(H714/G741*100)</f>
        <v>0</v>
      </c>
    </row>
    <row r="715" spans="1:9" ht="28.5">
      <c r="A715" s="114" t="s">
        <v>257</v>
      </c>
      <c r="B715" s="323"/>
      <c r="C715" s="300" t="s">
        <v>117</v>
      </c>
      <c r="D715" s="300" t="s">
        <v>117</v>
      </c>
      <c r="E715" s="300" t="s">
        <v>214</v>
      </c>
      <c r="F715" s="324"/>
      <c r="G715" s="261">
        <f>SUM(G716)</f>
        <v>396.4</v>
      </c>
      <c r="H715" s="20"/>
      <c r="I715" s="20">
        <f>SUM(H715/G742*100)</f>
        <v>0</v>
      </c>
    </row>
    <row r="716" spans="1:9" ht="15">
      <c r="A716" s="114" t="s">
        <v>500</v>
      </c>
      <c r="B716" s="323"/>
      <c r="C716" s="300" t="s">
        <v>117</v>
      </c>
      <c r="D716" s="300" t="s">
        <v>117</v>
      </c>
      <c r="E716" s="300" t="s">
        <v>214</v>
      </c>
      <c r="F716" s="324" t="s">
        <v>120</v>
      </c>
      <c r="G716" s="261">
        <v>396.4</v>
      </c>
      <c r="H716" s="20" t="e">
        <f>SUM(#REF!)</f>
        <v>#REF!</v>
      </c>
      <c r="I716" s="20" t="e">
        <f>SUM(H716/G743*100)</f>
        <v>#REF!</v>
      </c>
    </row>
    <row r="717" spans="1:9" ht="28.5">
      <c r="A717" s="114" t="s">
        <v>56</v>
      </c>
      <c r="B717" s="323"/>
      <c r="C717" s="300" t="s">
        <v>117</v>
      </c>
      <c r="D717" s="300" t="s">
        <v>117</v>
      </c>
      <c r="E717" s="300" t="s">
        <v>229</v>
      </c>
      <c r="F717" s="324"/>
      <c r="G717" s="261">
        <f>SUM(G718+G719+G720)</f>
        <v>1873.8999999999999</v>
      </c>
      <c r="H717" s="20">
        <f>SUM(H734)</f>
        <v>39140.2</v>
      </c>
      <c r="I717" s="20">
        <f>SUM(H717/G755*100)</f>
        <v>415.15730074884914</v>
      </c>
    </row>
    <row r="718" spans="1:9" ht="28.5">
      <c r="A718" s="114" t="s">
        <v>495</v>
      </c>
      <c r="B718" s="323"/>
      <c r="C718" s="300" t="s">
        <v>117</v>
      </c>
      <c r="D718" s="300" t="s">
        <v>117</v>
      </c>
      <c r="E718" s="300" t="s">
        <v>229</v>
      </c>
      <c r="F718" s="324" t="s">
        <v>496</v>
      </c>
      <c r="G718" s="261">
        <v>1714.3</v>
      </c>
      <c r="H718" s="20" t="e">
        <f>SUM(H722+#REF!+#REF!)</f>
        <v>#REF!</v>
      </c>
      <c r="I718" s="20" t="e">
        <f>SUM(H718/G756*100)</f>
        <v>#REF!</v>
      </c>
    </row>
    <row r="719" spans="1:9" ht="15">
      <c r="A719" s="114" t="s">
        <v>500</v>
      </c>
      <c r="B719" s="323"/>
      <c r="C719" s="300" t="s">
        <v>117</v>
      </c>
      <c r="D719" s="300" t="s">
        <v>117</v>
      </c>
      <c r="E719" s="300" t="s">
        <v>229</v>
      </c>
      <c r="F719" s="324" t="s">
        <v>120</v>
      </c>
      <c r="G719" s="261">
        <v>147.8</v>
      </c>
      <c r="H719" s="20"/>
      <c r="I719" s="20"/>
    </row>
    <row r="720" spans="1:9" ht="15">
      <c r="A720" s="114" t="s">
        <v>501</v>
      </c>
      <c r="B720" s="323"/>
      <c r="C720" s="300" t="s">
        <v>117</v>
      </c>
      <c r="D720" s="300" t="s">
        <v>117</v>
      </c>
      <c r="E720" s="300" t="s">
        <v>229</v>
      </c>
      <c r="F720" s="324" t="s">
        <v>176</v>
      </c>
      <c r="G720" s="261">
        <v>11.8</v>
      </c>
      <c r="H720" s="20"/>
      <c r="I720" s="20"/>
    </row>
    <row r="721" spans="1:9" ht="15">
      <c r="A721" s="120" t="s">
        <v>230</v>
      </c>
      <c r="B721" s="323"/>
      <c r="C721" s="300" t="s">
        <v>117</v>
      </c>
      <c r="D721" s="300" t="s">
        <v>117</v>
      </c>
      <c r="E721" s="300" t="s">
        <v>119</v>
      </c>
      <c r="F721" s="324"/>
      <c r="G721" s="261">
        <f>SUM(G722)</f>
        <v>43840.3</v>
      </c>
      <c r="H721" s="20"/>
      <c r="I721" s="20"/>
    </row>
    <row r="722" spans="1:9" ht="28.5" hidden="1">
      <c r="A722" s="120" t="s">
        <v>90</v>
      </c>
      <c r="B722" s="323"/>
      <c r="C722" s="300" t="s">
        <v>117</v>
      </c>
      <c r="D722" s="300" t="s">
        <v>117</v>
      </c>
      <c r="E722" s="300" t="s">
        <v>91</v>
      </c>
      <c r="F722" s="324"/>
      <c r="G722" s="261">
        <f>SUM(G723)+G728</f>
        <v>43840.3</v>
      </c>
      <c r="H722" s="20">
        <v>56722</v>
      </c>
      <c r="I722" s="20" t="e">
        <f>SUM(H722/#REF!*100)</f>
        <v>#REF!</v>
      </c>
    </row>
    <row r="723" spans="1:9" ht="42.75">
      <c r="A723" s="120" t="s">
        <v>92</v>
      </c>
      <c r="B723" s="323"/>
      <c r="C723" s="300" t="s">
        <v>117</v>
      </c>
      <c r="D723" s="300" t="s">
        <v>117</v>
      </c>
      <c r="E723" s="300" t="s">
        <v>93</v>
      </c>
      <c r="F723" s="324"/>
      <c r="G723" s="261">
        <f>SUM(G725:G727)</f>
        <v>24504.9</v>
      </c>
      <c r="H723" s="20"/>
      <c r="I723" s="20"/>
    </row>
    <row r="724" spans="1:9" ht="15" hidden="1">
      <c r="A724" s="114" t="s">
        <v>57</v>
      </c>
      <c r="B724" s="323"/>
      <c r="C724" s="300" t="s">
        <v>117</v>
      </c>
      <c r="D724" s="300" t="s">
        <v>117</v>
      </c>
      <c r="E724" s="300" t="s">
        <v>93</v>
      </c>
      <c r="F724" s="324"/>
      <c r="G724" s="261"/>
      <c r="H724" s="20"/>
      <c r="I724" s="20"/>
    </row>
    <row r="725" spans="1:9" ht="15">
      <c r="A725" s="114" t="s">
        <v>500</v>
      </c>
      <c r="B725" s="323"/>
      <c r="C725" s="300" t="s">
        <v>117</v>
      </c>
      <c r="D725" s="300" t="s">
        <v>117</v>
      </c>
      <c r="E725" s="300" t="s">
        <v>93</v>
      </c>
      <c r="F725" s="324" t="s">
        <v>120</v>
      </c>
      <c r="G725" s="261">
        <v>2450.2</v>
      </c>
      <c r="H725" s="20"/>
      <c r="I725" s="20"/>
    </row>
    <row r="726" spans="1:9" ht="28.5">
      <c r="A726" s="114" t="s">
        <v>524</v>
      </c>
      <c r="B726" s="323"/>
      <c r="C726" s="300" t="s">
        <v>117</v>
      </c>
      <c r="D726" s="300" t="s">
        <v>117</v>
      </c>
      <c r="E726" s="300" t="s">
        <v>93</v>
      </c>
      <c r="F726" s="324" t="s">
        <v>513</v>
      </c>
      <c r="G726" s="261">
        <v>2290.4</v>
      </c>
      <c r="H726" s="20"/>
      <c r="I726" s="20"/>
    </row>
    <row r="727" spans="1:9" ht="15">
      <c r="A727" s="114" t="s">
        <v>501</v>
      </c>
      <c r="B727" s="323"/>
      <c r="C727" s="300" t="s">
        <v>117</v>
      </c>
      <c r="D727" s="300" t="s">
        <v>117</v>
      </c>
      <c r="E727" s="300" t="s">
        <v>93</v>
      </c>
      <c r="F727" s="324" t="s">
        <v>176</v>
      </c>
      <c r="G727" s="261">
        <v>19764.3</v>
      </c>
      <c r="H727" s="20"/>
      <c r="I727" s="20"/>
    </row>
    <row r="728" spans="1:9" ht="42.75">
      <c r="A728" s="120" t="s">
        <v>730</v>
      </c>
      <c r="B728" s="323"/>
      <c r="C728" s="300" t="s">
        <v>117</v>
      </c>
      <c r="D728" s="300" t="s">
        <v>117</v>
      </c>
      <c r="E728" s="300" t="s">
        <v>731</v>
      </c>
      <c r="F728" s="324"/>
      <c r="G728" s="261">
        <f>SUM(G729:G731)</f>
        <v>19335.4</v>
      </c>
      <c r="H728" s="20"/>
      <c r="I728" s="20"/>
    </row>
    <row r="729" spans="1:9" ht="15">
      <c r="A729" s="114" t="s">
        <v>500</v>
      </c>
      <c r="B729" s="323"/>
      <c r="C729" s="300" t="s">
        <v>117</v>
      </c>
      <c r="D729" s="300" t="s">
        <v>117</v>
      </c>
      <c r="E729" s="300" t="s">
        <v>731</v>
      </c>
      <c r="F729" s="324" t="s">
        <v>120</v>
      </c>
      <c r="G729" s="261">
        <v>3816.5</v>
      </c>
      <c r="H729" s="20"/>
      <c r="I729" s="20"/>
    </row>
    <row r="730" spans="1:9" ht="28.5">
      <c r="A730" s="114" t="s">
        <v>524</v>
      </c>
      <c r="B730" s="323"/>
      <c r="C730" s="300" t="s">
        <v>117</v>
      </c>
      <c r="D730" s="300" t="s">
        <v>117</v>
      </c>
      <c r="E730" s="300" t="s">
        <v>731</v>
      </c>
      <c r="F730" s="324" t="s">
        <v>513</v>
      </c>
      <c r="G730" s="261">
        <v>4413.2</v>
      </c>
      <c r="H730" s="20"/>
      <c r="I730" s="20"/>
    </row>
    <row r="731" spans="1:9" ht="15">
      <c r="A731" s="114" t="s">
        <v>501</v>
      </c>
      <c r="B731" s="323"/>
      <c r="C731" s="300" t="s">
        <v>117</v>
      </c>
      <c r="D731" s="300" t="s">
        <v>117</v>
      </c>
      <c r="E731" s="300" t="s">
        <v>731</v>
      </c>
      <c r="F731" s="324" t="s">
        <v>176</v>
      </c>
      <c r="G731" s="261">
        <v>11105.7</v>
      </c>
      <c r="H731" s="20"/>
      <c r="I731" s="20"/>
    </row>
    <row r="732" spans="1:9" ht="15">
      <c r="A732" s="114" t="s">
        <v>681</v>
      </c>
      <c r="B732" s="317"/>
      <c r="C732" s="300" t="s">
        <v>117</v>
      </c>
      <c r="D732" s="300" t="s">
        <v>117</v>
      </c>
      <c r="E732" s="300" t="s">
        <v>683</v>
      </c>
      <c r="F732" s="324"/>
      <c r="G732" s="261">
        <f>SUM(G733)</f>
        <v>220.1</v>
      </c>
      <c r="H732" s="20"/>
      <c r="I732" s="20"/>
    </row>
    <row r="733" spans="1:9" ht="42.75">
      <c r="A733" s="114" t="s">
        <v>732</v>
      </c>
      <c r="B733" s="323"/>
      <c r="C733" s="300" t="s">
        <v>117</v>
      </c>
      <c r="D733" s="300" t="s">
        <v>117</v>
      </c>
      <c r="E733" s="300" t="s">
        <v>733</v>
      </c>
      <c r="F733" s="324"/>
      <c r="G733" s="261">
        <f>SUM(G734)</f>
        <v>220.1</v>
      </c>
      <c r="H733" s="20"/>
      <c r="I733" s="20"/>
    </row>
    <row r="734" spans="1:9" ht="28.5">
      <c r="A734" s="114" t="s">
        <v>734</v>
      </c>
      <c r="B734" s="323"/>
      <c r="C734" s="300" t="s">
        <v>117</v>
      </c>
      <c r="D734" s="300" t="s">
        <v>117</v>
      </c>
      <c r="E734" s="300" t="s">
        <v>735</v>
      </c>
      <c r="F734" s="324"/>
      <c r="G734" s="261">
        <f>SUM(G735)</f>
        <v>220.1</v>
      </c>
      <c r="H734" s="20">
        <f>SUM(H735+H741+H736)</f>
        <v>39140.2</v>
      </c>
      <c r="I734" s="20" t="e">
        <f>SUM(H734/#REF!*100)</f>
        <v>#REF!</v>
      </c>
    </row>
    <row r="735" spans="1:9" ht="15">
      <c r="A735" s="114" t="s">
        <v>500</v>
      </c>
      <c r="B735" s="323"/>
      <c r="C735" s="300" t="s">
        <v>117</v>
      </c>
      <c r="D735" s="300" t="s">
        <v>117</v>
      </c>
      <c r="E735" s="300" t="s">
        <v>735</v>
      </c>
      <c r="F735" s="324" t="s">
        <v>120</v>
      </c>
      <c r="G735" s="261">
        <v>220.1</v>
      </c>
      <c r="H735" s="20">
        <v>39061.6</v>
      </c>
      <c r="I735" s="20" t="e">
        <f>SUM(H735/#REF!*100)</f>
        <v>#REF!</v>
      </c>
    </row>
    <row r="736" spans="1:9" ht="15">
      <c r="A736" s="114" t="s">
        <v>594</v>
      </c>
      <c r="B736" s="318"/>
      <c r="C736" s="300" t="s">
        <v>117</v>
      </c>
      <c r="D736" s="300" t="s">
        <v>117</v>
      </c>
      <c r="E736" s="300" t="s">
        <v>129</v>
      </c>
      <c r="F736" s="324"/>
      <c r="G736" s="261">
        <f>SUM(G737)</f>
        <v>518.9</v>
      </c>
      <c r="H736" s="20">
        <f>SUM(H738)</f>
        <v>78.6</v>
      </c>
      <c r="I736" s="20" t="e">
        <f>SUM(H736/#REF!*100)</f>
        <v>#REF!</v>
      </c>
    </row>
    <row r="737" spans="1:9" ht="15">
      <c r="A737" s="153" t="s">
        <v>614</v>
      </c>
      <c r="B737" s="318"/>
      <c r="C737" s="300" t="s">
        <v>117</v>
      </c>
      <c r="D737" s="300" t="s">
        <v>117</v>
      </c>
      <c r="E737" s="300" t="s">
        <v>97</v>
      </c>
      <c r="F737" s="324"/>
      <c r="G737" s="263">
        <f>SUM(G738:G739)</f>
        <v>518.9</v>
      </c>
      <c r="H737" s="20"/>
      <c r="I737" s="20"/>
    </row>
    <row r="738" spans="1:9" ht="15">
      <c r="A738" s="114" t="s">
        <v>500</v>
      </c>
      <c r="B738" s="318"/>
      <c r="C738" s="300" t="s">
        <v>117</v>
      </c>
      <c r="D738" s="300" t="s">
        <v>117</v>
      </c>
      <c r="E738" s="300" t="s">
        <v>97</v>
      </c>
      <c r="F738" s="324" t="s">
        <v>120</v>
      </c>
      <c r="G738" s="263">
        <v>415.2</v>
      </c>
      <c r="H738" s="20">
        <v>78.6</v>
      </c>
      <c r="I738" s="20" t="e">
        <f>SUM(H738/#REF!*100)</f>
        <v>#REF!</v>
      </c>
    </row>
    <row r="739" spans="1:9" ht="28.5">
      <c r="A739" s="114" t="s">
        <v>524</v>
      </c>
      <c r="B739" s="318"/>
      <c r="C739" s="300" t="s">
        <v>117</v>
      </c>
      <c r="D739" s="300" t="s">
        <v>117</v>
      </c>
      <c r="E739" s="300" t="s">
        <v>97</v>
      </c>
      <c r="F739" s="324" t="s">
        <v>513</v>
      </c>
      <c r="G739" s="263">
        <v>103.7</v>
      </c>
      <c r="H739" s="20"/>
      <c r="I739" s="20" t="e">
        <f>SUM(H739/#REF!*100)</f>
        <v>#REF!</v>
      </c>
    </row>
    <row r="740" spans="1:9" ht="15">
      <c r="A740" s="114" t="s">
        <v>231</v>
      </c>
      <c r="B740" s="323"/>
      <c r="C740" s="300" t="s">
        <v>117</v>
      </c>
      <c r="D740" s="300" t="s">
        <v>300</v>
      </c>
      <c r="E740" s="300"/>
      <c r="F740" s="324"/>
      <c r="G740" s="261">
        <f>G741+G746</f>
        <v>35009.8</v>
      </c>
      <c r="H740" s="20"/>
      <c r="I740" s="20" t="e">
        <f>SUM(H740/#REF!*100)</f>
        <v>#REF!</v>
      </c>
    </row>
    <row r="741" spans="1:9" s="93" customFormat="1" ht="42.75">
      <c r="A741" s="120" t="s">
        <v>291</v>
      </c>
      <c r="B741" s="323"/>
      <c r="C741" s="300" t="s">
        <v>117</v>
      </c>
      <c r="D741" s="300" t="s">
        <v>300</v>
      </c>
      <c r="E741" s="300" t="s">
        <v>292</v>
      </c>
      <c r="F741" s="324"/>
      <c r="G741" s="261">
        <f>SUM(G742)</f>
        <v>34879.8</v>
      </c>
      <c r="H741" s="20">
        <f>SUM(H743)</f>
        <v>0</v>
      </c>
      <c r="I741" s="20" t="e">
        <f>SUM(H741/#REF!*100)</f>
        <v>#REF!</v>
      </c>
    </row>
    <row r="742" spans="1:9" ht="28.5">
      <c r="A742" s="114" t="s">
        <v>56</v>
      </c>
      <c r="B742" s="323"/>
      <c r="C742" s="300" t="s">
        <v>117</v>
      </c>
      <c r="D742" s="300" t="s">
        <v>300</v>
      </c>
      <c r="E742" s="300" t="s">
        <v>293</v>
      </c>
      <c r="F742" s="324"/>
      <c r="G742" s="261">
        <f>SUM(G743+G744+G745)</f>
        <v>34879.8</v>
      </c>
      <c r="H742" s="20"/>
      <c r="I742" s="20" t="e">
        <f>SUM(H742/#REF!*100)</f>
        <v>#REF!</v>
      </c>
    </row>
    <row r="743" spans="1:9" ht="28.5">
      <c r="A743" s="114" t="s">
        <v>495</v>
      </c>
      <c r="B743" s="323"/>
      <c r="C743" s="300" t="s">
        <v>117</v>
      </c>
      <c r="D743" s="300" t="s">
        <v>300</v>
      </c>
      <c r="E743" s="300" t="s">
        <v>293</v>
      </c>
      <c r="F743" s="324" t="s">
        <v>496</v>
      </c>
      <c r="G743" s="261">
        <v>31386.6</v>
      </c>
      <c r="H743" s="20"/>
      <c r="I743" s="20" t="e">
        <f>SUM(H743/#REF!*100)</f>
        <v>#REF!</v>
      </c>
    </row>
    <row r="744" spans="1:9" ht="15">
      <c r="A744" s="114" t="s">
        <v>500</v>
      </c>
      <c r="B744" s="318"/>
      <c r="C744" s="300" t="s">
        <v>117</v>
      </c>
      <c r="D744" s="300" t="s">
        <v>300</v>
      </c>
      <c r="E744" s="300" t="s">
        <v>293</v>
      </c>
      <c r="F744" s="324" t="s">
        <v>120</v>
      </c>
      <c r="G744" s="261">
        <v>3084.9</v>
      </c>
      <c r="H744" s="20"/>
      <c r="I744" s="20"/>
    </row>
    <row r="745" spans="1:9" ht="15">
      <c r="A745" s="114" t="s">
        <v>501</v>
      </c>
      <c r="B745" s="323"/>
      <c r="C745" s="300" t="s">
        <v>117</v>
      </c>
      <c r="D745" s="300" t="s">
        <v>300</v>
      </c>
      <c r="E745" s="300" t="s">
        <v>293</v>
      </c>
      <c r="F745" s="324" t="s">
        <v>176</v>
      </c>
      <c r="G745" s="261">
        <v>408.3</v>
      </c>
      <c r="H745" s="20"/>
      <c r="I745" s="20"/>
    </row>
    <row r="746" spans="1:9" ht="15">
      <c r="A746" s="114" t="s">
        <v>594</v>
      </c>
      <c r="B746" s="318"/>
      <c r="C746" s="300" t="s">
        <v>117</v>
      </c>
      <c r="D746" s="300" t="s">
        <v>300</v>
      </c>
      <c r="E746" s="300" t="s">
        <v>129</v>
      </c>
      <c r="F746" s="324"/>
      <c r="G746" s="261">
        <f>SUM(G749)+G747</f>
        <v>130</v>
      </c>
      <c r="H746" s="20"/>
      <c r="I746" s="20"/>
    </row>
    <row r="747" spans="1:9" ht="28.5">
      <c r="A747" s="114" t="s">
        <v>725</v>
      </c>
      <c r="B747" s="328"/>
      <c r="C747" s="300" t="s">
        <v>117</v>
      </c>
      <c r="D747" s="300" t="s">
        <v>300</v>
      </c>
      <c r="E747" s="300" t="s">
        <v>726</v>
      </c>
      <c r="F747" s="324"/>
      <c r="G747" s="261">
        <f>SUM(G748)</f>
        <v>30</v>
      </c>
      <c r="H747" s="20"/>
      <c r="I747" s="20"/>
    </row>
    <row r="748" spans="1:9" ht="15">
      <c r="A748" s="114" t="s">
        <v>500</v>
      </c>
      <c r="B748" s="328"/>
      <c r="C748" s="300" t="s">
        <v>117</v>
      </c>
      <c r="D748" s="300" t="s">
        <v>300</v>
      </c>
      <c r="E748" s="300" t="s">
        <v>726</v>
      </c>
      <c r="F748" s="324" t="s">
        <v>120</v>
      </c>
      <c r="G748" s="261">
        <v>30</v>
      </c>
      <c r="H748" s="20"/>
      <c r="I748" s="20"/>
    </row>
    <row r="749" spans="1:9" ht="28.5">
      <c r="A749" s="114" t="s">
        <v>728</v>
      </c>
      <c r="B749" s="323"/>
      <c r="C749" s="300" t="s">
        <v>117</v>
      </c>
      <c r="D749" s="300" t="s">
        <v>300</v>
      </c>
      <c r="E749" s="300" t="s">
        <v>729</v>
      </c>
      <c r="F749" s="324"/>
      <c r="G749" s="261">
        <f>SUM(G750)</f>
        <v>100</v>
      </c>
      <c r="H749" s="20">
        <f>SUM(H750)</f>
        <v>13875.4</v>
      </c>
      <c r="I749" s="20" t="e">
        <f>SUM(H749/#REF!*100)</f>
        <v>#REF!</v>
      </c>
    </row>
    <row r="750" spans="1:9" ht="15">
      <c r="A750" s="114" t="s">
        <v>500</v>
      </c>
      <c r="B750" s="323"/>
      <c r="C750" s="300" t="s">
        <v>117</v>
      </c>
      <c r="D750" s="300" t="s">
        <v>300</v>
      </c>
      <c r="E750" s="300" t="s">
        <v>729</v>
      </c>
      <c r="F750" s="324" t="s">
        <v>120</v>
      </c>
      <c r="G750" s="261">
        <v>100</v>
      </c>
      <c r="H750" s="20">
        <f>SUM(H752+H754+H756)</f>
        <v>13875.4</v>
      </c>
      <c r="I750" s="20" t="e">
        <f>SUM(H750/#REF!*100)</f>
        <v>#REF!</v>
      </c>
    </row>
    <row r="751" spans="1:9" ht="15">
      <c r="A751" s="114" t="s">
        <v>188</v>
      </c>
      <c r="B751" s="323"/>
      <c r="C751" s="300" t="s">
        <v>5</v>
      </c>
      <c r="D751" s="300"/>
      <c r="E751" s="300"/>
      <c r="F751" s="324"/>
      <c r="G751" s="261">
        <f>SUM(G756)+G752</f>
        <v>36491.3</v>
      </c>
      <c r="H751" s="20"/>
      <c r="I751" s="20" t="e">
        <f>SUM(H751/#REF!*100)</f>
        <v>#REF!</v>
      </c>
    </row>
    <row r="752" spans="1:9" ht="15">
      <c r="A752" s="120" t="s">
        <v>25</v>
      </c>
      <c r="B752" s="323"/>
      <c r="C752" s="300" t="s">
        <v>5</v>
      </c>
      <c r="D752" s="300" t="s">
        <v>106</v>
      </c>
      <c r="E752" s="300"/>
      <c r="F752" s="324"/>
      <c r="G752" s="261">
        <f>SUM(G753)</f>
        <v>9427.8</v>
      </c>
      <c r="H752" s="20">
        <f>SUM(H753)</f>
        <v>0</v>
      </c>
      <c r="I752" s="20" t="e">
        <f>SUM(H752/#REF!*100)</f>
        <v>#REF!</v>
      </c>
    </row>
    <row r="753" spans="1:9" ht="15">
      <c r="A753" s="116" t="s">
        <v>26</v>
      </c>
      <c r="B753" s="323"/>
      <c r="C753" s="300" t="s">
        <v>5</v>
      </c>
      <c r="D753" s="300" t="s">
        <v>106</v>
      </c>
      <c r="E753" s="300" t="s">
        <v>27</v>
      </c>
      <c r="F753" s="324"/>
      <c r="G753" s="261">
        <f>SUM(G754)</f>
        <v>9427.8</v>
      </c>
      <c r="H753" s="20"/>
      <c r="I753" s="20" t="e">
        <f>SUM(H753/#REF!*100)</f>
        <v>#REF!</v>
      </c>
    </row>
    <row r="754" spans="1:9" ht="42.75">
      <c r="A754" s="116" t="s">
        <v>615</v>
      </c>
      <c r="B754" s="323"/>
      <c r="C754" s="300" t="s">
        <v>5</v>
      </c>
      <c r="D754" s="300" t="s">
        <v>106</v>
      </c>
      <c r="E754" s="300" t="s">
        <v>183</v>
      </c>
      <c r="F754" s="324"/>
      <c r="G754" s="261">
        <f>SUM(G755)</f>
        <v>9427.8</v>
      </c>
      <c r="H754" s="20">
        <f>SUM(H755)</f>
        <v>12.8</v>
      </c>
      <c r="I754" s="20" t="e">
        <f>SUM(H754/#REF!*100)</f>
        <v>#REF!</v>
      </c>
    </row>
    <row r="755" spans="1:9" ht="15">
      <c r="A755" s="116" t="s">
        <v>505</v>
      </c>
      <c r="B755" s="323"/>
      <c r="C755" s="300" t="s">
        <v>5</v>
      </c>
      <c r="D755" s="300" t="s">
        <v>106</v>
      </c>
      <c r="E755" s="300" t="s">
        <v>183</v>
      </c>
      <c r="F755" s="324" t="s">
        <v>506</v>
      </c>
      <c r="G755" s="261">
        <v>9427.8</v>
      </c>
      <c r="H755" s="20">
        <v>12.8</v>
      </c>
      <c r="I755" s="20" t="e">
        <f>SUM(H755/#REF!*100)</f>
        <v>#REF!</v>
      </c>
    </row>
    <row r="756" spans="1:9" ht="15">
      <c r="A756" s="120" t="s">
        <v>158</v>
      </c>
      <c r="B756" s="323"/>
      <c r="C756" s="300" t="s">
        <v>5</v>
      </c>
      <c r="D756" s="300" t="s">
        <v>122</v>
      </c>
      <c r="E756" s="300"/>
      <c r="F756" s="324"/>
      <c r="G756" s="261">
        <f>SUM(G757)</f>
        <v>27063.5</v>
      </c>
      <c r="H756" s="20">
        <f>SUM(H757)</f>
        <v>13862.6</v>
      </c>
      <c r="I756" s="20" t="e">
        <f>SUM(H756/#REF!*100)</f>
        <v>#REF!</v>
      </c>
    </row>
    <row r="757" spans="1:9" ht="15">
      <c r="A757" s="116" t="s">
        <v>336</v>
      </c>
      <c r="B757" s="323"/>
      <c r="C757" s="300" t="s">
        <v>5</v>
      </c>
      <c r="D757" s="300" t="s">
        <v>122</v>
      </c>
      <c r="E757" s="300" t="s">
        <v>337</v>
      </c>
      <c r="F757" s="324"/>
      <c r="G757" s="261">
        <f>SUM(G758)</f>
        <v>27063.5</v>
      </c>
      <c r="H757" s="20">
        <v>13862.6</v>
      </c>
      <c r="I757" s="20" t="e">
        <f>SUM(H757/#REF!*100)</f>
        <v>#REF!</v>
      </c>
    </row>
    <row r="758" spans="1:9" ht="42.75">
      <c r="A758" s="116" t="s">
        <v>160</v>
      </c>
      <c r="B758" s="323"/>
      <c r="C758" s="300" t="s">
        <v>5</v>
      </c>
      <c r="D758" s="300" t="s">
        <v>122</v>
      </c>
      <c r="E758" s="300" t="s">
        <v>161</v>
      </c>
      <c r="F758" s="324"/>
      <c r="G758" s="261">
        <f>SUM(G759)</f>
        <v>27063.5</v>
      </c>
      <c r="H758" s="20">
        <f>SUM(H759)</f>
        <v>199.3</v>
      </c>
      <c r="I758" s="20">
        <f>SUM(H758/G784*100)</f>
        <v>100.65656565656566</v>
      </c>
    </row>
    <row r="759" spans="1:9" ht="15">
      <c r="A759" s="116" t="s">
        <v>505</v>
      </c>
      <c r="B759" s="323"/>
      <c r="C759" s="300" t="s">
        <v>5</v>
      </c>
      <c r="D759" s="300" t="s">
        <v>122</v>
      </c>
      <c r="E759" s="300" t="s">
        <v>161</v>
      </c>
      <c r="F759" s="324" t="s">
        <v>506</v>
      </c>
      <c r="G759" s="261">
        <v>27063.5</v>
      </c>
      <c r="H759" s="20">
        <v>199.3</v>
      </c>
      <c r="I759" s="20">
        <f>SUM(H759/G785*100)</f>
        <v>195.00978473581213</v>
      </c>
    </row>
    <row r="760" spans="1:9" ht="15">
      <c r="A760" s="112" t="s">
        <v>306</v>
      </c>
      <c r="B760" s="281" t="s">
        <v>265</v>
      </c>
      <c r="C760" s="280"/>
      <c r="D760" s="280"/>
      <c r="E760" s="280"/>
      <c r="F760" s="277"/>
      <c r="G760" s="262">
        <f>SUM(G761+G790)</f>
        <v>176303.5</v>
      </c>
      <c r="H760" s="20"/>
      <c r="I760" s="20"/>
    </row>
    <row r="761" spans="1:9" ht="15">
      <c r="A761" s="109" t="s">
        <v>116</v>
      </c>
      <c r="B761" s="274"/>
      <c r="C761" s="280" t="s">
        <v>117</v>
      </c>
      <c r="D761" s="280"/>
      <c r="E761" s="280"/>
      <c r="F761" s="277"/>
      <c r="G761" s="258">
        <f>SUM(G762)+G777</f>
        <v>58992.2</v>
      </c>
      <c r="H761" s="20" t="e">
        <f>SUM(#REF!)</f>
        <v>#REF!</v>
      </c>
      <c r="I761" s="20" t="e">
        <f>SUM(H761/G787*100)</f>
        <v>#REF!</v>
      </c>
    </row>
    <row r="762" spans="1:9" ht="15">
      <c r="A762" s="109" t="s">
        <v>343</v>
      </c>
      <c r="B762" s="281"/>
      <c r="C762" s="280" t="s">
        <v>117</v>
      </c>
      <c r="D762" s="280" t="s">
        <v>462</v>
      </c>
      <c r="E762" s="280"/>
      <c r="F762" s="277"/>
      <c r="G762" s="258">
        <f>SUM(G763+G774)</f>
        <v>58685</v>
      </c>
      <c r="H762" s="20"/>
      <c r="I762" s="20"/>
    </row>
    <row r="763" spans="1:9" ht="15">
      <c r="A763" s="109" t="s">
        <v>320</v>
      </c>
      <c r="B763" s="274"/>
      <c r="C763" s="280" t="s">
        <v>117</v>
      </c>
      <c r="D763" s="280" t="s">
        <v>462</v>
      </c>
      <c r="E763" s="280" t="s">
        <v>321</v>
      </c>
      <c r="F763" s="277"/>
      <c r="G763" s="258">
        <f>SUM(G764)</f>
        <v>58685</v>
      </c>
      <c r="H763" s="20"/>
      <c r="I763" s="20"/>
    </row>
    <row r="764" spans="1:9" ht="15">
      <c r="A764" s="109" t="s">
        <v>15</v>
      </c>
      <c r="B764" s="281"/>
      <c r="C764" s="280" t="s">
        <v>117</v>
      </c>
      <c r="D764" s="280" t="s">
        <v>462</v>
      </c>
      <c r="E764" s="280" t="s">
        <v>78</v>
      </c>
      <c r="F764" s="277"/>
      <c r="G764" s="258">
        <f>SUM(G765)+G772+G767</f>
        <v>58685</v>
      </c>
      <c r="H764" s="20" t="e">
        <f>SUM(H765+H816)</f>
        <v>#REF!</v>
      </c>
      <c r="I764" s="20" t="e">
        <f>SUM(H764/G790*100)</f>
        <v>#REF!</v>
      </c>
    </row>
    <row r="765" spans="1:9" ht="35.25" customHeight="1">
      <c r="A765" s="109" t="s">
        <v>94</v>
      </c>
      <c r="B765" s="281"/>
      <c r="C765" s="280" t="s">
        <v>117</v>
      </c>
      <c r="D765" s="280" t="s">
        <v>462</v>
      </c>
      <c r="E765" s="280" t="s">
        <v>79</v>
      </c>
      <c r="F765" s="277"/>
      <c r="G765" s="258">
        <f>SUM(G766)</f>
        <v>58324.5</v>
      </c>
      <c r="H765" s="20" t="e">
        <f>SUM(#REF!+H789+H766+H809)</f>
        <v>#REF!</v>
      </c>
      <c r="I765" s="20" t="e">
        <f>SUM(H765/G791*100)</f>
        <v>#REF!</v>
      </c>
    </row>
    <row r="766" spans="1:9" ht="28.5">
      <c r="A766" s="114" t="s">
        <v>517</v>
      </c>
      <c r="B766" s="317"/>
      <c r="C766" s="280" t="s">
        <v>117</v>
      </c>
      <c r="D766" s="280" t="s">
        <v>462</v>
      </c>
      <c r="E766" s="280" t="s">
        <v>79</v>
      </c>
      <c r="F766" s="278" t="s">
        <v>513</v>
      </c>
      <c r="G766" s="258">
        <v>58324.5</v>
      </c>
      <c r="H766" s="20">
        <f>SUM(H784)</f>
        <v>14679.5</v>
      </c>
      <c r="I766" s="20">
        <f>SUM(H766/G792*100)</f>
        <v>23.816863497791026</v>
      </c>
    </row>
    <row r="767" spans="1:9" ht="15">
      <c r="A767" s="114" t="s">
        <v>157</v>
      </c>
      <c r="B767" s="317"/>
      <c r="C767" s="280" t="s">
        <v>117</v>
      </c>
      <c r="D767" s="280" t="s">
        <v>462</v>
      </c>
      <c r="E767" s="280" t="s">
        <v>151</v>
      </c>
      <c r="F767" s="278"/>
      <c r="G767" s="258">
        <f>SUM(G770)+G768</f>
        <v>360.5</v>
      </c>
      <c r="H767" s="20">
        <f>SUM(H768)</f>
        <v>0</v>
      </c>
      <c r="I767" s="20">
        <f>SUM(H767/G799*100)</f>
        <v>0</v>
      </c>
    </row>
    <row r="768" spans="1:9" ht="26.25" customHeight="1">
      <c r="A768" s="114" t="s">
        <v>463</v>
      </c>
      <c r="B768" s="317"/>
      <c r="C768" s="280" t="s">
        <v>117</v>
      </c>
      <c r="D768" s="280" t="s">
        <v>462</v>
      </c>
      <c r="E768" s="280" t="s">
        <v>464</v>
      </c>
      <c r="F768" s="278"/>
      <c r="G768" s="258">
        <f>SUM(G769)</f>
        <v>310.5</v>
      </c>
      <c r="H768" s="20"/>
      <c r="I768" s="20"/>
    </row>
    <row r="769" spans="1:9" ht="27.75" customHeight="1">
      <c r="A769" s="114" t="s">
        <v>517</v>
      </c>
      <c r="B769" s="317"/>
      <c r="C769" s="280" t="s">
        <v>117</v>
      </c>
      <c r="D769" s="280" t="s">
        <v>462</v>
      </c>
      <c r="E769" s="280" t="s">
        <v>464</v>
      </c>
      <c r="F769" s="278" t="s">
        <v>83</v>
      </c>
      <c r="G769" s="258">
        <v>310.5</v>
      </c>
      <c r="H769" s="20">
        <f>SUM(H771+H820+H818)</f>
        <v>61355.8</v>
      </c>
      <c r="I769" s="20" t="e">
        <f>SUM(H769/G803*100)</f>
        <v>#DIV/0!</v>
      </c>
    </row>
    <row r="770" spans="1:9" ht="15">
      <c r="A770" s="114" t="s">
        <v>154</v>
      </c>
      <c r="B770" s="317"/>
      <c r="C770" s="280" t="s">
        <v>117</v>
      </c>
      <c r="D770" s="280" t="s">
        <v>462</v>
      </c>
      <c r="E770" s="280" t="s">
        <v>220</v>
      </c>
      <c r="F770" s="278"/>
      <c r="G770" s="258">
        <f>SUM(G771)</f>
        <v>50</v>
      </c>
      <c r="H770" s="20"/>
      <c r="I770" s="20"/>
    </row>
    <row r="771" spans="1:9" ht="27.75" customHeight="1">
      <c r="A771" s="114" t="s">
        <v>517</v>
      </c>
      <c r="B771" s="317"/>
      <c r="C771" s="280" t="s">
        <v>117</v>
      </c>
      <c r="D771" s="280" t="s">
        <v>462</v>
      </c>
      <c r="E771" s="280" t="s">
        <v>220</v>
      </c>
      <c r="F771" s="278" t="s">
        <v>513</v>
      </c>
      <c r="G771" s="258">
        <v>50</v>
      </c>
      <c r="H771" s="20">
        <v>56722</v>
      </c>
      <c r="I771" s="20" t="e">
        <f>SUM(H771/G805*100)</f>
        <v>#DIV/0!</v>
      </c>
    </row>
    <row r="772" spans="1:9" ht="42.75" hidden="1">
      <c r="A772" s="114" t="s">
        <v>62</v>
      </c>
      <c r="B772" s="317"/>
      <c r="C772" s="280" t="s">
        <v>117</v>
      </c>
      <c r="D772" s="280" t="s">
        <v>462</v>
      </c>
      <c r="E772" s="280" t="s">
        <v>80</v>
      </c>
      <c r="F772" s="278"/>
      <c r="G772" s="258">
        <f>SUM(G773)</f>
        <v>0</v>
      </c>
      <c r="H772" s="20"/>
      <c r="I772" s="20"/>
    </row>
    <row r="773" spans="1:9" ht="15" hidden="1">
      <c r="A773" s="114" t="s">
        <v>157</v>
      </c>
      <c r="B773" s="317"/>
      <c r="C773" s="280" t="s">
        <v>117</v>
      </c>
      <c r="D773" s="280" t="s">
        <v>462</v>
      </c>
      <c r="E773" s="280" t="s">
        <v>80</v>
      </c>
      <c r="F773" s="278" t="s">
        <v>83</v>
      </c>
      <c r="G773" s="258"/>
      <c r="H773" s="20"/>
      <c r="I773" s="20"/>
    </row>
    <row r="774" spans="1:9" ht="15" hidden="1">
      <c r="A774" s="114" t="s">
        <v>128</v>
      </c>
      <c r="B774" s="281"/>
      <c r="C774" s="280" t="s">
        <v>117</v>
      </c>
      <c r="D774" s="280" t="s">
        <v>462</v>
      </c>
      <c r="E774" s="280" t="s">
        <v>129</v>
      </c>
      <c r="F774" s="277"/>
      <c r="G774" s="258">
        <f>SUM(G775)+G778</f>
        <v>0</v>
      </c>
      <c r="H774" s="20"/>
      <c r="I774" s="20"/>
    </row>
    <row r="775" spans="1:9" ht="19.5" customHeight="1" hidden="1">
      <c r="A775" s="109" t="s">
        <v>208</v>
      </c>
      <c r="B775" s="281"/>
      <c r="C775" s="280" t="s">
        <v>117</v>
      </c>
      <c r="D775" s="280" t="s">
        <v>462</v>
      </c>
      <c r="E775" s="280" t="s">
        <v>298</v>
      </c>
      <c r="F775" s="277"/>
      <c r="G775" s="258">
        <f>SUM(G776)</f>
        <v>0</v>
      </c>
      <c r="H775" s="20"/>
      <c r="I775" s="20"/>
    </row>
    <row r="776" spans="1:9" ht="15" hidden="1">
      <c r="A776" s="114" t="s">
        <v>143</v>
      </c>
      <c r="B776" s="281"/>
      <c r="C776" s="280" t="s">
        <v>117</v>
      </c>
      <c r="D776" s="280" t="s">
        <v>462</v>
      </c>
      <c r="E776" s="280" t="s">
        <v>298</v>
      </c>
      <c r="F776" s="277" t="s">
        <v>83</v>
      </c>
      <c r="G776" s="258"/>
      <c r="H776" s="20"/>
      <c r="I776" s="20"/>
    </row>
    <row r="777" spans="1:9" ht="15">
      <c r="A777" s="109" t="s">
        <v>118</v>
      </c>
      <c r="B777" s="274"/>
      <c r="C777" s="275" t="s">
        <v>117</v>
      </c>
      <c r="D777" s="275" t="s">
        <v>117</v>
      </c>
      <c r="E777" s="280"/>
      <c r="F777" s="278"/>
      <c r="G777" s="258">
        <f>SUM(G783+G778+G781+G787)</f>
        <v>307.2</v>
      </c>
      <c r="H777" s="20"/>
      <c r="I777" s="20"/>
    </row>
    <row r="778" spans="1:9" ht="15" hidden="1">
      <c r="A778" s="113" t="s">
        <v>225</v>
      </c>
      <c r="B778" s="284"/>
      <c r="C778" s="280" t="s">
        <v>117</v>
      </c>
      <c r="D778" s="280" t="s">
        <v>117</v>
      </c>
      <c r="E778" s="280" t="s">
        <v>226</v>
      </c>
      <c r="F778" s="277"/>
      <c r="G778" s="258">
        <f>SUM(G779)</f>
        <v>0</v>
      </c>
      <c r="H778" s="20"/>
      <c r="I778" s="20"/>
    </row>
    <row r="779" spans="1:9" ht="15" hidden="1">
      <c r="A779" s="113" t="s">
        <v>227</v>
      </c>
      <c r="B779" s="284"/>
      <c r="C779" s="280" t="s">
        <v>117</v>
      </c>
      <c r="D779" s="280" t="s">
        <v>117</v>
      </c>
      <c r="E779" s="280" t="s">
        <v>228</v>
      </c>
      <c r="F779" s="277"/>
      <c r="G779" s="258">
        <f>SUM(G780)</f>
        <v>0</v>
      </c>
      <c r="H779" s="20"/>
      <c r="I779" s="20"/>
    </row>
    <row r="780" spans="1:9" ht="15" hidden="1">
      <c r="A780" s="114" t="s">
        <v>246</v>
      </c>
      <c r="B780" s="284"/>
      <c r="C780" s="280" t="s">
        <v>117</v>
      </c>
      <c r="D780" s="280" t="s">
        <v>117</v>
      </c>
      <c r="E780" s="280" t="s">
        <v>228</v>
      </c>
      <c r="F780" s="277" t="s">
        <v>247</v>
      </c>
      <c r="G780" s="258"/>
      <c r="H780" s="20"/>
      <c r="I780" s="20"/>
    </row>
    <row r="781" spans="1:9" ht="15" hidden="1">
      <c r="A781" s="114" t="s">
        <v>387</v>
      </c>
      <c r="B781" s="284"/>
      <c r="C781" s="280" t="s">
        <v>117</v>
      </c>
      <c r="D781" s="280" t="s">
        <v>117</v>
      </c>
      <c r="E781" s="280" t="s">
        <v>388</v>
      </c>
      <c r="F781" s="277"/>
      <c r="G781" s="258">
        <f>SUM(G782)</f>
        <v>0</v>
      </c>
      <c r="H781" s="20"/>
      <c r="I781" s="20"/>
    </row>
    <row r="782" spans="1:9" ht="15" hidden="1">
      <c r="A782" s="114" t="s">
        <v>223</v>
      </c>
      <c r="B782" s="284"/>
      <c r="C782" s="280" t="s">
        <v>117</v>
      </c>
      <c r="D782" s="280" t="s">
        <v>117</v>
      </c>
      <c r="E782" s="280" t="s">
        <v>388</v>
      </c>
      <c r="F782" s="277" t="s">
        <v>224</v>
      </c>
      <c r="G782" s="258"/>
      <c r="H782" s="20"/>
      <c r="I782" s="20"/>
    </row>
    <row r="783" spans="1:9" ht="15">
      <c r="A783" s="110" t="s">
        <v>230</v>
      </c>
      <c r="B783" s="274"/>
      <c r="C783" s="275" t="s">
        <v>117</v>
      </c>
      <c r="D783" s="275" t="s">
        <v>117</v>
      </c>
      <c r="E783" s="275" t="s">
        <v>119</v>
      </c>
      <c r="F783" s="276"/>
      <c r="G783" s="258">
        <f>SUM(G784)</f>
        <v>198</v>
      </c>
      <c r="H783" s="20"/>
      <c r="I783" s="20"/>
    </row>
    <row r="784" spans="1:9" ht="42.75">
      <c r="A784" s="110" t="s">
        <v>92</v>
      </c>
      <c r="B784" s="274"/>
      <c r="C784" s="275" t="s">
        <v>117</v>
      </c>
      <c r="D784" s="275" t="s">
        <v>117</v>
      </c>
      <c r="E784" s="275" t="s">
        <v>93</v>
      </c>
      <c r="F784" s="276"/>
      <c r="G784" s="258">
        <f>SUM(G785)+G786</f>
        <v>198</v>
      </c>
      <c r="H784" s="20">
        <f>SUM(H785:H787)</f>
        <v>14679.5</v>
      </c>
      <c r="I784" s="20" t="e">
        <f aca="true" t="shared" si="10" ref="I784:I790">SUM(H784/G813*100)</f>
        <v>#DIV/0!</v>
      </c>
    </row>
    <row r="785" spans="1:9" ht="15">
      <c r="A785" s="114" t="s">
        <v>500</v>
      </c>
      <c r="B785" s="274"/>
      <c r="C785" s="275" t="s">
        <v>117</v>
      </c>
      <c r="D785" s="275" t="s">
        <v>117</v>
      </c>
      <c r="E785" s="275" t="s">
        <v>93</v>
      </c>
      <c r="F785" s="276" t="s">
        <v>120</v>
      </c>
      <c r="G785" s="258">
        <v>102.2</v>
      </c>
      <c r="H785" s="20">
        <v>14679.5</v>
      </c>
      <c r="I785" s="20" t="e">
        <f t="shared" si="10"/>
        <v>#DIV/0!</v>
      </c>
    </row>
    <row r="786" spans="1:9" ht="28.5">
      <c r="A786" s="114" t="s">
        <v>517</v>
      </c>
      <c r="B786" s="274"/>
      <c r="C786" s="275" t="s">
        <v>117</v>
      </c>
      <c r="D786" s="275" t="s">
        <v>117</v>
      </c>
      <c r="E786" s="275" t="s">
        <v>93</v>
      </c>
      <c r="F786" s="276" t="s">
        <v>513</v>
      </c>
      <c r="G786" s="258">
        <v>95.8</v>
      </c>
      <c r="H786" s="20"/>
      <c r="I786" s="20" t="e">
        <f t="shared" si="10"/>
        <v>#DIV/0!</v>
      </c>
    </row>
    <row r="787" spans="1:9" ht="15">
      <c r="A787" s="114" t="s">
        <v>753</v>
      </c>
      <c r="B787" s="318"/>
      <c r="C787" s="280" t="s">
        <v>117</v>
      </c>
      <c r="D787" s="280" t="s">
        <v>117</v>
      </c>
      <c r="E787" s="280" t="s">
        <v>129</v>
      </c>
      <c r="F787" s="278"/>
      <c r="G787" s="258">
        <f>SUM(G788)</f>
        <v>109.2</v>
      </c>
      <c r="H787" s="20">
        <f>SUM(H788)</f>
        <v>0</v>
      </c>
      <c r="I787" s="20" t="e">
        <f t="shared" si="10"/>
        <v>#DIV/0!</v>
      </c>
    </row>
    <row r="788" spans="1:9" ht="15">
      <c r="A788" s="153" t="s">
        <v>614</v>
      </c>
      <c r="B788" s="318"/>
      <c r="C788" s="300" t="s">
        <v>117</v>
      </c>
      <c r="D788" s="300" t="s">
        <v>117</v>
      </c>
      <c r="E788" s="300" t="s">
        <v>97</v>
      </c>
      <c r="F788" s="277"/>
      <c r="G788" s="258">
        <f>SUM(G789)</f>
        <v>109.2</v>
      </c>
      <c r="H788" s="20"/>
      <c r="I788" s="20" t="e">
        <f t="shared" si="10"/>
        <v>#DIV/0!</v>
      </c>
    </row>
    <row r="789" spans="1:9" ht="28.5">
      <c r="A789" s="114" t="s">
        <v>517</v>
      </c>
      <c r="B789" s="281"/>
      <c r="C789" s="300" t="s">
        <v>117</v>
      </c>
      <c r="D789" s="300" t="s">
        <v>117</v>
      </c>
      <c r="E789" s="300" t="s">
        <v>97</v>
      </c>
      <c r="F789" s="277" t="s">
        <v>513</v>
      </c>
      <c r="G789" s="258">
        <v>109.2</v>
      </c>
      <c r="H789" s="20">
        <f>SUM(H790)</f>
        <v>56722</v>
      </c>
      <c r="I789" s="20">
        <f t="shared" si="10"/>
        <v>735.7034462184984</v>
      </c>
    </row>
    <row r="790" spans="1:9" ht="15">
      <c r="A790" s="109" t="s">
        <v>328</v>
      </c>
      <c r="B790" s="274"/>
      <c r="C790" s="280" t="s">
        <v>124</v>
      </c>
      <c r="D790" s="280"/>
      <c r="E790" s="280"/>
      <c r="F790" s="277"/>
      <c r="G790" s="258">
        <f>SUM(G791+G844)</f>
        <v>117311.3</v>
      </c>
      <c r="H790" s="20">
        <f>SUM(H792+H835+H833)</f>
        <v>56722</v>
      </c>
      <c r="I790" s="20">
        <f t="shared" si="10"/>
        <v>735.7034462184984</v>
      </c>
    </row>
    <row r="791" spans="1:9" ht="15">
      <c r="A791" s="109" t="s">
        <v>367</v>
      </c>
      <c r="B791" s="274"/>
      <c r="C791" s="280" t="s">
        <v>124</v>
      </c>
      <c r="D791" s="280" t="s">
        <v>460</v>
      </c>
      <c r="E791" s="280"/>
      <c r="F791" s="277"/>
      <c r="G791" s="258">
        <f>SUM(G792+G818+G829)</f>
        <v>109166</v>
      </c>
      <c r="H791" s="20"/>
      <c r="I791" s="20"/>
    </row>
    <row r="792" spans="1:9" ht="28.5">
      <c r="A792" s="113" t="s">
        <v>599</v>
      </c>
      <c r="B792" s="274"/>
      <c r="C792" s="280" t="s">
        <v>124</v>
      </c>
      <c r="D792" s="280" t="s">
        <v>460</v>
      </c>
      <c r="E792" s="280" t="s">
        <v>136</v>
      </c>
      <c r="F792" s="277"/>
      <c r="G792" s="258">
        <f>SUM(G793+G799)</f>
        <v>61634.9</v>
      </c>
      <c r="H792" s="20">
        <v>56722</v>
      </c>
      <c r="I792" s="20">
        <f>SUM(H792/G821*100)</f>
        <v>743.4173449193306</v>
      </c>
    </row>
    <row r="793" spans="1:9" ht="15">
      <c r="A793" s="109" t="s">
        <v>15</v>
      </c>
      <c r="B793" s="281"/>
      <c r="C793" s="280" t="s">
        <v>124</v>
      </c>
      <c r="D793" s="280" t="s">
        <v>460</v>
      </c>
      <c r="E793" s="280" t="s">
        <v>204</v>
      </c>
      <c r="F793" s="277"/>
      <c r="G793" s="258">
        <f>SUM(G794)+G796</f>
        <v>38342.5</v>
      </c>
      <c r="H793" s="20">
        <f>SUM(H797)</f>
        <v>0</v>
      </c>
      <c r="I793" s="20" t="e">
        <f>SUM(H793/#REF!*100)</f>
        <v>#REF!</v>
      </c>
    </row>
    <row r="794" spans="1:9" ht="28.5">
      <c r="A794" s="109" t="s">
        <v>94</v>
      </c>
      <c r="B794" s="281"/>
      <c r="C794" s="280" t="s">
        <v>124</v>
      </c>
      <c r="D794" s="280" t="s">
        <v>460</v>
      </c>
      <c r="E794" s="280" t="s">
        <v>206</v>
      </c>
      <c r="F794" s="277"/>
      <c r="G794" s="258">
        <f>SUM(G795)</f>
        <v>38299.5</v>
      </c>
      <c r="H794" s="20"/>
      <c r="I794" s="20"/>
    </row>
    <row r="795" spans="1:9" ht="28.5">
      <c r="A795" s="114" t="s">
        <v>517</v>
      </c>
      <c r="B795" s="317"/>
      <c r="C795" s="280" t="s">
        <v>124</v>
      </c>
      <c r="D795" s="280" t="s">
        <v>460</v>
      </c>
      <c r="E795" s="280" t="s">
        <v>206</v>
      </c>
      <c r="F795" s="278" t="s">
        <v>513</v>
      </c>
      <c r="G795" s="258">
        <v>38299.5</v>
      </c>
      <c r="H795" s="20"/>
      <c r="I795" s="20"/>
    </row>
    <row r="796" spans="1:9" ht="15">
      <c r="A796" s="109" t="s">
        <v>157</v>
      </c>
      <c r="B796" s="317"/>
      <c r="C796" s="280" t="s">
        <v>124</v>
      </c>
      <c r="D796" s="280" t="s">
        <v>460</v>
      </c>
      <c r="E796" s="280" t="s">
        <v>415</v>
      </c>
      <c r="F796" s="278"/>
      <c r="G796" s="258">
        <f>SUM(G797)</f>
        <v>43</v>
      </c>
      <c r="H796" s="20"/>
      <c r="I796" s="20"/>
    </row>
    <row r="797" spans="1:9" ht="28.5">
      <c r="A797" s="114" t="s">
        <v>144</v>
      </c>
      <c r="B797" s="317"/>
      <c r="C797" s="280" t="s">
        <v>124</v>
      </c>
      <c r="D797" s="280" t="s">
        <v>460</v>
      </c>
      <c r="E797" s="280" t="s">
        <v>416</v>
      </c>
      <c r="F797" s="278"/>
      <c r="G797" s="258">
        <f>SUM(G798)</f>
        <v>43</v>
      </c>
      <c r="H797" s="20"/>
      <c r="I797" s="20" t="e">
        <f>SUM(H797/#REF!*100)</f>
        <v>#REF!</v>
      </c>
    </row>
    <row r="798" spans="1:9" ht="28.5">
      <c r="A798" s="114" t="s">
        <v>517</v>
      </c>
      <c r="B798" s="317"/>
      <c r="C798" s="280" t="s">
        <v>124</v>
      </c>
      <c r="D798" s="280" t="s">
        <v>460</v>
      </c>
      <c r="E798" s="280" t="s">
        <v>416</v>
      </c>
      <c r="F798" s="278" t="s">
        <v>513</v>
      </c>
      <c r="G798" s="258">
        <v>43</v>
      </c>
      <c r="H798" s="20"/>
      <c r="I798" s="20"/>
    </row>
    <row r="799" spans="1:9" ht="27" customHeight="1">
      <c r="A799" s="109" t="s">
        <v>56</v>
      </c>
      <c r="B799" s="317"/>
      <c r="C799" s="280" t="s">
        <v>124</v>
      </c>
      <c r="D799" s="280" t="s">
        <v>460</v>
      </c>
      <c r="E799" s="280" t="s">
        <v>137</v>
      </c>
      <c r="F799" s="278"/>
      <c r="G799" s="258">
        <f>SUM(G800:G802)</f>
        <v>23292.4</v>
      </c>
      <c r="H799" s="20"/>
      <c r="I799" s="20"/>
    </row>
    <row r="800" spans="1:9" ht="18.75" customHeight="1">
      <c r="A800" s="109" t="s">
        <v>495</v>
      </c>
      <c r="B800" s="274"/>
      <c r="C800" s="280" t="s">
        <v>124</v>
      </c>
      <c r="D800" s="280" t="s">
        <v>460</v>
      </c>
      <c r="E800" s="280" t="s">
        <v>137</v>
      </c>
      <c r="F800" s="276" t="s">
        <v>496</v>
      </c>
      <c r="G800" s="258">
        <v>17343.9</v>
      </c>
      <c r="H800" s="20"/>
      <c r="I800" s="20"/>
    </row>
    <row r="801" spans="1:9" ht="15">
      <c r="A801" s="109" t="s">
        <v>500</v>
      </c>
      <c r="B801" s="274"/>
      <c r="C801" s="280" t="s">
        <v>124</v>
      </c>
      <c r="D801" s="280" t="s">
        <v>460</v>
      </c>
      <c r="E801" s="280" t="s">
        <v>137</v>
      </c>
      <c r="F801" s="276" t="s">
        <v>120</v>
      </c>
      <c r="G801" s="259">
        <v>5564.4</v>
      </c>
      <c r="H801" s="20"/>
      <c r="I801" s="20"/>
    </row>
    <row r="802" spans="1:9" ht="14.25" customHeight="1">
      <c r="A802" s="109" t="s">
        <v>501</v>
      </c>
      <c r="B802" s="274"/>
      <c r="C802" s="280" t="s">
        <v>124</v>
      </c>
      <c r="D802" s="280" t="s">
        <v>460</v>
      </c>
      <c r="E802" s="280" t="s">
        <v>137</v>
      </c>
      <c r="F802" s="277" t="s">
        <v>176</v>
      </c>
      <c r="G802" s="258">
        <v>384.1</v>
      </c>
      <c r="H802" s="20">
        <f>SUM(H803+H806+H808)</f>
        <v>10268.9</v>
      </c>
      <c r="I802" s="20">
        <f>SUM(H802/G830*100)</f>
        <v>25.78752021536267</v>
      </c>
    </row>
    <row r="803" spans="1:9" ht="15" hidden="1">
      <c r="A803" s="109" t="s">
        <v>95</v>
      </c>
      <c r="B803" s="281"/>
      <c r="C803" s="280" t="s">
        <v>124</v>
      </c>
      <c r="D803" s="280" t="s">
        <v>460</v>
      </c>
      <c r="E803" s="280" t="s">
        <v>204</v>
      </c>
      <c r="F803" s="277"/>
      <c r="G803" s="258">
        <f>SUM(G804+G806)</f>
        <v>0</v>
      </c>
      <c r="H803" s="20">
        <v>8963.8</v>
      </c>
      <c r="I803" s="20">
        <f>SUM(H803/G831*100)</f>
        <v>25.46895865890041</v>
      </c>
    </row>
    <row r="804" spans="1:9" ht="28.5" hidden="1">
      <c r="A804" s="109" t="s">
        <v>205</v>
      </c>
      <c r="B804" s="281"/>
      <c r="C804" s="280" t="s">
        <v>124</v>
      </c>
      <c r="D804" s="280" t="s">
        <v>460</v>
      </c>
      <c r="E804" s="280" t="s">
        <v>206</v>
      </c>
      <c r="F804" s="277"/>
      <c r="G804" s="258">
        <f>SUM(G805)</f>
        <v>0</v>
      </c>
      <c r="H804" s="20"/>
      <c r="I804" s="20">
        <f>SUM(H804/G833*100)</f>
        <v>0</v>
      </c>
    </row>
    <row r="805" spans="1:9" ht="42.75" hidden="1">
      <c r="A805" s="114" t="s">
        <v>156</v>
      </c>
      <c r="B805" s="317"/>
      <c r="C805" s="280" t="s">
        <v>124</v>
      </c>
      <c r="D805" s="280" t="s">
        <v>460</v>
      </c>
      <c r="E805" s="280" t="s">
        <v>206</v>
      </c>
      <c r="F805" s="278" t="s">
        <v>58</v>
      </c>
      <c r="G805" s="258"/>
      <c r="H805" s="20">
        <f>SUM(H806)</f>
        <v>0</v>
      </c>
      <c r="I805" s="20" t="e">
        <f>SUM(H805/#REF!*100)</f>
        <v>#REF!</v>
      </c>
    </row>
    <row r="806" spans="1:9" ht="15" hidden="1">
      <c r="A806" s="109" t="s">
        <v>157</v>
      </c>
      <c r="B806" s="274"/>
      <c r="C806" s="280" t="s">
        <v>124</v>
      </c>
      <c r="D806" s="280" t="s">
        <v>460</v>
      </c>
      <c r="E806" s="275" t="s">
        <v>415</v>
      </c>
      <c r="F806" s="278"/>
      <c r="G806" s="258">
        <f>SUM(G809+G811)+G807</f>
        <v>0</v>
      </c>
      <c r="H806" s="20"/>
      <c r="I806" s="20" t="e">
        <f>SUM(H806/#REF!*100)</f>
        <v>#REF!</v>
      </c>
    </row>
    <row r="807" spans="1:9" ht="28.5" hidden="1">
      <c r="A807" s="109" t="s">
        <v>463</v>
      </c>
      <c r="B807" s="274"/>
      <c r="C807" s="280" t="s">
        <v>124</v>
      </c>
      <c r="D807" s="280" t="s">
        <v>460</v>
      </c>
      <c r="E807" s="275" t="s">
        <v>416</v>
      </c>
      <c r="F807" s="278"/>
      <c r="G807" s="258">
        <f>SUM(G808)</f>
        <v>0</v>
      </c>
      <c r="H807" s="20">
        <f>SUM(H808)</f>
        <v>1305.1</v>
      </c>
      <c r="I807" s="20" t="e">
        <f>SUM(H807/G834*100)</f>
        <v>#DIV/0!</v>
      </c>
    </row>
    <row r="808" spans="1:9" ht="15" hidden="1">
      <c r="A808" s="109" t="s">
        <v>157</v>
      </c>
      <c r="B808" s="274"/>
      <c r="C808" s="280" t="s">
        <v>124</v>
      </c>
      <c r="D808" s="280" t="s">
        <v>460</v>
      </c>
      <c r="E808" s="275" t="s">
        <v>416</v>
      </c>
      <c r="F808" s="278" t="s">
        <v>83</v>
      </c>
      <c r="G808" s="258"/>
      <c r="H808" s="20">
        <v>1305.1</v>
      </c>
      <c r="I808" s="20" t="e">
        <f>SUM(H808/G835*100)</f>
        <v>#DIV/0!</v>
      </c>
    </row>
    <row r="809" spans="1:9" ht="28.5" hidden="1">
      <c r="A809" s="114" t="s">
        <v>414</v>
      </c>
      <c r="B809" s="317"/>
      <c r="C809" s="280" t="s">
        <v>124</v>
      </c>
      <c r="D809" s="280" t="s">
        <v>460</v>
      </c>
      <c r="E809" s="280" t="s">
        <v>413</v>
      </c>
      <c r="F809" s="278"/>
      <c r="G809" s="258">
        <f>SUM(G810)</f>
        <v>0</v>
      </c>
      <c r="H809" s="20" t="e">
        <f>SUM(#REF!+H811)</f>
        <v>#REF!</v>
      </c>
      <c r="I809" s="20" t="e">
        <f>SUM(H809/G836*100)</f>
        <v>#REF!</v>
      </c>
    </row>
    <row r="810" spans="1:9" ht="15" hidden="1">
      <c r="A810" s="114" t="s">
        <v>143</v>
      </c>
      <c r="B810" s="317"/>
      <c r="C810" s="280" t="s">
        <v>124</v>
      </c>
      <c r="D810" s="280" t="s">
        <v>460</v>
      </c>
      <c r="E810" s="280" t="s">
        <v>413</v>
      </c>
      <c r="F810" s="278" t="s">
        <v>83</v>
      </c>
      <c r="G810" s="258"/>
      <c r="H810" s="20"/>
      <c r="I810" s="20"/>
    </row>
    <row r="811" spans="1:9" ht="15" hidden="1">
      <c r="A811" s="114" t="s">
        <v>154</v>
      </c>
      <c r="B811" s="317"/>
      <c r="C811" s="280" t="s">
        <v>124</v>
      </c>
      <c r="D811" s="280" t="s">
        <v>460</v>
      </c>
      <c r="E811" s="280" t="s">
        <v>216</v>
      </c>
      <c r="F811" s="278"/>
      <c r="G811" s="258">
        <f>SUM(G812)</f>
        <v>0</v>
      </c>
      <c r="H811" s="20"/>
      <c r="I811" s="20" t="e">
        <f>SUM(H811/G837*100)</f>
        <v>#DIV/0!</v>
      </c>
    </row>
    <row r="812" spans="1:9" ht="15" hidden="1">
      <c r="A812" s="114" t="s">
        <v>143</v>
      </c>
      <c r="B812" s="317"/>
      <c r="C812" s="280" t="s">
        <v>124</v>
      </c>
      <c r="D812" s="280" t="s">
        <v>460</v>
      </c>
      <c r="E812" s="280" t="s">
        <v>216</v>
      </c>
      <c r="F812" s="278" t="s">
        <v>83</v>
      </c>
      <c r="G812" s="258"/>
      <c r="H812" s="20">
        <f>SUM(H813)</f>
        <v>7333.8</v>
      </c>
      <c r="I812" s="20" t="e">
        <f>SUM(H812/G840*100)</f>
        <v>#DIV/0!</v>
      </c>
    </row>
    <row r="813" spans="1:9" ht="28.5" hidden="1">
      <c r="A813" s="109" t="s">
        <v>56</v>
      </c>
      <c r="B813" s="284"/>
      <c r="C813" s="280" t="s">
        <v>124</v>
      </c>
      <c r="D813" s="280" t="s">
        <v>460</v>
      </c>
      <c r="E813" s="280" t="s">
        <v>137</v>
      </c>
      <c r="F813" s="277"/>
      <c r="G813" s="258">
        <f>SUM(G814:G816)</f>
        <v>0</v>
      </c>
      <c r="H813" s="20">
        <f>SUM(H815:H819)</f>
        <v>7333.8</v>
      </c>
      <c r="I813" s="20" t="e">
        <f>SUM(H813/G841*100)</f>
        <v>#DIV/0!</v>
      </c>
    </row>
    <row r="814" spans="1:9" ht="15" hidden="1">
      <c r="A814" s="114" t="s">
        <v>57</v>
      </c>
      <c r="B814" s="284"/>
      <c r="C814" s="280" t="s">
        <v>124</v>
      </c>
      <c r="D814" s="280" t="s">
        <v>460</v>
      </c>
      <c r="E814" s="280" t="s">
        <v>137</v>
      </c>
      <c r="F814" s="277" t="s">
        <v>247</v>
      </c>
      <c r="G814" s="258"/>
      <c r="H814" s="20"/>
      <c r="I814" s="20"/>
    </row>
    <row r="815" spans="1:9" ht="5.25" customHeight="1" hidden="1">
      <c r="A815" s="114" t="s">
        <v>370</v>
      </c>
      <c r="B815" s="317"/>
      <c r="C815" s="280" t="s">
        <v>124</v>
      </c>
      <c r="D815" s="280" t="s">
        <v>460</v>
      </c>
      <c r="E815" s="280" t="s">
        <v>137</v>
      </c>
      <c r="F815" s="278" t="s">
        <v>371</v>
      </c>
      <c r="G815" s="258"/>
      <c r="H815" s="20"/>
      <c r="I815" s="20" t="e">
        <f aca="true" t="shared" si="11" ref="I815:I822">SUM(H815/G843*100)</f>
        <v>#DIV/0!</v>
      </c>
    </row>
    <row r="816" spans="1:9" ht="42.75" hidden="1">
      <c r="A816" s="109" t="s">
        <v>258</v>
      </c>
      <c r="B816" s="274"/>
      <c r="C816" s="280" t="s">
        <v>124</v>
      </c>
      <c r="D816" s="280" t="s">
        <v>460</v>
      </c>
      <c r="E816" s="280" t="s">
        <v>372</v>
      </c>
      <c r="F816" s="278"/>
      <c r="G816" s="258">
        <f>SUM(G817)</f>
        <v>0</v>
      </c>
      <c r="H816" s="20">
        <f>SUM(H820+H823+H818)</f>
        <v>4633.8</v>
      </c>
      <c r="I816" s="20">
        <f t="shared" si="11"/>
        <v>56.88924901476926</v>
      </c>
    </row>
    <row r="817" spans="1:9" ht="15" hidden="1">
      <c r="A817" s="114" t="s">
        <v>246</v>
      </c>
      <c r="B817" s="317"/>
      <c r="C817" s="280" t="s">
        <v>124</v>
      </c>
      <c r="D817" s="280" t="s">
        <v>460</v>
      </c>
      <c r="E817" s="280" t="s">
        <v>372</v>
      </c>
      <c r="F817" s="278" t="s">
        <v>247</v>
      </c>
      <c r="G817" s="258"/>
      <c r="H817" s="20">
        <f>SUM(H818)</f>
        <v>900</v>
      </c>
      <c r="I817" s="20" t="e">
        <f t="shared" si="11"/>
        <v>#DIV/0!</v>
      </c>
    </row>
    <row r="818" spans="1:9" ht="15">
      <c r="A818" s="109" t="s">
        <v>373</v>
      </c>
      <c r="B818" s="274"/>
      <c r="C818" s="280" t="s">
        <v>124</v>
      </c>
      <c r="D818" s="280" t="s">
        <v>460</v>
      </c>
      <c r="E818" s="280" t="s">
        <v>374</v>
      </c>
      <c r="F818" s="277"/>
      <c r="G818" s="258">
        <f>SUM(G819)</f>
        <v>7709.9</v>
      </c>
      <c r="H818" s="20">
        <f>SUM(H819)</f>
        <v>900</v>
      </c>
      <c r="I818" s="20" t="e">
        <f t="shared" si="11"/>
        <v>#DIV/0!</v>
      </c>
    </row>
    <row r="819" spans="1:9" ht="15">
      <c r="A819" s="109" t="s">
        <v>95</v>
      </c>
      <c r="B819" s="281"/>
      <c r="C819" s="280" t="s">
        <v>124</v>
      </c>
      <c r="D819" s="280" t="s">
        <v>460</v>
      </c>
      <c r="E819" s="280" t="s">
        <v>81</v>
      </c>
      <c r="F819" s="277"/>
      <c r="G819" s="258">
        <f>SUM(G820)+G822</f>
        <v>7709.9</v>
      </c>
      <c r="H819" s="20">
        <v>900</v>
      </c>
      <c r="I819" s="20" t="e">
        <f t="shared" si="11"/>
        <v>#DIV/0!</v>
      </c>
    </row>
    <row r="820" spans="1:9" ht="16.5" customHeight="1">
      <c r="A820" s="109" t="s">
        <v>205</v>
      </c>
      <c r="B820" s="281"/>
      <c r="C820" s="280" t="s">
        <v>124</v>
      </c>
      <c r="D820" s="280" t="s">
        <v>460</v>
      </c>
      <c r="E820" s="280" t="s">
        <v>82</v>
      </c>
      <c r="F820" s="277"/>
      <c r="G820" s="258">
        <f>SUM(G821)</f>
        <v>7629.9</v>
      </c>
      <c r="H820" s="20">
        <f>SUM(H821)</f>
        <v>3733.8</v>
      </c>
      <c r="I820" s="20">
        <f t="shared" si="11"/>
        <v>53.760096756079655</v>
      </c>
    </row>
    <row r="821" spans="1:9" ht="28.5">
      <c r="A821" s="114" t="s">
        <v>517</v>
      </c>
      <c r="B821" s="317"/>
      <c r="C821" s="280" t="s">
        <v>124</v>
      </c>
      <c r="D821" s="280" t="s">
        <v>460</v>
      </c>
      <c r="E821" s="280" t="s">
        <v>82</v>
      </c>
      <c r="F821" s="278" t="s">
        <v>513</v>
      </c>
      <c r="G821" s="258">
        <v>7629.9</v>
      </c>
      <c r="H821" s="20">
        <f>SUM(H822)</f>
        <v>3733.8</v>
      </c>
      <c r="I821" s="20">
        <f t="shared" si="11"/>
        <v>53.760096756079655</v>
      </c>
    </row>
    <row r="822" spans="1:9" ht="14.25" customHeight="1">
      <c r="A822" s="109" t="s">
        <v>157</v>
      </c>
      <c r="B822" s="317"/>
      <c r="C822" s="280" t="s">
        <v>124</v>
      </c>
      <c r="D822" s="280" t="s">
        <v>460</v>
      </c>
      <c r="E822" s="280" t="s">
        <v>217</v>
      </c>
      <c r="F822" s="278"/>
      <c r="G822" s="258">
        <f>SUM(G827)</f>
        <v>80</v>
      </c>
      <c r="H822" s="20">
        <v>3733.8</v>
      </c>
      <c r="I822" s="20">
        <f t="shared" si="11"/>
        <v>58.9141171087303</v>
      </c>
    </row>
    <row r="823" spans="1:9" ht="28.5" hidden="1">
      <c r="A823" s="109" t="s">
        <v>463</v>
      </c>
      <c r="B823" s="317"/>
      <c r="C823" s="280" t="s">
        <v>124</v>
      </c>
      <c r="D823" s="280" t="s">
        <v>460</v>
      </c>
      <c r="E823" s="280" t="s">
        <v>465</v>
      </c>
      <c r="F823" s="278"/>
      <c r="G823" s="258">
        <f>SUM(G824)</f>
        <v>0</v>
      </c>
      <c r="H823" s="20">
        <f>SUM(H828)</f>
        <v>0</v>
      </c>
      <c r="I823" s="20">
        <f>SUM(H823/G853*100)</f>
        <v>0</v>
      </c>
    </row>
    <row r="824" spans="1:9" ht="15" hidden="1">
      <c r="A824" s="109" t="s">
        <v>157</v>
      </c>
      <c r="B824" s="317"/>
      <c r="C824" s="280" t="s">
        <v>124</v>
      </c>
      <c r="D824" s="280" t="s">
        <v>460</v>
      </c>
      <c r="E824" s="280" t="s">
        <v>465</v>
      </c>
      <c r="F824" s="278" t="s">
        <v>513</v>
      </c>
      <c r="G824" s="258"/>
      <c r="H824" s="20"/>
      <c r="I824" s="20"/>
    </row>
    <row r="825" spans="1:9" ht="21" customHeight="1" hidden="1">
      <c r="A825" s="114" t="s">
        <v>414</v>
      </c>
      <c r="B825" s="317"/>
      <c r="C825" s="280" t="s">
        <v>124</v>
      </c>
      <c r="D825" s="280" t="s">
        <v>460</v>
      </c>
      <c r="E825" s="280" t="s">
        <v>153</v>
      </c>
      <c r="F825" s="278"/>
      <c r="G825" s="258">
        <f>SUM(G826)</f>
        <v>0</v>
      </c>
      <c r="H825" s="20"/>
      <c r="I825" s="20"/>
    </row>
    <row r="826" spans="1:9" ht="33.75" customHeight="1" hidden="1">
      <c r="A826" s="114" t="s">
        <v>143</v>
      </c>
      <c r="B826" s="317"/>
      <c r="C826" s="280" t="s">
        <v>124</v>
      </c>
      <c r="D826" s="280" t="s">
        <v>460</v>
      </c>
      <c r="E826" s="280" t="s">
        <v>153</v>
      </c>
      <c r="F826" s="278" t="s">
        <v>513</v>
      </c>
      <c r="G826" s="258"/>
      <c r="H826" s="20"/>
      <c r="I826" s="20"/>
    </row>
    <row r="827" spans="1:9" ht="15">
      <c r="A827" s="174" t="s">
        <v>154</v>
      </c>
      <c r="B827" s="317"/>
      <c r="C827" s="280" t="s">
        <v>124</v>
      </c>
      <c r="D827" s="280" t="s">
        <v>460</v>
      </c>
      <c r="E827" s="280" t="s">
        <v>640</v>
      </c>
      <c r="F827" s="278"/>
      <c r="G827" s="258">
        <f>SUM(G828)</f>
        <v>80</v>
      </c>
      <c r="H827" s="20"/>
      <c r="I827" s="20"/>
    </row>
    <row r="828" spans="1:9" ht="28.5">
      <c r="A828" s="114" t="s">
        <v>517</v>
      </c>
      <c r="B828" s="317"/>
      <c r="C828" s="280" t="s">
        <v>124</v>
      </c>
      <c r="D828" s="280" t="s">
        <v>460</v>
      </c>
      <c r="E828" s="280" t="s">
        <v>640</v>
      </c>
      <c r="F828" s="278" t="s">
        <v>513</v>
      </c>
      <c r="G828" s="258">
        <v>80</v>
      </c>
      <c r="H828" s="20">
        <f>SUM(H829:H835)</f>
        <v>0</v>
      </c>
      <c r="I828" s="20" t="e">
        <f>SUM(H828/G856*100)</f>
        <v>#DIV/0!</v>
      </c>
    </row>
    <row r="829" spans="1:9" ht="15">
      <c r="A829" s="109" t="s">
        <v>375</v>
      </c>
      <c r="B829" s="274"/>
      <c r="C829" s="280" t="s">
        <v>124</v>
      </c>
      <c r="D829" s="280" t="s">
        <v>460</v>
      </c>
      <c r="E829" s="280" t="s">
        <v>376</v>
      </c>
      <c r="F829" s="277"/>
      <c r="G829" s="258">
        <f>SUM(G830)</f>
        <v>39821.200000000004</v>
      </c>
      <c r="H829" s="20"/>
      <c r="I829" s="20" t="e">
        <f>SUM(H829/G857*100)</f>
        <v>#DIV/0!</v>
      </c>
    </row>
    <row r="830" spans="1:9" ht="28.5">
      <c r="A830" s="109" t="s">
        <v>56</v>
      </c>
      <c r="B830" s="281"/>
      <c r="C830" s="280" t="s">
        <v>124</v>
      </c>
      <c r="D830" s="280" t="s">
        <v>460</v>
      </c>
      <c r="E830" s="280" t="s">
        <v>377</v>
      </c>
      <c r="F830" s="277"/>
      <c r="G830" s="258">
        <f>SUM(G831:G833)</f>
        <v>39821.200000000004</v>
      </c>
      <c r="H830" s="20"/>
      <c r="I830" s="20" t="e">
        <f>SUM(H830/G858*100)</f>
        <v>#DIV/0!</v>
      </c>
    </row>
    <row r="831" spans="1:9" ht="28.5">
      <c r="A831" s="109" t="s">
        <v>495</v>
      </c>
      <c r="B831" s="274"/>
      <c r="C831" s="280" t="s">
        <v>124</v>
      </c>
      <c r="D831" s="280" t="s">
        <v>460</v>
      </c>
      <c r="E831" s="280" t="s">
        <v>377</v>
      </c>
      <c r="F831" s="276" t="s">
        <v>496</v>
      </c>
      <c r="G831" s="258">
        <v>35195</v>
      </c>
      <c r="H831" s="20"/>
      <c r="I831" s="20"/>
    </row>
    <row r="832" spans="1:9" ht="15">
      <c r="A832" s="109" t="s">
        <v>500</v>
      </c>
      <c r="B832" s="274"/>
      <c r="C832" s="280" t="s">
        <v>124</v>
      </c>
      <c r="D832" s="280" t="s">
        <v>460</v>
      </c>
      <c r="E832" s="280" t="s">
        <v>377</v>
      </c>
      <c r="F832" s="276" t="s">
        <v>120</v>
      </c>
      <c r="G832" s="259">
        <v>4062.8</v>
      </c>
      <c r="H832" s="20"/>
      <c r="I832" s="20"/>
    </row>
    <row r="833" spans="1:9" ht="14.25" customHeight="1">
      <c r="A833" s="109" t="s">
        <v>501</v>
      </c>
      <c r="B833" s="274"/>
      <c r="C833" s="280" t="s">
        <v>124</v>
      </c>
      <c r="D833" s="280" t="s">
        <v>460</v>
      </c>
      <c r="E833" s="280" t="s">
        <v>377</v>
      </c>
      <c r="F833" s="277" t="s">
        <v>176</v>
      </c>
      <c r="G833" s="258">
        <v>563.4</v>
      </c>
      <c r="H833" s="20"/>
      <c r="I833" s="20"/>
    </row>
    <row r="834" spans="1:9" ht="42.75" hidden="1">
      <c r="A834" s="114" t="s">
        <v>62</v>
      </c>
      <c r="B834" s="317"/>
      <c r="C834" s="280" t="s">
        <v>124</v>
      </c>
      <c r="D834" s="280" t="s">
        <v>460</v>
      </c>
      <c r="E834" s="280" t="s">
        <v>378</v>
      </c>
      <c r="F834" s="278"/>
      <c r="G834" s="258">
        <f>SUM(G835)</f>
        <v>0</v>
      </c>
      <c r="H834" s="20"/>
      <c r="I834" s="20" t="e">
        <f>SUM(H834/G862*100)</f>
        <v>#DIV/0!</v>
      </c>
    </row>
    <row r="835" spans="1:9" ht="15" hidden="1">
      <c r="A835" s="114" t="s">
        <v>57</v>
      </c>
      <c r="B835" s="317"/>
      <c r="C835" s="280" t="s">
        <v>124</v>
      </c>
      <c r="D835" s="280" t="s">
        <v>460</v>
      </c>
      <c r="E835" s="280" t="s">
        <v>378</v>
      </c>
      <c r="F835" s="278" t="s">
        <v>247</v>
      </c>
      <c r="G835" s="258"/>
      <c r="H835" s="20"/>
      <c r="I835" s="20" t="e">
        <f>SUM(H835/G863*100)</f>
        <v>#DIV/0!</v>
      </c>
    </row>
    <row r="836" spans="1:9" ht="15.75" hidden="1">
      <c r="A836" s="114" t="s">
        <v>379</v>
      </c>
      <c r="B836" s="317"/>
      <c r="C836" s="280" t="s">
        <v>124</v>
      </c>
      <c r="D836" s="280" t="s">
        <v>460</v>
      </c>
      <c r="E836" s="280" t="s">
        <v>380</v>
      </c>
      <c r="F836" s="278"/>
      <c r="G836" s="258">
        <f>SUM(G839+G837)</f>
        <v>0</v>
      </c>
      <c r="H836" s="78" t="e">
        <f>SUM(H837+H847)</f>
        <v>#REF!</v>
      </c>
      <c r="I836" s="78" t="e">
        <f>SUM(H836/G864*100)</f>
        <v>#REF!</v>
      </c>
    </row>
    <row r="837" spans="1:9" ht="15" hidden="1">
      <c r="A837" s="114" t="s">
        <v>246</v>
      </c>
      <c r="B837" s="317"/>
      <c r="C837" s="280" t="s">
        <v>124</v>
      </c>
      <c r="D837" s="280" t="s">
        <v>460</v>
      </c>
      <c r="E837" s="280" t="s">
        <v>380</v>
      </c>
      <c r="F837" s="278" t="s">
        <v>247</v>
      </c>
      <c r="G837" s="258"/>
      <c r="H837" s="20">
        <f>SUM(H838)+H844</f>
        <v>0</v>
      </c>
      <c r="I837" s="20" t="e">
        <f>SUM(H837/#REF!*100)</f>
        <v>#REF!</v>
      </c>
    </row>
    <row r="838" spans="1:9" ht="28.5" hidden="1">
      <c r="A838" s="114" t="s">
        <v>381</v>
      </c>
      <c r="B838" s="317"/>
      <c r="C838" s="280" t="s">
        <v>124</v>
      </c>
      <c r="D838" s="280" t="s">
        <v>460</v>
      </c>
      <c r="E838" s="280" t="s">
        <v>382</v>
      </c>
      <c r="F838" s="278"/>
      <c r="G838" s="258">
        <f>SUM(G839)</f>
        <v>0</v>
      </c>
      <c r="H838" s="20">
        <f>SUM(H839)</f>
        <v>0</v>
      </c>
      <c r="I838" s="20" t="e">
        <f>SUM(H838/#REF!*100)</f>
        <v>#REF!</v>
      </c>
    </row>
    <row r="839" spans="1:9" ht="15" hidden="1">
      <c r="A839" s="114" t="s">
        <v>246</v>
      </c>
      <c r="B839" s="317"/>
      <c r="C839" s="280" t="s">
        <v>124</v>
      </c>
      <c r="D839" s="280" t="s">
        <v>460</v>
      </c>
      <c r="E839" s="280" t="s">
        <v>382</v>
      </c>
      <c r="F839" s="278" t="s">
        <v>247</v>
      </c>
      <c r="G839" s="258"/>
      <c r="H839" s="20">
        <f>SUM(H842)</f>
        <v>0</v>
      </c>
      <c r="I839" s="20" t="e">
        <f>SUM(H839/#REF!*100)</f>
        <v>#REF!</v>
      </c>
    </row>
    <row r="840" spans="1:9" ht="15" hidden="1">
      <c r="A840" s="114" t="s">
        <v>128</v>
      </c>
      <c r="B840" s="281"/>
      <c r="C840" s="280" t="s">
        <v>124</v>
      </c>
      <c r="D840" s="280" t="s">
        <v>460</v>
      </c>
      <c r="E840" s="280" t="s">
        <v>129</v>
      </c>
      <c r="F840" s="277"/>
      <c r="G840" s="258">
        <f>SUM(G841)</f>
        <v>0</v>
      </c>
      <c r="H840" s="20"/>
      <c r="I840" s="20"/>
    </row>
    <row r="841" spans="1:9" ht="42.75" hidden="1">
      <c r="A841" s="109" t="s">
        <v>208</v>
      </c>
      <c r="B841" s="281"/>
      <c r="C841" s="280" t="s">
        <v>124</v>
      </c>
      <c r="D841" s="280" t="s">
        <v>460</v>
      </c>
      <c r="E841" s="280" t="s">
        <v>298</v>
      </c>
      <c r="F841" s="277"/>
      <c r="G841" s="258">
        <f>SUM(G842:G843)</f>
        <v>0</v>
      </c>
      <c r="H841" s="20"/>
      <c r="I841" s="20"/>
    </row>
    <row r="842" spans="1:9" ht="15" hidden="1">
      <c r="A842" s="114" t="s">
        <v>57</v>
      </c>
      <c r="B842" s="281"/>
      <c r="C842" s="280" t="s">
        <v>124</v>
      </c>
      <c r="D842" s="280" t="s">
        <v>460</v>
      </c>
      <c r="E842" s="280" t="s">
        <v>298</v>
      </c>
      <c r="F842" s="277" t="s">
        <v>247</v>
      </c>
      <c r="G842" s="258"/>
      <c r="H842" s="20">
        <f>SUM(H843)</f>
        <v>0</v>
      </c>
      <c r="I842" s="20" t="e">
        <f>SUM(H842/#REF!*100)</f>
        <v>#REF!</v>
      </c>
    </row>
    <row r="843" spans="1:9" ht="15" hidden="1">
      <c r="A843" s="114" t="s">
        <v>143</v>
      </c>
      <c r="B843" s="281"/>
      <c r="C843" s="280" t="s">
        <v>124</v>
      </c>
      <c r="D843" s="280" t="s">
        <v>460</v>
      </c>
      <c r="E843" s="280" t="s">
        <v>298</v>
      </c>
      <c r="F843" s="277" t="s">
        <v>83</v>
      </c>
      <c r="G843" s="258"/>
      <c r="H843" s="20"/>
      <c r="I843" s="20" t="e">
        <f>SUM(H843/#REF!*100)</f>
        <v>#REF!</v>
      </c>
    </row>
    <row r="844" spans="1:9" ht="14.25" customHeight="1">
      <c r="A844" s="110" t="s">
        <v>235</v>
      </c>
      <c r="B844" s="281"/>
      <c r="C844" s="280" t="s">
        <v>124</v>
      </c>
      <c r="D844" s="280" t="s">
        <v>122</v>
      </c>
      <c r="E844" s="280"/>
      <c r="F844" s="277"/>
      <c r="G844" s="258">
        <f>SUM(G848+G853+G846)</f>
        <v>8145.299999999999</v>
      </c>
      <c r="H844" s="20">
        <f>SUM(H845)</f>
        <v>0</v>
      </c>
      <c r="I844" s="20" t="e">
        <f>SUM(H844/#REF!*100)</f>
        <v>#REF!</v>
      </c>
    </row>
    <row r="845" spans="1:9" ht="15" hidden="1">
      <c r="A845" s="109" t="s">
        <v>407</v>
      </c>
      <c r="B845" s="281"/>
      <c r="C845" s="280" t="s">
        <v>124</v>
      </c>
      <c r="D845" s="280" t="s">
        <v>122</v>
      </c>
      <c r="E845" s="280" t="s">
        <v>409</v>
      </c>
      <c r="F845" s="277"/>
      <c r="G845" s="258">
        <f>SUM(G846)</f>
        <v>0</v>
      </c>
      <c r="H845" s="20">
        <f>SUM(H846)</f>
        <v>0</v>
      </c>
      <c r="I845" s="20" t="e">
        <f>SUM(H845/#REF!*100)</f>
        <v>#REF!</v>
      </c>
    </row>
    <row r="846" spans="1:9" ht="15" hidden="1">
      <c r="A846" s="109" t="s">
        <v>387</v>
      </c>
      <c r="B846" s="281"/>
      <c r="C846" s="280" t="s">
        <v>124</v>
      </c>
      <c r="D846" s="280" t="s">
        <v>122</v>
      </c>
      <c r="E846" s="280" t="s">
        <v>388</v>
      </c>
      <c r="F846" s="277"/>
      <c r="G846" s="258">
        <f>SUM(G847)</f>
        <v>0</v>
      </c>
      <c r="H846" s="20"/>
      <c r="I846" s="20" t="e">
        <f>SUM(H846/#REF!*100)</f>
        <v>#REF!</v>
      </c>
    </row>
    <row r="847" spans="1:11" ht="28.5" hidden="1">
      <c r="A847" s="109" t="s">
        <v>308</v>
      </c>
      <c r="B847" s="281"/>
      <c r="C847" s="280" t="s">
        <v>124</v>
      </c>
      <c r="D847" s="280" t="s">
        <v>122</v>
      </c>
      <c r="E847" s="280" t="s">
        <v>388</v>
      </c>
      <c r="F847" s="277" t="s">
        <v>309</v>
      </c>
      <c r="G847" s="258"/>
      <c r="H847" s="20" t="e">
        <f>SUM(H848+H862+#REF!+#REF!+H887)</f>
        <v>#REF!</v>
      </c>
      <c r="I847" s="20" t="e">
        <f>SUM(H847/G870*100)</f>
        <v>#REF!</v>
      </c>
      <c r="K847" s="105"/>
    </row>
    <row r="848" spans="1:9" ht="42.75">
      <c r="A848" s="110" t="s">
        <v>291</v>
      </c>
      <c r="B848" s="281"/>
      <c r="C848" s="280" t="s">
        <v>124</v>
      </c>
      <c r="D848" s="280" t="s">
        <v>122</v>
      </c>
      <c r="E848" s="280" t="s">
        <v>292</v>
      </c>
      <c r="F848" s="277"/>
      <c r="G848" s="258">
        <f>SUM(G849)</f>
        <v>6945.299999999999</v>
      </c>
      <c r="H848" s="20">
        <f>SUM(H849+H852)</f>
        <v>46235.5</v>
      </c>
      <c r="I848" s="20">
        <f>SUM(H848/G871*100)</f>
        <v>567.4599278332801</v>
      </c>
    </row>
    <row r="849" spans="1:9" ht="28.5">
      <c r="A849" s="109" t="s">
        <v>56</v>
      </c>
      <c r="B849" s="281"/>
      <c r="C849" s="280" t="s">
        <v>124</v>
      </c>
      <c r="D849" s="280" t="s">
        <v>122</v>
      </c>
      <c r="E849" s="280" t="s">
        <v>293</v>
      </c>
      <c r="F849" s="277"/>
      <c r="G849" s="258">
        <f>SUM(G850:G852)</f>
        <v>6945.299999999999</v>
      </c>
      <c r="H849" s="20">
        <f>SUM(H850)</f>
        <v>146.8</v>
      </c>
      <c r="I849" s="20" t="e">
        <f>SUM(H849/#REF!*100)</f>
        <v>#REF!</v>
      </c>
    </row>
    <row r="850" spans="1:9" ht="28.5">
      <c r="A850" s="109" t="s">
        <v>495</v>
      </c>
      <c r="B850" s="317"/>
      <c r="C850" s="280" t="s">
        <v>124</v>
      </c>
      <c r="D850" s="280" t="s">
        <v>122</v>
      </c>
      <c r="E850" s="280" t="s">
        <v>293</v>
      </c>
      <c r="F850" s="278" t="s">
        <v>496</v>
      </c>
      <c r="G850" s="258">
        <v>6337.7</v>
      </c>
      <c r="H850" s="20">
        <f>SUM(H851)</f>
        <v>146.8</v>
      </c>
      <c r="I850" s="20" t="e">
        <f>SUM(H850/#REF!*100)</f>
        <v>#REF!</v>
      </c>
    </row>
    <row r="851" spans="1:9" ht="15">
      <c r="A851" s="109" t="s">
        <v>500</v>
      </c>
      <c r="B851" s="317"/>
      <c r="C851" s="280" t="s">
        <v>124</v>
      </c>
      <c r="D851" s="280" t="s">
        <v>122</v>
      </c>
      <c r="E851" s="280" t="s">
        <v>293</v>
      </c>
      <c r="F851" s="278" t="s">
        <v>120</v>
      </c>
      <c r="G851" s="258">
        <v>602.2</v>
      </c>
      <c r="H851" s="20">
        <v>146.8</v>
      </c>
      <c r="I851" s="20" t="e">
        <f>SUM(H851/#REF!*100)</f>
        <v>#REF!</v>
      </c>
    </row>
    <row r="852" spans="1:9" ht="15">
      <c r="A852" s="109" t="s">
        <v>501</v>
      </c>
      <c r="B852" s="317"/>
      <c r="C852" s="280" t="s">
        <v>124</v>
      </c>
      <c r="D852" s="280" t="s">
        <v>122</v>
      </c>
      <c r="E852" s="280" t="s">
        <v>293</v>
      </c>
      <c r="F852" s="278" t="s">
        <v>176</v>
      </c>
      <c r="G852" s="258">
        <v>5.4</v>
      </c>
      <c r="H852" s="20">
        <f>SUM(H853)</f>
        <v>46088.7</v>
      </c>
      <c r="I852" s="20" t="e">
        <f>SUM(H852/#REF!*100)</f>
        <v>#REF!</v>
      </c>
    </row>
    <row r="853" spans="1:9" ht="15">
      <c r="A853" s="114" t="s">
        <v>753</v>
      </c>
      <c r="B853" s="281"/>
      <c r="C853" s="280" t="s">
        <v>124</v>
      </c>
      <c r="D853" s="280" t="s">
        <v>122</v>
      </c>
      <c r="E853" s="280" t="s">
        <v>129</v>
      </c>
      <c r="F853" s="277"/>
      <c r="G853" s="258">
        <f>SUM(G856)+G859+G854</f>
        <v>1200</v>
      </c>
      <c r="H853" s="20">
        <f>SUM(H857:H860)</f>
        <v>46088.7</v>
      </c>
      <c r="I853" s="20">
        <f>SUM(H853/G875*100)</f>
        <v>638.5599091110618</v>
      </c>
    </row>
    <row r="854" spans="1:9" ht="42.75" hidden="1">
      <c r="A854" s="109" t="s">
        <v>208</v>
      </c>
      <c r="B854" s="281"/>
      <c r="C854" s="280" t="s">
        <v>124</v>
      </c>
      <c r="D854" s="280" t="s">
        <v>122</v>
      </c>
      <c r="E854" s="280" t="s">
        <v>298</v>
      </c>
      <c r="F854" s="277"/>
      <c r="G854" s="258">
        <f>SUM(G855)</f>
        <v>0</v>
      </c>
      <c r="H854" s="20"/>
      <c r="I854" s="20"/>
    </row>
    <row r="855" spans="1:9" ht="15" hidden="1">
      <c r="A855" s="114" t="s">
        <v>57</v>
      </c>
      <c r="B855" s="281"/>
      <c r="C855" s="280" t="s">
        <v>124</v>
      </c>
      <c r="D855" s="280" t="s">
        <v>122</v>
      </c>
      <c r="E855" s="280" t="s">
        <v>298</v>
      </c>
      <c r="F855" s="277" t="s">
        <v>247</v>
      </c>
      <c r="G855" s="258"/>
      <c r="H855" s="20">
        <f>SUM(H856)</f>
        <v>0</v>
      </c>
      <c r="I855" s="20">
        <f>SUM(H855/G874*100)</f>
        <v>0</v>
      </c>
    </row>
    <row r="856" spans="1:9" ht="28.5" hidden="1">
      <c r="A856" s="109" t="s">
        <v>483</v>
      </c>
      <c r="B856" s="281"/>
      <c r="C856" s="280" t="s">
        <v>124</v>
      </c>
      <c r="D856" s="280" t="s">
        <v>122</v>
      </c>
      <c r="E856" s="280" t="s">
        <v>310</v>
      </c>
      <c r="F856" s="277"/>
      <c r="G856" s="258">
        <f>SUM(G857:G858)</f>
        <v>0</v>
      </c>
      <c r="H856" s="20"/>
      <c r="I856" s="20"/>
    </row>
    <row r="857" spans="1:9" ht="42.75" hidden="1">
      <c r="A857" s="114" t="s">
        <v>96</v>
      </c>
      <c r="B857" s="281"/>
      <c r="C857" s="280" t="s">
        <v>124</v>
      </c>
      <c r="D857" s="280" t="s">
        <v>122</v>
      </c>
      <c r="E857" s="280" t="s">
        <v>310</v>
      </c>
      <c r="F857" s="277" t="s">
        <v>309</v>
      </c>
      <c r="G857" s="258"/>
      <c r="H857" s="20">
        <v>46088.7</v>
      </c>
      <c r="I857" s="20">
        <f>SUM(H857/G882*100)</f>
        <v>638.5599091110618</v>
      </c>
    </row>
    <row r="858" spans="1:9" ht="15" hidden="1">
      <c r="A858" s="109" t="s">
        <v>157</v>
      </c>
      <c r="B858" s="281"/>
      <c r="C858" s="280" t="s">
        <v>124</v>
      </c>
      <c r="D858" s="280" t="s">
        <v>122</v>
      </c>
      <c r="E858" s="280" t="s">
        <v>310</v>
      </c>
      <c r="F858" s="277" t="s">
        <v>83</v>
      </c>
      <c r="G858" s="258"/>
      <c r="H858" s="20"/>
      <c r="I858" s="20">
        <f>SUM(H858/G883*100)</f>
        <v>0</v>
      </c>
    </row>
    <row r="859" spans="1:9" ht="15">
      <c r="A859" s="109" t="s">
        <v>516</v>
      </c>
      <c r="B859" s="281"/>
      <c r="C859" s="280" t="s">
        <v>124</v>
      </c>
      <c r="D859" s="280" t="s">
        <v>122</v>
      </c>
      <c r="E859" s="280" t="s">
        <v>311</v>
      </c>
      <c r="F859" s="277"/>
      <c r="G859" s="258">
        <f>SUM(G860:G862)</f>
        <v>1200</v>
      </c>
      <c r="H859" s="20"/>
      <c r="I859" s="20" t="e">
        <f>SUM(H859/#REF!*100)</f>
        <v>#REF!</v>
      </c>
    </row>
    <row r="860" spans="1:9" ht="28.5">
      <c r="A860" s="109" t="s">
        <v>495</v>
      </c>
      <c r="B860" s="281"/>
      <c r="C860" s="280" t="s">
        <v>124</v>
      </c>
      <c r="D860" s="280" t="s">
        <v>122</v>
      </c>
      <c r="E860" s="280" t="s">
        <v>311</v>
      </c>
      <c r="F860" s="277" t="s">
        <v>496</v>
      </c>
      <c r="G860" s="258">
        <v>200</v>
      </c>
      <c r="H860" s="20">
        <f>SUM(H861)</f>
        <v>0</v>
      </c>
      <c r="I860" s="20" t="e">
        <f>SUM(H860/#REF!*100)</f>
        <v>#REF!</v>
      </c>
    </row>
    <row r="861" spans="1:9" ht="15">
      <c r="A861" s="109" t="s">
        <v>500</v>
      </c>
      <c r="B861" s="281"/>
      <c r="C861" s="280" t="s">
        <v>124</v>
      </c>
      <c r="D861" s="280" t="s">
        <v>122</v>
      </c>
      <c r="E861" s="280" t="s">
        <v>311</v>
      </c>
      <c r="F861" s="277" t="s">
        <v>120</v>
      </c>
      <c r="G861" s="258">
        <v>1000</v>
      </c>
      <c r="H861" s="20"/>
      <c r="I861" s="20" t="e">
        <f>SUM(H861/#REF!*100)</f>
        <v>#REF!</v>
      </c>
    </row>
    <row r="862" spans="1:9" ht="15" hidden="1">
      <c r="A862" s="109" t="s">
        <v>501</v>
      </c>
      <c r="B862" s="281"/>
      <c r="C862" s="280" t="s">
        <v>124</v>
      </c>
      <c r="D862" s="280" t="s">
        <v>122</v>
      </c>
      <c r="E862" s="280" t="s">
        <v>311</v>
      </c>
      <c r="F862" s="277" t="s">
        <v>176</v>
      </c>
      <c r="G862" s="258"/>
      <c r="H862" s="20" t="e">
        <f>SUM(#REF!+#REF!+#REF!+#REF!)</f>
        <v>#REF!</v>
      </c>
      <c r="I862" s="20" t="e">
        <f>SUM(H862/G884*100)</f>
        <v>#REF!</v>
      </c>
    </row>
    <row r="863" spans="1:9" ht="15" hidden="1">
      <c r="A863" s="109" t="s">
        <v>157</v>
      </c>
      <c r="B863" s="281"/>
      <c r="C863" s="280" t="s">
        <v>124</v>
      </c>
      <c r="D863" s="280" t="s">
        <v>122</v>
      </c>
      <c r="E863" s="280" t="s">
        <v>311</v>
      </c>
      <c r="F863" s="277" t="s">
        <v>83</v>
      </c>
      <c r="G863" s="258"/>
      <c r="H863" s="20"/>
      <c r="I863" s="20"/>
    </row>
    <row r="864" spans="1:9" ht="15">
      <c r="A864" s="112" t="s">
        <v>307</v>
      </c>
      <c r="B864" s="281" t="s">
        <v>266</v>
      </c>
      <c r="C864" s="280"/>
      <c r="D864" s="280"/>
      <c r="E864" s="280"/>
      <c r="F864" s="277"/>
      <c r="G864" s="260">
        <f>SUM(G870)+G865</f>
        <v>52153.2</v>
      </c>
      <c r="H864" s="20"/>
      <c r="I864" s="20"/>
    </row>
    <row r="865" spans="1:9" ht="15">
      <c r="A865" s="109" t="s">
        <v>116</v>
      </c>
      <c r="B865" s="281"/>
      <c r="C865" s="300" t="s">
        <v>117</v>
      </c>
      <c r="D865" s="280"/>
      <c r="E865" s="280"/>
      <c r="F865" s="277"/>
      <c r="G865" s="258">
        <f>SUM(G866)</f>
        <v>41.5</v>
      </c>
      <c r="H865" s="20"/>
      <c r="I865" s="20"/>
    </row>
    <row r="866" spans="1:9" ht="15">
      <c r="A866" s="114" t="s">
        <v>118</v>
      </c>
      <c r="B866" s="323"/>
      <c r="C866" s="300" t="s">
        <v>117</v>
      </c>
      <c r="D866" s="300" t="s">
        <v>117</v>
      </c>
      <c r="E866" s="280"/>
      <c r="F866" s="277"/>
      <c r="G866" s="258">
        <f>SUM(G867)</f>
        <v>41.5</v>
      </c>
      <c r="H866" s="20"/>
      <c r="I866" s="20"/>
    </row>
    <row r="867" spans="1:9" ht="15">
      <c r="A867" s="114" t="s">
        <v>594</v>
      </c>
      <c r="B867" s="318"/>
      <c r="C867" s="300" t="s">
        <v>117</v>
      </c>
      <c r="D867" s="300" t="s">
        <v>117</v>
      </c>
      <c r="E867" s="300" t="s">
        <v>129</v>
      </c>
      <c r="F867" s="277"/>
      <c r="G867" s="258">
        <f>SUM(G868)</f>
        <v>41.5</v>
      </c>
      <c r="H867" s="20"/>
      <c r="I867" s="20"/>
    </row>
    <row r="868" spans="1:9" ht="15">
      <c r="A868" s="153" t="s">
        <v>614</v>
      </c>
      <c r="B868" s="318"/>
      <c r="C868" s="300" t="s">
        <v>117</v>
      </c>
      <c r="D868" s="300" t="s">
        <v>117</v>
      </c>
      <c r="E868" s="300" t="s">
        <v>97</v>
      </c>
      <c r="F868" s="277"/>
      <c r="G868" s="258">
        <f>SUM(G869)</f>
        <v>41.5</v>
      </c>
      <c r="H868" s="20"/>
      <c r="I868" s="20"/>
    </row>
    <row r="869" spans="1:9" ht="28.5">
      <c r="A869" s="114" t="s">
        <v>517</v>
      </c>
      <c r="B869" s="281"/>
      <c r="C869" s="300" t="s">
        <v>117</v>
      </c>
      <c r="D869" s="300" t="s">
        <v>117</v>
      </c>
      <c r="E869" s="300" t="s">
        <v>97</v>
      </c>
      <c r="F869" s="277" t="s">
        <v>513</v>
      </c>
      <c r="G869" s="258">
        <v>41.5</v>
      </c>
      <c r="H869" s="20">
        <v>21799.8</v>
      </c>
      <c r="I869" s="20">
        <f>SUM(H869/G892*100)</f>
        <v>217.79545023128492</v>
      </c>
    </row>
    <row r="870" spans="1:9" ht="15">
      <c r="A870" s="109" t="s">
        <v>327</v>
      </c>
      <c r="B870" s="274"/>
      <c r="C870" s="280" t="s">
        <v>300</v>
      </c>
      <c r="D870" s="280"/>
      <c r="E870" s="280"/>
      <c r="F870" s="277"/>
      <c r="G870" s="258">
        <f>SUM(G871+G884+G905+G913)</f>
        <v>52111.7</v>
      </c>
      <c r="H870" s="20"/>
      <c r="I870" s="20"/>
    </row>
    <row r="871" spans="1:9" ht="21" customHeight="1">
      <c r="A871" s="109" t="s">
        <v>178</v>
      </c>
      <c r="B871" s="274"/>
      <c r="C871" s="280" t="s">
        <v>300</v>
      </c>
      <c r="D871" s="280" t="s">
        <v>460</v>
      </c>
      <c r="E871" s="280"/>
      <c r="F871" s="277"/>
      <c r="G871" s="258">
        <f>SUM(G874)+G872</f>
        <v>8147.8</v>
      </c>
      <c r="H871" s="20"/>
      <c r="I871" s="20"/>
    </row>
    <row r="872" spans="1:9" ht="15">
      <c r="A872" s="109" t="s">
        <v>387</v>
      </c>
      <c r="B872" s="274"/>
      <c r="C872" s="280" t="s">
        <v>300</v>
      </c>
      <c r="D872" s="280" t="s">
        <v>460</v>
      </c>
      <c r="E872" s="275" t="s">
        <v>507</v>
      </c>
      <c r="F872" s="277"/>
      <c r="G872" s="258">
        <f>SUM(G873)</f>
        <v>930.2</v>
      </c>
      <c r="H872" s="20"/>
      <c r="I872" s="20" t="e">
        <f>SUM(H872/#REF!*100)</f>
        <v>#REF!</v>
      </c>
    </row>
    <row r="873" spans="1:9" ht="27.75" customHeight="1">
      <c r="A873" s="114" t="s">
        <v>517</v>
      </c>
      <c r="B873" s="274"/>
      <c r="C873" s="280" t="s">
        <v>300</v>
      </c>
      <c r="D873" s="280" t="s">
        <v>460</v>
      </c>
      <c r="E873" s="275" t="s">
        <v>507</v>
      </c>
      <c r="F873" s="277" t="s">
        <v>513</v>
      </c>
      <c r="G873" s="258">
        <v>930.2</v>
      </c>
      <c r="H873" s="20"/>
      <c r="I873" s="20" t="e">
        <f>SUM(H873/#REF!*100)</f>
        <v>#REF!</v>
      </c>
    </row>
    <row r="874" spans="1:9" ht="15">
      <c r="A874" s="109" t="s">
        <v>202</v>
      </c>
      <c r="B874" s="274"/>
      <c r="C874" s="280" t="s">
        <v>300</v>
      </c>
      <c r="D874" s="280" t="s">
        <v>460</v>
      </c>
      <c r="E874" s="280" t="s">
        <v>182</v>
      </c>
      <c r="F874" s="277"/>
      <c r="G874" s="259">
        <f>SUM(G875)</f>
        <v>7217.6</v>
      </c>
      <c r="H874" s="20" t="e">
        <f>SUM(#REF!)</f>
        <v>#REF!</v>
      </c>
      <c r="I874" s="20" t="e">
        <f>SUM(H874/#REF!*100)</f>
        <v>#REF!</v>
      </c>
    </row>
    <row r="875" spans="1:9" ht="15">
      <c r="A875" s="109" t="s">
        <v>95</v>
      </c>
      <c r="B875" s="281"/>
      <c r="C875" s="280" t="s">
        <v>300</v>
      </c>
      <c r="D875" s="280" t="s">
        <v>460</v>
      </c>
      <c r="E875" s="280" t="s">
        <v>84</v>
      </c>
      <c r="F875" s="277"/>
      <c r="G875" s="258">
        <f>SUM(G883)+G876</f>
        <v>7217.6</v>
      </c>
      <c r="H875" s="20">
        <f>SUM(H881:H881)</f>
        <v>7467.6</v>
      </c>
      <c r="I875" s="20">
        <f>SUM(H875/G895*100)</f>
        <v>60.24492957064717</v>
      </c>
    </row>
    <row r="876" spans="1:9" ht="15" hidden="1">
      <c r="A876" s="114" t="s">
        <v>157</v>
      </c>
      <c r="B876" s="281"/>
      <c r="C876" s="280" t="s">
        <v>300</v>
      </c>
      <c r="D876" s="280" t="s">
        <v>460</v>
      </c>
      <c r="E876" s="280" t="s">
        <v>141</v>
      </c>
      <c r="F876" s="277"/>
      <c r="G876" s="258">
        <f>SUM(G878+G880)</f>
        <v>0</v>
      </c>
      <c r="H876" s="20"/>
      <c r="I876" s="20"/>
    </row>
    <row r="877" spans="1:9" ht="15" hidden="1">
      <c r="A877" s="114" t="s">
        <v>143</v>
      </c>
      <c r="B877" s="281"/>
      <c r="C877" s="280" t="s">
        <v>300</v>
      </c>
      <c r="D877" s="280" t="s">
        <v>460</v>
      </c>
      <c r="E877" s="280" t="s">
        <v>141</v>
      </c>
      <c r="F877" s="277" t="s">
        <v>83</v>
      </c>
      <c r="G877" s="258"/>
      <c r="H877" s="20"/>
      <c r="I877" s="20"/>
    </row>
    <row r="878" spans="1:9" ht="28.5" hidden="1">
      <c r="A878" s="114" t="s">
        <v>414</v>
      </c>
      <c r="B878" s="281"/>
      <c r="C878" s="280" t="s">
        <v>300</v>
      </c>
      <c r="D878" s="280" t="s">
        <v>460</v>
      </c>
      <c r="E878" s="280" t="s">
        <v>142</v>
      </c>
      <c r="F878" s="277"/>
      <c r="G878" s="258">
        <f>SUM(G879)</f>
        <v>0</v>
      </c>
      <c r="H878" s="20"/>
      <c r="I878" s="20"/>
    </row>
    <row r="879" spans="1:9" ht="15" hidden="1">
      <c r="A879" s="114" t="s">
        <v>143</v>
      </c>
      <c r="B879" s="281"/>
      <c r="C879" s="280" t="s">
        <v>300</v>
      </c>
      <c r="D879" s="280" t="s">
        <v>460</v>
      </c>
      <c r="E879" s="280" t="s">
        <v>142</v>
      </c>
      <c r="F879" s="277" t="s">
        <v>83</v>
      </c>
      <c r="G879" s="258"/>
      <c r="H879" s="20"/>
      <c r="I879" s="20"/>
    </row>
    <row r="880" spans="1:9" ht="15" hidden="1">
      <c r="A880" s="109" t="s">
        <v>215</v>
      </c>
      <c r="B880" s="281"/>
      <c r="C880" s="280" t="s">
        <v>300</v>
      </c>
      <c r="D880" s="280" t="s">
        <v>460</v>
      </c>
      <c r="E880" s="280" t="s">
        <v>218</v>
      </c>
      <c r="F880" s="277"/>
      <c r="G880" s="258">
        <f>SUM(G881)</f>
        <v>0</v>
      </c>
      <c r="H880" s="20"/>
      <c r="I880" s="20"/>
    </row>
    <row r="881" spans="1:9" ht="15" hidden="1">
      <c r="A881" s="109" t="s">
        <v>157</v>
      </c>
      <c r="B881" s="281"/>
      <c r="C881" s="280" t="s">
        <v>300</v>
      </c>
      <c r="D881" s="280" t="s">
        <v>460</v>
      </c>
      <c r="E881" s="280" t="s">
        <v>218</v>
      </c>
      <c r="F881" s="277" t="s">
        <v>83</v>
      </c>
      <c r="G881" s="258"/>
      <c r="H881" s="20">
        <v>7467.6</v>
      </c>
      <c r="I881" s="20">
        <f>SUM(H881/G903*100)</f>
        <v>60.73490899035412</v>
      </c>
    </row>
    <row r="882" spans="1:9" ht="28.5">
      <c r="A882" s="109" t="s">
        <v>302</v>
      </c>
      <c r="B882" s="281"/>
      <c r="C882" s="280" t="s">
        <v>300</v>
      </c>
      <c r="D882" s="280" t="s">
        <v>460</v>
      </c>
      <c r="E882" s="280" t="s">
        <v>301</v>
      </c>
      <c r="F882" s="277"/>
      <c r="G882" s="258">
        <f>SUM(G883)</f>
        <v>7217.6</v>
      </c>
      <c r="H882" s="20">
        <f>SUM(H883:H884)</f>
        <v>1817.2</v>
      </c>
      <c r="I882" s="20" t="e">
        <f>SUM(H882/#REF!*100)</f>
        <v>#REF!</v>
      </c>
    </row>
    <row r="883" spans="1:9" ht="28.5">
      <c r="A883" s="114" t="s">
        <v>517</v>
      </c>
      <c r="B883" s="317"/>
      <c r="C883" s="280" t="s">
        <v>300</v>
      </c>
      <c r="D883" s="280" t="s">
        <v>460</v>
      </c>
      <c r="E883" s="280" t="s">
        <v>301</v>
      </c>
      <c r="F883" s="278" t="s">
        <v>513</v>
      </c>
      <c r="G883" s="258">
        <v>7217.6</v>
      </c>
      <c r="H883" s="20">
        <v>1817.2</v>
      </c>
      <c r="I883" s="20" t="e">
        <f>SUM(H883/#REF!*100)</f>
        <v>#REF!</v>
      </c>
    </row>
    <row r="884" spans="1:9" ht="15">
      <c r="A884" s="109" t="s">
        <v>241</v>
      </c>
      <c r="B884" s="274"/>
      <c r="C884" s="280" t="s">
        <v>300</v>
      </c>
      <c r="D884" s="280" t="s">
        <v>462</v>
      </c>
      <c r="E884" s="280"/>
      <c r="F884" s="277"/>
      <c r="G884" s="258">
        <f>SUM(G885+G894)</f>
        <v>22404.699999999997</v>
      </c>
      <c r="H884" s="20"/>
      <c r="I884" s="20" t="e">
        <f>SUM(H884/#REF!*100)</f>
        <v>#REF!</v>
      </c>
    </row>
    <row r="885" spans="1:9" ht="15">
      <c r="A885" s="109" t="s">
        <v>202</v>
      </c>
      <c r="B885" s="274"/>
      <c r="C885" s="280" t="s">
        <v>300</v>
      </c>
      <c r="D885" s="280" t="s">
        <v>462</v>
      </c>
      <c r="E885" s="280" t="s">
        <v>182</v>
      </c>
      <c r="F885" s="277"/>
      <c r="G885" s="258">
        <f>SUM(G886)</f>
        <v>10009.3</v>
      </c>
      <c r="H885" s="20">
        <f>SUM(H886)</f>
        <v>340</v>
      </c>
      <c r="I885" s="20" t="e">
        <f>SUM(H885/#REF!*100)</f>
        <v>#REF!</v>
      </c>
    </row>
    <row r="886" spans="1:9" ht="15">
      <c r="A886" s="109" t="s">
        <v>95</v>
      </c>
      <c r="B886" s="281"/>
      <c r="C886" s="280" t="s">
        <v>300</v>
      </c>
      <c r="D886" s="280" t="s">
        <v>462</v>
      </c>
      <c r="E886" s="280" t="s">
        <v>84</v>
      </c>
      <c r="F886" s="277"/>
      <c r="G886" s="258">
        <f>SUM(G887+G892)</f>
        <v>10009.3</v>
      </c>
      <c r="H886" s="20">
        <v>340</v>
      </c>
      <c r="I886" s="20" t="e">
        <f>SUM(H886/#REF!*100)</f>
        <v>#REF!</v>
      </c>
    </row>
    <row r="887" spans="1:9" ht="15" hidden="1">
      <c r="A887" s="114" t="s">
        <v>157</v>
      </c>
      <c r="B887" s="281"/>
      <c r="C887" s="280" t="s">
        <v>300</v>
      </c>
      <c r="D887" s="280" t="s">
        <v>462</v>
      </c>
      <c r="E887" s="280" t="s">
        <v>141</v>
      </c>
      <c r="F887" s="277"/>
      <c r="G887" s="258">
        <f>SUM(G890)+G888</f>
        <v>0</v>
      </c>
      <c r="H887" s="20">
        <f>SUM(H888)</f>
        <v>9494.7</v>
      </c>
      <c r="I887" s="20" t="e">
        <f>SUM(H887/#REF!*100)</f>
        <v>#REF!</v>
      </c>
    </row>
    <row r="888" spans="1:9" ht="28.5" hidden="1">
      <c r="A888" s="114" t="s">
        <v>414</v>
      </c>
      <c r="B888" s="281"/>
      <c r="C888" s="280" t="s">
        <v>300</v>
      </c>
      <c r="D888" s="280" t="s">
        <v>462</v>
      </c>
      <c r="E888" s="280" t="s">
        <v>142</v>
      </c>
      <c r="F888" s="277"/>
      <c r="G888" s="258">
        <f>SUM(G889)</f>
        <v>0</v>
      </c>
      <c r="H888" s="20">
        <f>SUM(H889)</f>
        <v>9494.7</v>
      </c>
      <c r="I888" s="20" t="e">
        <f>SUM(H888/#REF!*100)</f>
        <v>#REF!</v>
      </c>
    </row>
    <row r="889" spans="1:9" ht="15" hidden="1">
      <c r="A889" s="114" t="s">
        <v>143</v>
      </c>
      <c r="B889" s="281"/>
      <c r="C889" s="280" t="s">
        <v>300</v>
      </c>
      <c r="D889" s="280" t="s">
        <v>462</v>
      </c>
      <c r="E889" s="280" t="s">
        <v>142</v>
      </c>
      <c r="F889" s="277" t="s">
        <v>83</v>
      </c>
      <c r="G889" s="258"/>
      <c r="H889" s="20">
        <f>SUM(H890:H891)</f>
        <v>9494.7</v>
      </c>
      <c r="I889" s="20" t="e">
        <f>SUM(H889/#REF!*100)</f>
        <v>#REF!</v>
      </c>
    </row>
    <row r="890" spans="1:9" ht="15" hidden="1">
      <c r="A890" s="109" t="s">
        <v>215</v>
      </c>
      <c r="B890" s="281"/>
      <c r="C890" s="280" t="s">
        <v>300</v>
      </c>
      <c r="D890" s="280" t="s">
        <v>462</v>
      </c>
      <c r="E890" s="280" t="s">
        <v>218</v>
      </c>
      <c r="F890" s="277"/>
      <c r="G890" s="258">
        <f>SUM(G891)</f>
        <v>0</v>
      </c>
      <c r="H890" s="20">
        <v>9494.7</v>
      </c>
      <c r="I890" s="20" t="e">
        <f>SUM(H890/#REF!*100)</f>
        <v>#REF!</v>
      </c>
    </row>
    <row r="891" spans="1:9" ht="15" hidden="1">
      <c r="A891" s="114" t="s">
        <v>143</v>
      </c>
      <c r="B891" s="281"/>
      <c r="C891" s="280" t="s">
        <v>300</v>
      </c>
      <c r="D891" s="280" t="s">
        <v>462</v>
      </c>
      <c r="E891" s="280" t="s">
        <v>218</v>
      </c>
      <c r="F891" s="277" t="s">
        <v>83</v>
      </c>
      <c r="G891" s="258"/>
      <c r="H891" s="20"/>
      <c r="I891" s="20" t="e">
        <f>SUM(H891/#REF!*100)</f>
        <v>#REF!</v>
      </c>
    </row>
    <row r="892" spans="1:9" ht="28.5">
      <c r="A892" s="109" t="s">
        <v>302</v>
      </c>
      <c r="B892" s="281"/>
      <c r="C892" s="280" t="s">
        <v>300</v>
      </c>
      <c r="D892" s="280" t="s">
        <v>462</v>
      </c>
      <c r="E892" s="280" t="s">
        <v>301</v>
      </c>
      <c r="F892" s="277"/>
      <c r="G892" s="258">
        <f>SUM(G893)</f>
        <v>10009.3</v>
      </c>
      <c r="H892" s="20">
        <f>SUM(H893)</f>
        <v>7467.6</v>
      </c>
      <c r="I892" s="20" t="e">
        <f>SUM(H892/#REF!*100)</f>
        <v>#REF!</v>
      </c>
    </row>
    <row r="893" spans="1:9" ht="28.5">
      <c r="A893" s="114" t="s">
        <v>517</v>
      </c>
      <c r="B893" s="317"/>
      <c r="C893" s="280" t="s">
        <v>300</v>
      </c>
      <c r="D893" s="280" t="s">
        <v>462</v>
      </c>
      <c r="E893" s="280" t="s">
        <v>301</v>
      </c>
      <c r="F893" s="278" t="s">
        <v>513</v>
      </c>
      <c r="G893" s="258">
        <v>10009.3</v>
      </c>
      <c r="H893" s="20">
        <v>7467.6</v>
      </c>
      <c r="I893" s="20" t="e">
        <f>SUM(H893/#REF!*100)</f>
        <v>#REF!</v>
      </c>
    </row>
    <row r="894" spans="1:9" ht="15">
      <c r="A894" s="109" t="s">
        <v>242</v>
      </c>
      <c r="B894" s="274"/>
      <c r="C894" s="280" t="s">
        <v>300</v>
      </c>
      <c r="D894" s="280" t="s">
        <v>462</v>
      </c>
      <c r="E894" s="280" t="s">
        <v>243</v>
      </c>
      <c r="F894" s="277"/>
      <c r="G894" s="258">
        <f>SUM(G895)</f>
        <v>12395.4</v>
      </c>
      <c r="H894" s="20">
        <f>SUM(H895)</f>
        <v>0</v>
      </c>
      <c r="I894" s="20" t="e">
        <f>SUM(H894/G911*100)</f>
        <v>#DIV/0!</v>
      </c>
    </row>
    <row r="895" spans="1:9" ht="15">
      <c r="A895" s="109" t="s">
        <v>95</v>
      </c>
      <c r="B895" s="274"/>
      <c r="C895" s="280" t="s">
        <v>300</v>
      </c>
      <c r="D895" s="280" t="s">
        <v>462</v>
      </c>
      <c r="E895" s="280" t="s">
        <v>303</v>
      </c>
      <c r="F895" s="277"/>
      <c r="G895" s="258">
        <f>SUM(G903:G903)+G896</f>
        <v>12395.4</v>
      </c>
      <c r="H895" s="20"/>
      <c r="I895" s="20" t="e">
        <f>SUM(H895/G912*100)</f>
        <v>#DIV/0!</v>
      </c>
    </row>
    <row r="896" spans="1:9" ht="27.75" customHeight="1">
      <c r="A896" s="114" t="s">
        <v>157</v>
      </c>
      <c r="B896" s="274"/>
      <c r="C896" s="280" t="s">
        <v>300</v>
      </c>
      <c r="D896" s="280" t="s">
        <v>462</v>
      </c>
      <c r="E896" s="280" t="s">
        <v>219</v>
      </c>
      <c r="F896" s="277"/>
      <c r="G896" s="258">
        <f>SUM(G897)+G899+G901</f>
        <v>100</v>
      </c>
      <c r="H896" s="20">
        <f>SUM(H897:H898)</f>
        <v>6864.8</v>
      </c>
      <c r="I896" s="20">
        <f>SUM(H896/G917*100)</f>
        <v>53.32380493715919</v>
      </c>
    </row>
    <row r="897" spans="1:9" ht="28.5">
      <c r="A897" s="114" t="s">
        <v>144</v>
      </c>
      <c r="B897" s="281"/>
      <c r="C897" s="280" t="s">
        <v>300</v>
      </c>
      <c r="D897" s="280" t="s">
        <v>462</v>
      </c>
      <c r="E897" s="280" t="s">
        <v>145</v>
      </c>
      <c r="F897" s="277"/>
      <c r="G897" s="258">
        <f>SUM(G898)</f>
        <v>38.2</v>
      </c>
      <c r="H897" s="20">
        <v>6864.8</v>
      </c>
      <c r="I897" s="20">
        <f>SUM(H897/G918*100)</f>
        <v>60.462043879195704</v>
      </c>
    </row>
    <row r="898" spans="1:9" ht="28.5">
      <c r="A898" s="114" t="s">
        <v>517</v>
      </c>
      <c r="B898" s="317"/>
      <c r="C898" s="280" t="s">
        <v>300</v>
      </c>
      <c r="D898" s="280" t="s">
        <v>462</v>
      </c>
      <c r="E898" s="280" t="s">
        <v>145</v>
      </c>
      <c r="F898" s="278" t="s">
        <v>513</v>
      </c>
      <c r="G898" s="258">
        <v>38.2</v>
      </c>
      <c r="H898" s="20"/>
      <c r="I898" s="20" t="e">
        <f>SUM(H898/#REF!*100)</f>
        <v>#REF!</v>
      </c>
    </row>
    <row r="899" spans="1:9" ht="19.5" customHeight="1" hidden="1">
      <c r="A899" s="114" t="s">
        <v>414</v>
      </c>
      <c r="B899" s="281"/>
      <c r="C899" s="280" t="s">
        <v>300</v>
      </c>
      <c r="D899" s="280" t="s">
        <v>462</v>
      </c>
      <c r="E899" s="280" t="s">
        <v>485</v>
      </c>
      <c r="F899" s="277"/>
      <c r="G899" s="258">
        <f>SUM(G900)</f>
        <v>0</v>
      </c>
      <c r="H899" s="20"/>
      <c r="I899" s="20"/>
    </row>
    <row r="900" spans="1:9" ht="15" hidden="1">
      <c r="A900" s="114" t="s">
        <v>143</v>
      </c>
      <c r="B900" s="281"/>
      <c r="C900" s="280" t="s">
        <v>300</v>
      </c>
      <c r="D900" s="280" t="s">
        <v>462</v>
      </c>
      <c r="E900" s="280" t="s">
        <v>485</v>
      </c>
      <c r="F900" s="277" t="s">
        <v>83</v>
      </c>
      <c r="G900" s="258"/>
      <c r="H900" s="20"/>
      <c r="I900" s="20"/>
    </row>
    <row r="901" spans="1:9" ht="15">
      <c r="A901" s="174" t="s">
        <v>154</v>
      </c>
      <c r="B901" s="317"/>
      <c r="C901" s="280" t="s">
        <v>300</v>
      </c>
      <c r="D901" s="280" t="s">
        <v>462</v>
      </c>
      <c r="E901" s="280" t="s">
        <v>643</v>
      </c>
      <c r="F901" s="278"/>
      <c r="G901" s="258">
        <f>SUM(G902)</f>
        <v>61.8</v>
      </c>
      <c r="H901" s="20" t="e">
        <f>SUM(H902+#REF!)</f>
        <v>#REF!</v>
      </c>
      <c r="I901" s="20" t="e">
        <f>SUM(H901/#REF!*100)</f>
        <v>#REF!</v>
      </c>
    </row>
    <row r="902" spans="1:9" ht="28.5">
      <c r="A902" s="114" t="s">
        <v>517</v>
      </c>
      <c r="B902" s="317"/>
      <c r="C902" s="280" t="s">
        <v>300</v>
      </c>
      <c r="D902" s="280" t="s">
        <v>462</v>
      </c>
      <c r="E902" s="280" t="s">
        <v>643</v>
      </c>
      <c r="F902" s="278" t="s">
        <v>513</v>
      </c>
      <c r="G902" s="258">
        <v>61.8</v>
      </c>
      <c r="H902" s="20" t="e">
        <f>SUM(#REF!)</f>
        <v>#REF!</v>
      </c>
      <c r="I902" s="20" t="e">
        <f>SUM(H902/#REF!*100)</f>
        <v>#REF!</v>
      </c>
    </row>
    <row r="903" spans="1:9" ht="27.75" customHeight="1">
      <c r="A903" s="114" t="s">
        <v>302</v>
      </c>
      <c r="B903" s="274"/>
      <c r="C903" s="280" t="s">
        <v>300</v>
      </c>
      <c r="D903" s="280" t="s">
        <v>462</v>
      </c>
      <c r="E903" s="280" t="s">
        <v>304</v>
      </c>
      <c r="F903" s="277"/>
      <c r="G903" s="258">
        <f>SUM(G904)</f>
        <v>12295.4</v>
      </c>
      <c r="H903" s="20"/>
      <c r="I903" s="20"/>
    </row>
    <row r="904" spans="1:9" ht="28.5">
      <c r="A904" s="114" t="s">
        <v>517</v>
      </c>
      <c r="B904" s="317"/>
      <c r="C904" s="280" t="s">
        <v>300</v>
      </c>
      <c r="D904" s="280" t="s">
        <v>462</v>
      </c>
      <c r="E904" s="280" t="s">
        <v>304</v>
      </c>
      <c r="F904" s="278" t="s">
        <v>513</v>
      </c>
      <c r="G904" s="258">
        <v>12295.4</v>
      </c>
      <c r="H904" s="20">
        <v>340</v>
      </c>
      <c r="I904" s="20" t="e">
        <f>SUM(H904/#REF!*100)</f>
        <v>#REF!</v>
      </c>
    </row>
    <row r="905" spans="1:9" ht="14.25" customHeight="1">
      <c r="A905" s="114" t="s">
        <v>244</v>
      </c>
      <c r="B905" s="274"/>
      <c r="C905" s="280" t="s">
        <v>300</v>
      </c>
      <c r="D905" s="280" t="s">
        <v>122</v>
      </c>
      <c r="E905" s="280"/>
      <c r="F905" s="277"/>
      <c r="G905" s="258">
        <f>SUM(G908+G911)</f>
        <v>779.2</v>
      </c>
      <c r="H905" s="20">
        <v>1424.2</v>
      </c>
      <c r="I905" s="20" t="e">
        <f>SUM(H905/#REF!*100)</f>
        <v>#REF!</v>
      </c>
    </row>
    <row r="906" spans="1:9" ht="15" hidden="1">
      <c r="A906" s="114" t="s">
        <v>387</v>
      </c>
      <c r="B906" s="274"/>
      <c r="C906" s="280" t="s">
        <v>300</v>
      </c>
      <c r="D906" s="280" t="s">
        <v>122</v>
      </c>
      <c r="E906" s="280" t="s">
        <v>388</v>
      </c>
      <c r="F906" s="277"/>
      <c r="G906" s="258">
        <f>SUM(G907)</f>
        <v>0</v>
      </c>
      <c r="H906" s="20"/>
      <c r="I906" s="20"/>
    </row>
    <row r="907" spans="1:9" ht="15" hidden="1">
      <c r="A907" s="114" t="s">
        <v>246</v>
      </c>
      <c r="B907" s="274"/>
      <c r="C907" s="280" t="s">
        <v>300</v>
      </c>
      <c r="D907" s="280" t="s">
        <v>122</v>
      </c>
      <c r="E907" s="280" t="s">
        <v>388</v>
      </c>
      <c r="F907" s="277" t="s">
        <v>247</v>
      </c>
      <c r="G907" s="258"/>
      <c r="H907" s="20"/>
      <c r="I907" s="20" t="e">
        <f>SUM(H907/#REF!*100)</f>
        <v>#REF!</v>
      </c>
    </row>
    <row r="908" spans="1:9" ht="15">
      <c r="A908" s="109" t="s">
        <v>95</v>
      </c>
      <c r="B908" s="274"/>
      <c r="C908" s="280" t="s">
        <v>300</v>
      </c>
      <c r="D908" s="280" t="s">
        <v>122</v>
      </c>
      <c r="E908" s="280" t="s">
        <v>514</v>
      </c>
      <c r="F908" s="277"/>
      <c r="G908" s="258">
        <f>SUM(G909)</f>
        <v>779.2</v>
      </c>
      <c r="H908" s="20"/>
      <c r="I908" s="20" t="e">
        <f>SUM(H908/#REF!*100)</f>
        <v>#REF!</v>
      </c>
    </row>
    <row r="909" spans="1:9" ht="28.5">
      <c r="A909" s="114" t="s">
        <v>302</v>
      </c>
      <c r="B909" s="274"/>
      <c r="C909" s="280" t="s">
        <v>300</v>
      </c>
      <c r="D909" s="280" t="s">
        <v>122</v>
      </c>
      <c r="E909" s="280" t="s">
        <v>515</v>
      </c>
      <c r="F909" s="277"/>
      <c r="G909" s="258">
        <f>SUM(G910)</f>
        <v>779.2</v>
      </c>
      <c r="H909" s="20"/>
      <c r="I909" s="20" t="e">
        <f>SUM(H909/#REF!*100)</f>
        <v>#REF!</v>
      </c>
    </row>
    <row r="910" spans="1:9" ht="27.75" customHeight="1">
      <c r="A910" s="114" t="s">
        <v>517</v>
      </c>
      <c r="B910" s="317"/>
      <c r="C910" s="280" t="s">
        <v>300</v>
      </c>
      <c r="D910" s="280" t="s">
        <v>122</v>
      </c>
      <c r="E910" s="280" t="s">
        <v>515</v>
      </c>
      <c r="F910" s="278" t="s">
        <v>513</v>
      </c>
      <c r="G910" s="258">
        <v>779.2</v>
      </c>
      <c r="H910" s="81"/>
      <c r="I910" s="81" t="e">
        <f>SUM(H910/#REF!*100)</f>
        <v>#REF!</v>
      </c>
    </row>
    <row r="911" spans="1:9" ht="16.5" hidden="1" thickBot="1">
      <c r="A911" s="110" t="s">
        <v>3</v>
      </c>
      <c r="B911" s="274"/>
      <c r="C911" s="280" t="s">
        <v>300</v>
      </c>
      <c r="D911" s="280" t="s">
        <v>460</v>
      </c>
      <c r="E911" s="280" t="s">
        <v>267</v>
      </c>
      <c r="F911" s="276"/>
      <c r="G911" s="258">
        <f>SUM(G912)</f>
        <v>0</v>
      </c>
      <c r="H911" s="82" t="e">
        <f>SUM(H11+H35+H54+#REF!+H369+#REF!+H580+#REF!+#REF!+H836)</f>
        <v>#REF!</v>
      </c>
      <c r="I911" s="82" t="e">
        <f>SUM(H911/G924*100)</f>
        <v>#REF!</v>
      </c>
    </row>
    <row r="912" spans="1:9" ht="33.75" customHeight="1" hidden="1" thickBot="1">
      <c r="A912" s="109" t="s">
        <v>347</v>
      </c>
      <c r="B912" s="274"/>
      <c r="C912" s="280" t="s">
        <v>300</v>
      </c>
      <c r="D912" s="280" t="s">
        <v>460</v>
      </c>
      <c r="E912" s="280" t="s">
        <v>267</v>
      </c>
      <c r="F912" s="276" t="s">
        <v>268</v>
      </c>
      <c r="G912" s="258"/>
      <c r="H912" s="83">
        <f>-76000-174.5-350</f>
        <v>-76524.5</v>
      </c>
      <c r="I912" s="83">
        <f>-76000-174.5-350</f>
        <v>-76524.5</v>
      </c>
    </row>
    <row r="913" spans="1:7" ht="22.5" customHeight="1">
      <c r="A913" s="110" t="s">
        <v>240</v>
      </c>
      <c r="B913" s="284"/>
      <c r="C913" s="280" t="s">
        <v>300</v>
      </c>
      <c r="D913" s="280" t="s">
        <v>300</v>
      </c>
      <c r="E913" s="280"/>
      <c r="F913" s="277"/>
      <c r="G913" s="258">
        <f>SUM(G916)+G921+G914</f>
        <v>20780</v>
      </c>
    </row>
    <row r="914" spans="1:7" ht="15">
      <c r="A914" s="109" t="s">
        <v>387</v>
      </c>
      <c r="B914" s="274"/>
      <c r="C914" s="280" t="s">
        <v>300</v>
      </c>
      <c r="D914" s="280" t="s">
        <v>300</v>
      </c>
      <c r="E914" s="275" t="s">
        <v>507</v>
      </c>
      <c r="F914" s="277"/>
      <c r="G914" s="258">
        <f>SUM(G915)</f>
        <v>100</v>
      </c>
    </row>
    <row r="915" spans="1:7" ht="28.5">
      <c r="A915" s="114" t="s">
        <v>517</v>
      </c>
      <c r="B915" s="274"/>
      <c r="C915" s="280" t="s">
        <v>300</v>
      </c>
      <c r="D915" s="280" t="s">
        <v>300</v>
      </c>
      <c r="E915" s="275" t="s">
        <v>507</v>
      </c>
      <c r="F915" s="277" t="s">
        <v>513</v>
      </c>
      <c r="G915" s="258">
        <v>100</v>
      </c>
    </row>
    <row r="916" spans="1:7" ht="28.5">
      <c r="A916" s="110" t="s">
        <v>179</v>
      </c>
      <c r="B916" s="274"/>
      <c r="C916" s="280" t="s">
        <v>300</v>
      </c>
      <c r="D916" s="280" t="s">
        <v>300</v>
      </c>
      <c r="E916" s="280" t="s">
        <v>180</v>
      </c>
      <c r="F916" s="277"/>
      <c r="G916" s="258">
        <f>SUM(G917)</f>
        <v>12873.8</v>
      </c>
    </row>
    <row r="917" spans="1:7" ht="28.5">
      <c r="A917" s="109" t="s">
        <v>56</v>
      </c>
      <c r="B917" s="274"/>
      <c r="C917" s="280" t="s">
        <v>300</v>
      </c>
      <c r="D917" s="280" t="s">
        <v>300</v>
      </c>
      <c r="E917" s="280" t="s">
        <v>181</v>
      </c>
      <c r="F917" s="277"/>
      <c r="G917" s="258">
        <f>SUM(G918:G920)</f>
        <v>12873.8</v>
      </c>
    </row>
    <row r="918" spans="1:7" ht="28.5">
      <c r="A918" s="109" t="s">
        <v>495</v>
      </c>
      <c r="B918" s="274"/>
      <c r="C918" s="280" t="s">
        <v>300</v>
      </c>
      <c r="D918" s="280" t="s">
        <v>300</v>
      </c>
      <c r="E918" s="280" t="s">
        <v>181</v>
      </c>
      <c r="F918" s="276" t="s">
        <v>496</v>
      </c>
      <c r="G918" s="258">
        <v>11353.9</v>
      </c>
    </row>
    <row r="919" spans="1:7" ht="15">
      <c r="A919" s="109" t="s">
        <v>500</v>
      </c>
      <c r="B919" s="274"/>
      <c r="C919" s="280" t="s">
        <v>300</v>
      </c>
      <c r="D919" s="280" t="s">
        <v>300</v>
      </c>
      <c r="E919" s="280" t="s">
        <v>181</v>
      </c>
      <c r="F919" s="276" t="s">
        <v>120</v>
      </c>
      <c r="G919" s="259">
        <v>1472.8</v>
      </c>
    </row>
    <row r="920" spans="1:7" ht="15">
      <c r="A920" s="109" t="s">
        <v>501</v>
      </c>
      <c r="B920" s="274"/>
      <c r="C920" s="280" t="s">
        <v>300</v>
      </c>
      <c r="D920" s="280" t="s">
        <v>300</v>
      </c>
      <c r="E920" s="280" t="s">
        <v>181</v>
      </c>
      <c r="F920" s="277" t="s">
        <v>176</v>
      </c>
      <c r="G920" s="258">
        <v>47.1</v>
      </c>
    </row>
    <row r="921" spans="1:7" ht="15">
      <c r="A921" s="114" t="s">
        <v>753</v>
      </c>
      <c r="B921" s="274"/>
      <c r="C921" s="280" t="s">
        <v>300</v>
      </c>
      <c r="D921" s="280" t="s">
        <v>300</v>
      </c>
      <c r="E921" s="280" t="s">
        <v>129</v>
      </c>
      <c r="F921" s="277"/>
      <c r="G921" s="258">
        <f>SUM(G922)</f>
        <v>7806.2</v>
      </c>
    </row>
    <row r="922" spans="1:7" ht="34.5" customHeight="1">
      <c r="A922" s="109" t="s">
        <v>644</v>
      </c>
      <c r="B922" s="274"/>
      <c r="C922" s="280" t="s">
        <v>300</v>
      </c>
      <c r="D922" s="280" t="s">
        <v>300</v>
      </c>
      <c r="E922" s="280" t="s">
        <v>645</v>
      </c>
      <c r="F922" s="277"/>
      <c r="G922" s="258">
        <f>SUM(G923)</f>
        <v>7806.2</v>
      </c>
    </row>
    <row r="923" spans="1:7" ht="33.75" customHeight="1" thickBot="1">
      <c r="A923" s="165" t="s">
        <v>517</v>
      </c>
      <c r="B923" s="330"/>
      <c r="C923" s="331" t="s">
        <v>300</v>
      </c>
      <c r="D923" s="331" t="s">
        <v>300</v>
      </c>
      <c r="E923" s="332" t="s">
        <v>645</v>
      </c>
      <c r="F923" s="333" t="s">
        <v>513</v>
      </c>
      <c r="G923" s="264">
        <v>7806.2</v>
      </c>
    </row>
    <row r="924" spans="1:7" ht="24" customHeight="1" thickBot="1">
      <c r="A924" s="127" t="s">
        <v>172</v>
      </c>
      <c r="B924" s="134"/>
      <c r="C924" s="126"/>
      <c r="D924" s="126"/>
      <c r="E924" s="126"/>
      <c r="F924" s="135"/>
      <c r="G924" s="265">
        <f>SUM(G11+G35+G54+G332+G376+G554+G618+G760+G864)</f>
        <v>3662731.3</v>
      </c>
    </row>
    <row r="925" ht="13.5" customHeight="1">
      <c r="G925" s="620"/>
    </row>
    <row r="926" ht="15" hidden="1">
      <c r="G926" s="122">
        <v>3276110.9</v>
      </c>
    </row>
    <row r="927" ht="15" hidden="1"/>
    <row r="928" ht="15" hidden="1">
      <c r="G928" s="106">
        <f>SUM(G924-G926)</f>
        <v>386620.3999999999</v>
      </c>
    </row>
    <row r="929" ht="15" hidden="1">
      <c r="G929" s="107">
        <f>SUM(G924-2951239.5)</f>
        <v>711491.7999999998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5.375" style="544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5.375" style="3" customWidth="1"/>
    <col min="8" max="8" width="15.875" style="3" customWidth="1"/>
    <col min="9" max="9" width="11.00390625" style="3" hidden="1" customWidth="1"/>
    <col min="10" max="10" width="5.875" style="0" customWidth="1"/>
    <col min="11" max="11" width="12.375" style="0" customWidth="1"/>
  </cols>
  <sheetData>
    <row r="1" spans="6:9" ht="12.75">
      <c r="F1" s="14" t="s">
        <v>761</v>
      </c>
      <c r="G1" s="348"/>
      <c r="H1" s="348"/>
      <c r="I1" s="429"/>
    </row>
    <row r="2" spans="1:9" ht="12.75">
      <c r="A2" s="544" t="s">
        <v>251</v>
      </c>
      <c r="F2" s="2" t="s">
        <v>1109</v>
      </c>
      <c r="G2" s="348"/>
      <c r="H2" s="348"/>
      <c r="I2" s="429"/>
    </row>
    <row r="3" spans="6:9" ht="12.75">
      <c r="F3" s="2" t="s">
        <v>270</v>
      </c>
      <c r="G3" s="348"/>
      <c r="H3" s="348"/>
      <c r="I3" s="429"/>
    </row>
    <row r="4" spans="6:9" ht="12.75">
      <c r="F4" s="2" t="s">
        <v>271</v>
      </c>
      <c r="G4" s="348"/>
      <c r="H4" s="348"/>
      <c r="I4" s="429"/>
    </row>
    <row r="5" spans="2:7" ht="12.75">
      <c r="B5" s="545" t="s">
        <v>252</v>
      </c>
      <c r="F5" s="633" t="s">
        <v>1110</v>
      </c>
      <c r="G5" s="633"/>
    </row>
    <row r="6" ht="12.75">
      <c r="B6" s="545" t="s">
        <v>253</v>
      </c>
    </row>
    <row r="7" ht="12.75">
      <c r="B7" s="545" t="s">
        <v>1056</v>
      </c>
    </row>
    <row r="8" ht="16.5" thickBot="1">
      <c r="B8" s="7"/>
    </row>
    <row r="9" spans="1:9" ht="15" thickBot="1">
      <c r="A9" s="637" t="s">
        <v>254</v>
      </c>
      <c r="B9" s="143" t="s">
        <v>276</v>
      </c>
      <c r="C9" s="144"/>
      <c r="D9" s="145"/>
      <c r="E9" s="145"/>
      <c r="F9" s="145"/>
      <c r="G9" s="8" t="s">
        <v>277</v>
      </c>
      <c r="H9" s="8" t="s">
        <v>277</v>
      </c>
      <c r="I9" s="8" t="s">
        <v>279</v>
      </c>
    </row>
    <row r="10" spans="1:9" ht="39" thickBot="1">
      <c r="A10" s="638"/>
      <c r="B10" s="146" t="s">
        <v>280</v>
      </c>
      <c r="C10" s="147" t="s">
        <v>281</v>
      </c>
      <c r="D10" s="147" t="s">
        <v>282</v>
      </c>
      <c r="E10" s="147" t="s">
        <v>283</v>
      </c>
      <c r="F10" s="438" t="s">
        <v>509</v>
      </c>
      <c r="G10" s="9" t="s">
        <v>1057</v>
      </c>
      <c r="H10" s="9" t="s">
        <v>1058</v>
      </c>
      <c r="I10" s="9" t="s">
        <v>458</v>
      </c>
    </row>
    <row r="11" spans="1:11" ht="15.75">
      <c r="A11" s="108" t="s">
        <v>196</v>
      </c>
      <c r="B11" s="546" t="s">
        <v>197</v>
      </c>
      <c r="C11" s="547"/>
      <c r="D11" s="547"/>
      <c r="E11" s="547"/>
      <c r="F11" s="548"/>
      <c r="G11" s="549">
        <f>SUM(G12)</f>
        <v>18676</v>
      </c>
      <c r="H11" s="550">
        <f>SUM(H12)</f>
        <v>18676</v>
      </c>
      <c r="I11" s="551">
        <f>SUM(H11/G11*100)</f>
        <v>100</v>
      </c>
      <c r="K11" s="60"/>
    </row>
    <row r="12" spans="1:9" ht="15.75">
      <c r="A12" s="109" t="s">
        <v>459</v>
      </c>
      <c r="B12" s="62"/>
      <c r="C12" s="526" t="s">
        <v>460</v>
      </c>
      <c r="D12" s="526"/>
      <c r="E12" s="526"/>
      <c r="F12" s="527"/>
      <c r="G12" s="552">
        <f>SUM(G13+G17+G24)</f>
        <v>18676</v>
      </c>
      <c r="H12" s="553">
        <f>SUM(H13+H17+H24)</f>
        <v>18676</v>
      </c>
      <c r="I12" s="554"/>
    </row>
    <row r="13" spans="1:9" ht="28.5">
      <c r="A13" s="109" t="s">
        <v>461</v>
      </c>
      <c r="B13" s="62"/>
      <c r="C13" s="526" t="s">
        <v>460</v>
      </c>
      <c r="D13" s="526" t="s">
        <v>462</v>
      </c>
      <c r="E13" s="526"/>
      <c r="F13" s="527"/>
      <c r="G13" s="552">
        <f>SUM(G14)</f>
        <v>1725</v>
      </c>
      <c r="H13" s="553">
        <f>SUM(H14)</f>
        <v>1725</v>
      </c>
      <c r="I13" s="554"/>
    </row>
    <row r="14" spans="1:9" ht="42.75">
      <c r="A14" s="109" t="s">
        <v>99</v>
      </c>
      <c r="B14" s="62"/>
      <c r="C14" s="526" t="s">
        <v>460</v>
      </c>
      <c r="D14" s="526" t="s">
        <v>462</v>
      </c>
      <c r="E14" s="526" t="s">
        <v>100</v>
      </c>
      <c r="F14" s="527"/>
      <c r="G14" s="552">
        <f>SUM(G16)</f>
        <v>1725</v>
      </c>
      <c r="H14" s="553">
        <f>SUM(H16)</f>
        <v>1725</v>
      </c>
      <c r="I14" s="554"/>
    </row>
    <row r="15" spans="1:9" ht="15.75">
      <c r="A15" s="109" t="s">
        <v>101</v>
      </c>
      <c r="B15" s="62"/>
      <c r="C15" s="526" t="s">
        <v>460</v>
      </c>
      <c r="D15" s="526" t="s">
        <v>462</v>
      </c>
      <c r="E15" s="526" t="s">
        <v>102</v>
      </c>
      <c r="F15" s="527"/>
      <c r="G15" s="552">
        <f>SUM(G16)</f>
        <v>1725</v>
      </c>
      <c r="H15" s="553">
        <f>SUM(H16)</f>
        <v>1725</v>
      </c>
      <c r="I15" s="554"/>
    </row>
    <row r="16" spans="1:9" ht="28.5">
      <c r="A16" s="109" t="s">
        <v>495</v>
      </c>
      <c r="B16" s="62"/>
      <c r="C16" s="526" t="s">
        <v>460</v>
      </c>
      <c r="D16" s="526" t="s">
        <v>462</v>
      </c>
      <c r="E16" s="526" t="s">
        <v>102</v>
      </c>
      <c r="F16" s="527" t="s">
        <v>496</v>
      </c>
      <c r="G16" s="552">
        <v>1725</v>
      </c>
      <c r="H16" s="553">
        <v>1725</v>
      </c>
      <c r="I16" s="554"/>
    </row>
    <row r="17" spans="1:9" ht="42.75">
      <c r="A17" s="109" t="s">
        <v>105</v>
      </c>
      <c r="B17" s="62"/>
      <c r="C17" s="526" t="s">
        <v>460</v>
      </c>
      <c r="D17" s="526" t="s">
        <v>106</v>
      </c>
      <c r="E17" s="526"/>
      <c r="F17" s="527"/>
      <c r="G17" s="552">
        <f>SUM(G18)</f>
        <v>11092.1</v>
      </c>
      <c r="H17" s="553">
        <f>SUM(H18)</f>
        <v>11092.1</v>
      </c>
      <c r="I17" s="554"/>
    </row>
    <row r="18" spans="1:9" ht="42.75">
      <c r="A18" s="109" t="s">
        <v>99</v>
      </c>
      <c r="B18" s="62"/>
      <c r="C18" s="526" t="s">
        <v>460</v>
      </c>
      <c r="D18" s="526" t="s">
        <v>106</v>
      </c>
      <c r="E18" s="526" t="s">
        <v>100</v>
      </c>
      <c r="F18" s="528"/>
      <c r="G18" s="552">
        <f>SUM(G19+G22)</f>
        <v>11092.1</v>
      </c>
      <c r="H18" s="553">
        <f>SUM(H19+H22)</f>
        <v>11092.1</v>
      </c>
      <c r="I18" s="554"/>
    </row>
    <row r="19" spans="1:9" ht="15.75">
      <c r="A19" s="109" t="s">
        <v>107</v>
      </c>
      <c r="B19" s="62"/>
      <c r="C19" s="526" t="s">
        <v>108</v>
      </c>
      <c r="D19" s="526" t="s">
        <v>106</v>
      </c>
      <c r="E19" s="526" t="s">
        <v>109</v>
      </c>
      <c r="F19" s="528"/>
      <c r="G19" s="552">
        <f>SUM(G20+G21)</f>
        <v>11092.1</v>
      </c>
      <c r="H19" s="553">
        <f>SUM(H20+H21)</f>
        <v>11092.1</v>
      </c>
      <c r="I19" s="554"/>
    </row>
    <row r="20" spans="1:9" ht="28.5">
      <c r="A20" s="109" t="s">
        <v>495</v>
      </c>
      <c r="B20" s="62"/>
      <c r="C20" s="526" t="s">
        <v>460</v>
      </c>
      <c r="D20" s="526" t="s">
        <v>106</v>
      </c>
      <c r="E20" s="526" t="s">
        <v>109</v>
      </c>
      <c r="F20" s="527" t="s">
        <v>496</v>
      </c>
      <c r="G20" s="552">
        <v>11085</v>
      </c>
      <c r="H20" s="553">
        <v>11085</v>
      </c>
      <c r="I20" s="554"/>
    </row>
    <row r="21" spans="1:9" ht="14.25" customHeight="1">
      <c r="A21" s="109" t="s">
        <v>500</v>
      </c>
      <c r="B21" s="62"/>
      <c r="C21" s="526" t="s">
        <v>460</v>
      </c>
      <c r="D21" s="526" t="s">
        <v>106</v>
      </c>
      <c r="E21" s="526" t="s">
        <v>109</v>
      </c>
      <c r="F21" s="527" t="s">
        <v>120</v>
      </c>
      <c r="G21" s="555">
        <v>7.1</v>
      </c>
      <c r="H21" s="556">
        <v>7.1</v>
      </c>
      <c r="I21" s="554"/>
    </row>
    <row r="22" spans="1:9" ht="15.75" hidden="1">
      <c r="A22" s="109" t="s">
        <v>110</v>
      </c>
      <c r="B22" s="62"/>
      <c r="C22" s="526" t="s">
        <v>108</v>
      </c>
      <c r="D22" s="526" t="s">
        <v>106</v>
      </c>
      <c r="E22" s="526" t="s">
        <v>111</v>
      </c>
      <c r="F22" s="527"/>
      <c r="G22" s="552">
        <f>SUM(G23)</f>
        <v>0</v>
      </c>
      <c r="H22" s="553">
        <f>SUM(H23)</f>
        <v>0</v>
      </c>
      <c r="I22" s="554"/>
    </row>
    <row r="23" spans="1:9" ht="15.75" hidden="1">
      <c r="A23" s="109" t="s">
        <v>103</v>
      </c>
      <c r="B23" s="62"/>
      <c r="C23" s="526" t="s">
        <v>108</v>
      </c>
      <c r="D23" s="526" t="s">
        <v>106</v>
      </c>
      <c r="E23" s="526" t="s">
        <v>111</v>
      </c>
      <c r="F23" s="527" t="s">
        <v>104</v>
      </c>
      <c r="G23" s="552"/>
      <c r="H23" s="553"/>
      <c r="I23" s="554"/>
    </row>
    <row r="24" spans="1:9" ht="15.75">
      <c r="A24" s="109" t="s">
        <v>112</v>
      </c>
      <c r="B24" s="62"/>
      <c r="C24" s="526" t="s">
        <v>460</v>
      </c>
      <c r="D24" s="526" t="s">
        <v>236</v>
      </c>
      <c r="E24" s="526"/>
      <c r="F24" s="528"/>
      <c r="G24" s="552">
        <f>SUM(G25)</f>
        <v>5858.9</v>
      </c>
      <c r="H24" s="553">
        <f>SUM(H25)</f>
        <v>5858.9</v>
      </c>
      <c r="I24" s="554"/>
    </row>
    <row r="25" spans="1:9" ht="28.5">
      <c r="A25" s="109" t="s">
        <v>497</v>
      </c>
      <c r="B25" s="62"/>
      <c r="C25" s="526" t="s">
        <v>460</v>
      </c>
      <c r="D25" s="526" t="s">
        <v>236</v>
      </c>
      <c r="E25" s="526" t="s">
        <v>498</v>
      </c>
      <c r="F25" s="528"/>
      <c r="G25" s="552">
        <f>SUM(G26+G29+G31)</f>
        <v>5858.9</v>
      </c>
      <c r="H25" s="553">
        <f>SUM(H26+H29+H31)</f>
        <v>5858.9</v>
      </c>
      <c r="I25" s="554"/>
    </row>
    <row r="26" spans="1:9" ht="15">
      <c r="A26" s="109" t="s">
        <v>486</v>
      </c>
      <c r="B26" s="62"/>
      <c r="C26" s="526" t="s">
        <v>460</v>
      </c>
      <c r="D26" s="526" t="s">
        <v>236</v>
      </c>
      <c r="E26" s="526" t="s">
        <v>499</v>
      </c>
      <c r="F26" s="527"/>
      <c r="G26" s="555">
        <f>SUM(G27:G28)</f>
        <v>344.4</v>
      </c>
      <c r="H26" s="556">
        <f>SUM(H27:H28)</f>
        <v>344.4</v>
      </c>
      <c r="I26" s="12">
        <f aca="true" t="shared" si="0" ref="I26:I42">SUM(H26/G26*100)</f>
        <v>100</v>
      </c>
    </row>
    <row r="27" spans="1:9" ht="15">
      <c r="A27" s="109" t="s">
        <v>500</v>
      </c>
      <c r="B27" s="62"/>
      <c r="C27" s="526" t="s">
        <v>460</v>
      </c>
      <c r="D27" s="526" t="s">
        <v>236</v>
      </c>
      <c r="E27" s="526" t="s">
        <v>499</v>
      </c>
      <c r="F27" s="527" t="s">
        <v>120</v>
      </c>
      <c r="G27" s="555">
        <v>300</v>
      </c>
      <c r="H27" s="556">
        <v>300</v>
      </c>
      <c r="I27" s="12">
        <f t="shared" si="0"/>
        <v>100</v>
      </c>
    </row>
    <row r="28" spans="1:9" ht="15">
      <c r="A28" s="109" t="s">
        <v>501</v>
      </c>
      <c r="B28" s="62"/>
      <c r="C28" s="526" t="s">
        <v>460</v>
      </c>
      <c r="D28" s="526" t="s">
        <v>236</v>
      </c>
      <c r="E28" s="526" t="s">
        <v>499</v>
      </c>
      <c r="F28" s="527" t="s">
        <v>176</v>
      </c>
      <c r="G28" s="555">
        <v>44.4</v>
      </c>
      <c r="H28" s="556">
        <v>44.4</v>
      </c>
      <c r="I28" s="12">
        <f t="shared" si="0"/>
        <v>100</v>
      </c>
    </row>
    <row r="29" spans="1:9" ht="28.5">
      <c r="A29" s="109" t="s">
        <v>487</v>
      </c>
      <c r="B29" s="62"/>
      <c r="C29" s="526" t="s">
        <v>460</v>
      </c>
      <c r="D29" s="526" t="s">
        <v>236</v>
      </c>
      <c r="E29" s="526" t="s">
        <v>502</v>
      </c>
      <c r="F29" s="527"/>
      <c r="G29" s="555">
        <f>SUM(G30)</f>
        <v>84</v>
      </c>
      <c r="H29" s="556">
        <f>SUM(H30)</f>
        <v>84</v>
      </c>
      <c r="I29" s="12">
        <f t="shared" si="0"/>
        <v>100</v>
      </c>
    </row>
    <row r="30" spans="1:9" ht="15">
      <c r="A30" s="109" t="s">
        <v>500</v>
      </c>
      <c r="B30" s="62"/>
      <c r="C30" s="526" t="s">
        <v>460</v>
      </c>
      <c r="D30" s="526" t="s">
        <v>236</v>
      </c>
      <c r="E30" s="526" t="s">
        <v>502</v>
      </c>
      <c r="F30" s="527" t="s">
        <v>120</v>
      </c>
      <c r="G30" s="555">
        <v>84</v>
      </c>
      <c r="H30" s="556">
        <v>84</v>
      </c>
      <c r="I30" s="12">
        <f t="shared" si="0"/>
        <v>100</v>
      </c>
    </row>
    <row r="31" spans="1:9" ht="28.5">
      <c r="A31" s="110" t="s">
        <v>503</v>
      </c>
      <c r="B31" s="62"/>
      <c r="C31" s="526" t="s">
        <v>460</v>
      </c>
      <c r="D31" s="526" t="s">
        <v>236</v>
      </c>
      <c r="E31" s="526" t="s">
        <v>504</v>
      </c>
      <c r="F31" s="557"/>
      <c r="G31" s="552">
        <f>SUM(G32:G34)</f>
        <v>5430.5</v>
      </c>
      <c r="H31" s="553">
        <f>SUM(H32:H34)</f>
        <v>5430.5</v>
      </c>
      <c r="I31" s="12">
        <f t="shared" si="0"/>
        <v>100</v>
      </c>
    </row>
    <row r="32" spans="1:9" ht="15">
      <c r="A32" s="109" t="s">
        <v>500</v>
      </c>
      <c r="B32" s="62"/>
      <c r="C32" s="526" t="s">
        <v>460</v>
      </c>
      <c r="D32" s="526" t="s">
        <v>236</v>
      </c>
      <c r="E32" s="526" t="s">
        <v>504</v>
      </c>
      <c r="F32" s="557" t="s">
        <v>120</v>
      </c>
      <c r="G32" s="552">
        <v>4753.9</v>
      </c>
      <c r="H32" s="553">
        <v>4753.9</v>
      </c>
      <c r="I32" s="12">
        <f t="shared" si="0"/>
        <v>100</v>
      </c>
    </row>
    <row r="33" spans="1:9" ht="15">
      <c r="A33" s="109" t="s">
        <v>505</v>
      </c>
      <c r="B33" s="62"/>
      <c r="C33" s="526" t="s">
        <v>460</v>
      </c>
      <c r="D33" s="526" t="s">
        <v>236</v>
      </c>
      <c r="E33" s="526" t="s">
        <v>504</v>
      </c>
      <c r="F33" s="557" t="s">
        <v>506</v>
      </c>
      <c r="G33" s="552">
        <v>666.5</v>
      </c>
      <c r="H33" s="553">
        <v>666.5</v>
      </c>
      <c r="I33" s="12">
        <f t="shared" si="0"/>
        <v>100</v>
      </c>
    </row>
    <row r="34" spans="1:9" ht="15">
      <c r="A34" s="109" t="s">
        <v>501</v>
      </c>
      <c r="B34" s="62"/>
      <c r="C34" s="526" t="s">
        <v>460</v>
      </c>
      <c r="D34" s="526" t="s">
        <v>236</v>
      </c>
      <c r="E34" s="526" t="s">
        <v>504</v>
      </c>
      <c r="F34" s="557" t="s">
        <v>176</v>
      </c>
      <c r="G34" s="552">
        <v>10.1</v>
      </c>
      <c r="H34" s="553">
        <v>10.1</v>
      </c>
      <c r="I34" s="12">
        <f t="shared" si="0"/>
        <v>100</v>
      </c>
    </row>
    <row r="35" spans="1:9" ht="15.75">
      <c r="A35" s="111" t="s">
        <v>198</v>
      </c>
      <c r="B35" s="558" t="s">
        <v>199</v>
      </c>
      <c r="C35" s="524"/>
      <c r="D35" s="524"/>
      <c r="E35" s="524"/>
      <c r="F35" s="528"/>
      <c r="G35" s="559">
        <f aca="true" t="shared" si="1" ref="G35:H37">SUM(G36)</f>
        <v>5690.700000000001</v>
      </c>
      <c r="H35" s="560">
        <f t="shared" si="1"/>
        <v>5690.700000000001</v>
      </c>
      <c r="I35" s="15">
        <f t="shared" si="0"/>
        <v>100</v>
      </c>
    </row>
    <row r="36" spans="1:9" ht="15">
      <c r="A36" s="109" t="s">
        <v>459</v>
      </c>
      <c r="B36" s="62"/>
      <c r="C36" s="526" t="s">
        <v>460</v>
      </c>
      <c r="D36" s="526"/>
      <c r="E36" s="526"/>
      <c r="F36" s="527"/>
      <c r="G36" s="552">
        <f>SUM(G37)+G44</f>
        <v>5690.700000000001</v>
      </c>
      <c r="H36" s="553">
        <f>SUM(H37)+H44</f>
        <v>5690.700000000001</v>
      </c>
      <c r="I36" s="12">
        <f t="shared" si="0"/>
        <v>100</v>
      </c>
    </row>
    <row r="37" spans="1:9" ht="28.5">
      <c r="A37" s="110" t="s">
        <v>390</v>
      </c>
      <c r="B37" s="62"/>
      <c r="C37" s="526" t="s">
        <v>460</v>
      </c>
      <c r="D37" s="526" t="s">
        <v>391</v>
      </c>
      <c r="E37" s="526"/>
      <c r="F37" s="527"/>
      <c r="G37" s="552">
        <f t="shared" si="1"/>
        <v>5478.6</v>
      </c>
      <c r="H37" s="553">
        <f t="shared" si="1"/>
        <v>5478.6</v>
      </c>
      <c r="I37" s="12">
        <f t="shared" si="0"/>
        <v>100</v>
      </c>
    </row>
    <row r="38" spans="1:9" ht="42.75">
      <c r="A38" s="109" t="s">
        <v>99</v>
      </c>
      <c r="B38" s="62"/>
      <c r="C38" s="526" t="s">
        <v>460</v>
      </c>
      <c r="D38" s="526" t="s">
        <v>391</v>
      </c>
      <c r="E38" s="526" t="s">
        <v>100</v>
      </c>
      <c r="F38" s="528"/>
      <c r="G38" s="552">
        <f>SUM(G39+G42)</f>
        <v>5478.6</v>
      </c>
      <c r="H38" s="553">
        <f>SUM(H39+H42)</f>
        <v>5478.6</v>
      </c>
      <c r="I38" s="12">
        <f t="shared" si="0"/>
        <v>100</v>
      </c>
    </row>
    <row r="39" spans="1:9" ht="15">
      <c r="A39" s="109" t="s">
        <v>107</v>
      </c>
      <c r="B39" s="62"/>
      <c r="C39" s="526" t="s">
        <v>460</v>
      </c>
      <c r="D39" s="526" t="s">
        <v>391</v>
      </c>
      <c r="E39" s="526" t="s">
        <v>109</v>
      </c>
      <c r="F39" s="528"/>
      <c r="G39" s="552">
        <f>SUM(G40)+G41</f>
        <v>3786.6</v>
      </c>
      <c r="H39" s="553">
        <f>SUM(H40)+H41</f>
        <v>3786.6</v>
      </c>
      <c r="I39" s="12">
        <f t="shared" si="0"/>
        <v>100</v>
      </c>
    </row>
    <row r="40" spans="1:9" ht="28.5">
      <c r="A40" s="109" t="s">
        <v>495</v>
      </c>
      <c r="B40" s="62"/>
      <c r="C40" s="526" t="s">
        <v>460</v>
      </c>
      <c r="D40" s="526" t="s">
        <v>391</v>
      </c>
      <c r="E40" s="526" t="s">
        <v>109</v>
      </c>
      <c r="F40" s="527" t="s">
        <v>496</v>
      </c>
      <c r="G40" s="552">
        <f>3229.6+547.9</f>
        <v>3777.5</v>
      </c>
      <c r="H40" s="553">
        <f>3229.6+547.9</f>
        <v>3777.5</v>
      </c>
      <c r="I40" s="12">
        <f t="shared" si="0"/>
        <v>100</v>
      </c>
    </row>
    <row r="41" spans="1:9" s="13" customFormat="1" ht="15">
      <c r="A41" s="109" t="s">
        <v>500</v>
      </c>
      <c r="B41" s="62"/>
      <c r="C41" s="526" t="s">
        <v>460</v>
      </c>
      <c r="D41" s="526" t="s">
        <v>391</v>
      </c>
      <c r="E41" s="526" t="s">
        <v>109</v>
      </c>
      <c r="F41" s="527" t="s">
        <v>120</v>
      </c>
      <c r="G41" s="555">
        <f>8.3+0.8</f>
        <v>9.100000000000001</v>
      </c>
      <c r="H41" s="556">
        <f>8.3+0.8</f>
        <v>9.100000000000001</v>
      </c>
      <c r="I41" s="12">
        <f t="shared" si="0"/>
        <v>100</v>
      </c>
    </row>
    <row r="42" spans="1:9" s="13" customFormat="1" ht="28.5">
      <c r="A42" s="109" t="s">
        <v>394</v>
      </c>
      <c r="B42" s="62"/>
      <c r="C42" s="526" t="s">
        <v>108</v>
      </c>
      <c r="D42" s="526" t="s">
        <v>391</v>
      </c>
      <c r="E42" s="526" t="s">
        <v>395</v>
      </c>
      <c r="F42" s="557"/>
      <c r="G42" s="552">
        <f>SUM(G43)</f>
        <v>1692</v>
      </c>
      <c r="H42" s="553">
        <f>SUM(H43)</f>
        <v>1692</v>
      </c>
      <c r="I42" s="12">
        <f t="shared" si="0"/>
        <v>100</v>
      </c>
    </row>
    <row r="43" spans="1:9" s="13" customFormat="1" ht="28.5">
      <c r="A43" s="109" t="s">
        <v>495</v>
      </c>
      <c r="B43" s="62"/>
      <c r="C43" s="526" t="s">
        <v>108</v>
      </c>
      <c r="D43" s="526" t="s">
        <v>391</v>
      </c>
      <c r="E43" s="526" t="s">
        <v>395</v>
      </c>
      <c r="F43" s="527" t="s">
        <v>496</v>
      </c>
      <c r="G43" s="552">
        <v>1692</v>
      </c>
      <c r="H43" s="553">
        <v>1692</v>
      </c>
      <c r="I43" s="12"/>
    </row>
    <row r="44" spans="1:9" s="13" customFormat="1" ht="15">
      <c r="A44" s="109" t="s">
        <v>112</v>
      </c>
      <c r="B44" s="62"/>
      <c r="C44" s="526" t="s">
        <v>460</v>
      </c>
      <c r="D44" s="526" t="s">
        <v>236</v>
      </c>
      <c r="E44" s="526"/>
      <c r="F44" s="528"/>
      <c r="G44" s="552">
        <f>SUM(G45)</f>
        <v>212.10000000000002</v>
      </c>
      <c r="H44" s="553">
        <f>SUM(H45)</f>
        <v>212.10000000000002</v>
      </c>
      <c r="I44" s="12"/>
    </row>
    <row r="45" spans="1:9" s="13" customFormat="1" ht="28.5">
      <c r="A45" s="109" t="s">
        <v>497</v>
      </c>
      <c r="B45" s="62"/>
      <c r="C45" s="526" t="s">
        <v>460</v>
      </c>
      <c r="D45" s="526" t="s">
        <v>236</v>
      </c>
      <c r="E45" s="526" t="s">
        <v>498</v>
      </c>
      <c r="F45" s="528"/>
      <c r="G45" s="552">
        <f>SUM(G46+G49+G51)</f>
        <v>212.10000000000002</v>
      </c>
      <c r="H45" s="553">
        <f>SUM(H46+H49+H51)</f>
        <v>212.10000000000002</v>
      </c>
      <c r="I45" s="12"/>
    </row>
    <row r="46" spans="1:9" s="13" customFormat="1" ht="15">
      <c r="A46" s="109" t="s">
        <v>486</v>
      </c>
      <c r="B46" s="62"/>
      <c r="C46" s="526" t="s">
        <v>460</v>
      </c>
      <c r="D46" s="526" t="s">
        <v>236</v>
      </c>
      <c r="E46" s="526" t="s">
        <v>499</v>
      </c>
      <c r="F46" s="527"/>
      <c r="G46" s="555">
        <f>SUM(G47:G48)</f>
        <v>94.2</v>
      </c>
      <c r="H46" s="556">
        <f>SUM(H47:H48)</f>
        <v>94.2</v>
      </c>
      <c r="I46" s="12"/>
    </row>
    <row r="47" spans="1:9" s="13" customFormat="1" ht="15">
      <c r="A47" s="109" t="s">
        <v>500</v>
      </c>
      <c r="B47" s="62"/>
      <c r="C47" s="526" t="s">
        <v>460</v>
      </c>
      <c r="D47" s="526" t="s">
        <v>236</v>
      </c>
      <c r="E47" s="526" t="s">
        <v>499</v>
      </c>
      <c r="F47" s="527" t="s">
        <v>120</v>
      </c>
      <c r="G47" s="555">
        <v>91.4</v>
      </c>
      <c r="H47" s="556">
        <v>91.4</v>
      </c>
      <c r="I47" s="12">
        <f>SUM(H47/G47*100)</f>
        <v>100</v>
      </c>
    </row>
    <row r="48" spans="1:9" s="13" customFormat="1" ht="15">
      <c r="A48" s="109" t="s">
        <v>501</v>
      </c>
      <c r="B48" s="62"/>
      <c r="C48" s="526" t="s">
        <v>460</v>
      </c>
      <c r="D48" s="526" t="s">
        <v>236</v>
      </c>
      <c r="E48" s="526" t="s">
        <v>499</v>
      </c>
      <c r="F48" s="527" t="s">
        <v>176</v>
      </c>
      <c r="G48" s="555">
        <v>2.8</v>
      </c>
      <c r="H48" s="556">
        <v>2.8</v>
      </c>
      <c r="I48" s="12"/>
    </row>
    <row r="49" spans="1:9" s="13" customFormat="1" ht="28.5">
      <c r="A49" s="109" t="s">
        <v>487</v>
      </c>
      <c r="B49" s="62"/>
      <c r="C49" s="526" t="s">
        <v>460</v>
      </c>
      <c r="D49" s="526" t="s">
        <v>236</v>
      </c>
      <c r="E49" s="526" t="s">
        <v>502</v>
      </c>
      <c r="F49" s="527"/>
      <c r="G49" s="555">
        <f>SUM(G50)</f>
        <v>54.1</v>
      </c>
      <c r="H49" s="556">
        <f>SUM(H50)</f>
        <v>54.1</v>
      </c>
      <c r="I49" s="12"/>
    </row>
    <row r="50" spans="1:9" s="13" customFormat="1" ht="15">
      <c r="A50" s="109" t="s">
        <v>500</v>
      </c>
      <c r="B50" s="62"/>
      <c r="C50" s="526" t="s">
        <v>460</v>
      </c>
      <c r="D50" s="526" t="s">
        <v>236</v>
      </c>
      <c r="E50" s="526" t="s">
        <v>502</v>
      </c>
      <c r="F50" s="527" t="s">
        <v>120</v>
      </c>
      <c r="G50" s="555">
        <v>54.1</v>
      </c>
      <c r="H50" s="556">
        <v>54.1</v>
      </c>
      <c r="I50" s="12">
        <f>SUM(H50/G50*100)</f>
        <v>100</v>
      </c>
    </row>
    <row r="51" spans="1:9" s="13" customFormat="1" ht="28.5">
      <c r="A51" s="110" t="s">
        <v>503</v>
      </c>
      <c r="B51" s="62"/>
      <c r="C51" s="526" t="s">
        <v>460</v>
      </c>
      <c r="D51" s="526" t="s">
        <v>236</v>
      </c>
      <c r="E51" s="526" t="s">
        <v>504</v>
      </c>
      <c r="F51" s="557"/>
      <c r="G51" s="552">
        <f>SUM(G52:G53)</f>
        <v>63.800000000000004</v>
      </c>
      <c r="H51" s="553">
        <f>SUM(H52:H53)</f>
        <v>63.800000000000004</v>
      </c>
      <c r="I51" s="12"/>
    </row>
    <row r="52" spans="1:9" s="13" customFormat="1" ht="15">
      <c r="A52" s="109" t="s">
        <v>500</v>
      </c>
      <c r="B52" s="62"/>
      <c r="C52" s="526" t="s">
        <v>460</v>
      </c>
      <c r="D52" s="526" t="s">
        <v>236</v>
      </c>
      <c r="E52" s="526" t="s">
        <v>504</v>
      </c>
      <c r="F52" s="557" t="s">
        <v>120</v>
      </c>
      <c r="G52" s="552">
        <v>57.2</v>
      </c>
      <c r="H52" s="553">
        <v>57.2</v>
      </c>
      <c r="I52" s="12"/>
    </row>
    <row r="53" spans="1:9" s="13" customFormat="1" ht="15">
      <c r="A53" s="109" t="s">
        <v>501</v>
      </c>
      <c r="B53" s="62"/>
      <c r="C53" s="526" t="s">
        <v>460</v>
      </c>
      <c r="D53" s="526" t="s">
        <v>236</v>
      </c>
      <c r="E53" s="526" t="s">
        <v>504</v>
      </c>
      <c r="F53" s="557" t="s">
        <v>176</v>
      </c>
      <c r="G53" s="552">
        <v>6.6</v>
      </c>
      <c r="H53" s="553">
        <v>6.6</v>
      </c>
      <c r="I53" s="12"/>
    </row>
    <row r="54" spans="1:9" ht="15.75">
      <c r="A54" s="112" t="s">
        <v>200</v>
      </c>
      <c r="B54" s="561" t="s">
        <v>201</v>
      </c>
      <c r="C54" s="562"/>
      <c r="D54" s="562"/>
      <c r="E54" s="562"/>
      <c r="F54" s="563"/>
      <c r="G54" s="564">
        <f>SUM(G55+G98+G131+G164+G247+G257+G262+G274)</f>
        <v>381274.4999999999</v>
      </c>
      <c r="H54" s="565">
        <f>SUM(H55+H98+H131+H164+H247+H257+H262+H274)</f>
        <v>376219.93999999994</v>
      </c>
      <c r="I54" s="15">
        <f aca="true" t="shared" si="2" ref="I54:I75">SUM(H54/G54*100)</f>
        <v>98.67429896308305</v>
      </c>
    </row>
    <row r="55" spans="1:9" ht="15">
      <c r="A55" s="109" t="s">
        <v>459</v>
      </c>
      <c r="B55" s="62"/>
      <c r="C55" s="526" t="s">
        <v>460</v>
      </c>
      <c r="D55" s="526"/>
      <c r="E55" s="526"/>
      <c r="F55" s="527"/>
      <c r="G55" s="137">
        <f>SUM(G56+G79+G75)</f>
        <v>115383.2</v>
      </c>
      <c r="H55" s="137">
        <f>SUM(H56+H79+H75)</f>
        <v>115426.34</v>
      </c>
      <c r="I55" s="12">
        <f t="shared" si="2"/>
        <v>100.03738845863175</v>
      </c>
    </row>
    <row r="56" spans="1:9" ht="28.5">
      <c r="A56" s="109" t="s">
        <v>256</v>
      </c>
      <c r="B56" s="62"/>
      <c r="C56" s="526" t="s">
        <v>460</v>
      </c>
      <c r="D56" s="526" t="s">
        <v>122</v>
      </c>
      <c r="E56" s="526"/>
      <c r="F56" s="527"/>
      <c r="G56" s="137">
        <f>SUM(G57)</f>
        <v>96220.2</v>
      </c>
      <c r="H56" s="137">
        <f>SUM(H57)</f>
        <v>96220.2</v>
      </c>
      <c r="I56" s="12">
        <f t="shared" si="2"/>
        <v>100</v>
      </c>
    </row>
    <row r="57" spans="1:9" ht="42.75">
      <c r="A57" s="109" t="s">
        <v>99</v>
      </c>
      <c r="B57" s="62"/>
      <c r="C57" s="526" t="s">
        <v>460</v>
      </c>
      <c r="D57" s="526" t="s">
        <v>122</v>
      </c>
      <c r="E57" s="526" t="s">
        <v>100</v>
      </c>
      <c r="F57" s="528"/>
      <c r="G57" s="137">
        <f>SUM(G58+G73+G61+G64+G67+G70)</f>
        <v>96220.2</v>
      </c>
      <c r="H57" s="137">
        <f>SUM(H58+H73+H61+H64+H67+H70)</f>
        <v>96220.2</v>
      </c>
      <c r="I57" s="12">
        <f t="shared" si="2"/>
        <v>100</v>
      </c>
    </row>
    <row r="58" spans="1:9" ht="15">
      <c r="A58" s="109" t="s">
        <v>107</v>
      </c>
      <c r="B58" s="62"/>
      <c r="C58" s="526" t="s">
        <v>460</v>
      </c>
      <c r="D58" s="526" t="s">
        <v>122</v>
      </c>
      <c r="E58" s="526" t="s">
        <v>109</v>
      </c>
      <c r="F58" s="528"/>
      <c r="G58" s="137">
        <f>SUM(G59+G60)</f>
        <v>92956.3</v>
      </c>
      <c r="H58" s="137">
        <f>SUM(H59+H60)</f>
        <v>92956.3</v>
      </c>
      <c r="I58" s="12">
        <f t="shared" si="2"/>
        <v>100</v>
      </c>
    </row>
    <row r="59" spans="1:9" ht="28.5">
      <c r="A59" s="109" t="s">
        <v>495</v>
      </c>
      <c r="B59" s="62"/>
      <c r="C59" s="526" t="s">
        <v>460</v>
      </c>
      <c r="D59" s="526" t="s">
        <v>122</v>
      </c>
      <c r="E59" s="526" t="s">
        <v>109</v>
      </c>
      <c r="F59" s="527" t="s">
        <v>496</v>
      </c>
      <c r="G59" s="137">
        <f>93407.5-547.9</f>
        <v>92859.6</v>
      </c>
      <c r="H59" s="137">
        <f>93407.5-547.9</f>
        <v>92859.6</v>
      </c>
      <c r="I59" s="12">
        <f t="shared" si="2"/>
        <v>100</v>
      </c>
    </row>
    <row r="60" spans="1:9" ht="15">
      <c r="A60" s="109" t="s">
        <v>500</v>
      </c>
      <c r="B60" s="62"/>
      <c r="C60" s="526" t="s">
        <v>460</v>
      </c>
      <c r="D60" s="526" t="s">
        <v>122</v>
      </c>
      <c r="E60" s="526" t="s">
        <v>109</v>
      </c>
      <c r="F60" s="527" t="s">
        <v>120</v>
      </c>
      <c r="G60" s="138">
        <f>97.5-0.8</f>
        <v>96.7</v>
      </c>
      <c r="H60" s="138">
        <f>97.5-0.8</f>
        <v>96.7</v>
      </c>
      <c r="I60" s="12">
        <f t="shared" si="2"/>
        <v>100</v>
      </c>
    </row>
    <row r="61" spans="1:9" ht="28.5">
      <c r="A61" s="109" t="s">
        <v>126</v>
      </c>
      <c r="B61" s="62"/>
      <c r="C61" s="526" t="s">
        <v>460</v>
      </c>
      <c r="D61" s="526" t="s">
        <v>122</v>
      </c>
      <c r="E61" s="526" t="s">
        <v>127</v>
      </c>
      <c r="F61" s="527"/>
      <c r="G61" s="137">
        <f>SUM(G62:G63)</f>
        <v>1392.3999999999999</v>
      </c>
      <c r="H61" s="137">
        <f>SUM(H62:H63)</f>
        <v>1392.3999999999999</v>
      </c>
      <c r="I61" s="12">
        <f t="shared" si="2"/>
        <v>100</v>
      </c>
    </row>
    <row r="62" spans="1:9" ht="28.5">
      <c r="A62" s="109" t="s">
        <v>495</v>
      </c>
      <c r="B62" s="62"/>
      <c r="C62" s="526" t="s">
        <v>460</v>
      </c>
      <c r="D62" s="526" t="s">
        <v>122</v>
      </c>
      <c r="E62" s="526" t="s">
        <v>127</v>
      </c>
      <c r="F62" s="527" t="s">
        <v>496</v>
      </c>
      <c r="G62" s="137">
        <v>1368.8</v>
      </c>
      <c r="H62" s="137">
        <v>1368.8</v>
      </c>
      <c r="I62" s="12">
        <f t="shared" si="2"/>
        <v>100</v>
      </c>
    </row>
    <row r="63" spans="1:9" ht="15">
      <c r="A63" s="109" t="s">
        <v>500</v>
      </c>
      <c r="B63" s="62"/>
      <c r="C63" s="526" t="s">
        <v>460</v>
      </c>
      <c r="D63" s="526" t="s">
        <v>122</v>
      </c>
      <c r="E63" s="526" t="s">
        <v>127</v>
      </c>
      <c r="F63" s="527" t="s">
        <v>120</v>
      </c>
      <c r="G63" s="138">
        <v>23.6</v>
      </c>
      <c r="H63" s="138">
        <v>23.6</v>
      </c>
      <c r="I63" s="12"/>
    </row>
    <row r="64" spans="1:9" ht="42.75">
      <c r="A64" s="109" t="s">
        <v>383</v>
      </c>
      <c r="B64" s="62"/>
      <c r="C64" s="526" t="s">
        <v>460</v>
      </c>
      <c r="D64" s="526" t="s">
        <v>122</v>
      </c>
      <c r="E64" s="526" t="s">
        <v>384</v>
      </c>
      <c r="F64" s="527"/>
      <c r="G64" s="137">
        <f>SUM(G65:G66)</f>
        <v>93.8</v>
      </c>
      <c r="H64" s="137">
        <f>SUM(H65:H66)</f>
        <v>93.8</v>
      </c>
      <c r="I64" s="12">
        <f>SUM(H64/G64*100)</f>
        <v>100</v>
      </c>
    </row>
    <row r="65" spans="1:9" ht="28.5">
      <c r="A65" s="109" t="s">
        <v>495</v>
      </c>
      <c r="B65" s="62"/>
      <c r="C65" s="526" t="s">
        <v>460</v>
      </c>
      <c r="D65" s="526" t="s">
        <v>122</v>
      </c>
      <c r="E65" s="526" t="s">
        <v>384</v>
      </c>
      <c r="F65" s="527" t="s">
        <v>496</v>
      </c>
      <c r="G65" s="137">
        <v>72.3</v>
      </c>
      <c r="H65" s="137">
        <v>72.3</v>
      </c>
      <c r="I65" s="12"/>
    </row>
    <row r="66" spans="1:9" s="14" customFormat="1" ht="15">
      <c r="A66" s="109" t="s">
        <v>500</v>
      </c>
      <c r="B66" s="62"/>
      <c r="C66" s="526" t="s">
        <v>460</v>
      </c>
      <c r="D66" s="526" t="s">
        <v>122</v>
      </c>
      <c r="E66" s="526" t="s">
        <v>384</v>
      </c>
      <c r="F66" s="527" t="s">
        <v>120</v>
      </c>
      <c r="G66" s="138">
        <v>21.5</v>
      </c>
      <c r="H66" s="138">
        <v>21.5</v>
      </c>
      <c r="I66" s="12">
        <f>SUM(H66/G66*100)</f>
        <v>100</v>
      </c>
    </row>
    <row r="67" spans="1:9" s="14" customFormat="1" ht="28.5">
      <c r="A67" s="113" t="s">
        <v>60</v>
      </c>
      <c r="B67" s="529"/>
      <c r="C67" s="524" t="s">
        <v>460</v>
      </c>
      <c r="D67" s="524" t="s">
        <v>122</v>
      </c>
      <c r="E67" s="524" t="s">
        <v>61</v>
      </c>
      <c r="F67" s="528"/>
      <c r="G67" s="137">
        <f>SUM(G68:G69)</f>
        <v>179.6</v>
      </c>
      <c r="H67" s="137">
        <f>SUM(H68:H69)</f>
        <v>179.6</v>
      </c>
      <c r="I67" s="12"/>
    </row>
    <row r="68" spans="1:9" s="14" customFormat="1" ht="28.5">
      <c r="A68" s="109" t="s">
        <v>495</v>
      </c>
      <c r="B68" s="62"/>
      <c r="C68" s="526" t="s">
        <v>460</v>
      </c>
      <c r="D68" s="526" t="s">
        <v>122</v>
      </c>
      <c r="E68" s="524" t="s">
        <v>61</v>
      </c>
      <c r="F68" s="527" t="s">
        <v>496</v>
      </c>
      <c r="G68" s="137">
        <v>140</v>
      </c>
      <c r="H68" s="137">
        <v>140</v>
      </c>
      <c r="I68" s="12"/>
    </row>
    <row r="69" spans="1:9" s="14" customFormat="1" ht="15">
      <c r="A69" s="109" t="s">
        <v>500</v>
      </c>
      <c r="B69" s="62"/>
      <c r="C69" s="526" t="s">
        <v>460</v>
      </c>
      <c r="D69" s="526" t="s">
        <v>122</v>
      </c>
      <c r="E69" s="524" t="s">
        <v>61</v>
      </c>
      <c r="F69" s="527" t="s">
        <v>120</v>
      </c>
      <c r="G69" s="138">
        <v>39.6</v>
      </c>
      <c r="H69" s="138">
        <v>39.6</v>
      </c>
      <c r="I69" s="12"/>
    </row>
    <row r="70" spans="1:9" s="13" customFormat="1" ht="28.5">
      <c r="A70" s="113" t="s">
        <v>148</v>
      </c>
      <c r="B70" s="529"/>
      <c r="C70" s="524" t="s">
        <v>460</v>
      </c>
      <c r="D70" s="524" t="s">
        <v>122</v>
      </c>
      <c r="E70" s="524" t="s">
        <v>149</v>
      </c>
      <c r="F70" s="528"/>
      <c r="G70" s="137">
        <f>SUM(G71:G72)</f>
        <v>357.70000000000005</v>
      </c>
      <c r="H70" s="137">
        <f>SUM(H71:H72)</f>
        <v>357.70000000000005</v>
      </c>
      <c r="I70" s="12">
        <f t="shared" si="2"/>
        <v>100</v>
      </c>
    </row>
    <row r="71" spans="1:9" s="13" customFormat="1" ht="28.5">
      <c r="A71" s="109" t="s">
        <v>495</v>
      </c>
      <c r="B71" s="62"/>
      <c r="C71" s="526" t="s">
        <v>460</v>
      </c>
      <c r="D71" s="526" t="s">
        <v>122</v>
      </c>
      <c r="E71" s="524" t="s">
        <v>149</v>
      </c>
      <c r="F71" s="527" t="s">
        <v>496</v>
      </c>
      <c r="G71" s="137">
        <v>288.8</v>
      </c>
      <c r="H71" s="137">
        <v>288.8</v>
      </c>
      <c r="I71" s="12">
        <f t="shared" si="2"/>
        <v>100</v>
      </c>
    </row>
    <row r="72" spans="1:9" s="13" customFormat="1" ht="15">
      <c r="A72" s="109" t="s">
        <v>500</v>
      </c>
      <c r="B72" s="62"/>
      <c r="C72" s="526" t="s">
        <v>460</v>
      </c>
      <c r="D72" s="526" t="s">
        <v>122</v>
      </c>
      <c r="E72" s="524" t="s">
        <v>149</v>
      </c>
      <c r="F72" s="527" t="s">
        <v>120</v>
      </c>
      <c r="G72" s="138">
        <v>68.9</v>
      </c>
      <c r="H72" s="138">
        <v>68.9</v>
      </c>
      <c r="I72" s="12">
        <f t="shared" si="2"/>
        <v>100</v>
      </c>
    </row>
    <row r="73" spans="1:9" s="13" customFormat="1" ht="28.5">
      <c r="A73" s="109" t="s">
        <v>385</v>
      </c>
      <c r="B73" s="62"/>
      <c r="C73" s="526" t="s">
        <v>108</v>
      </c>
      <c r="D73" s="526" t="s">
        <v>122</v>
      </c>
      <c r="E73" s="526" t="s">
        <v>386</v>
      </c>
      <c r="F73" s="528"/>
      <c r="G73" s="137">
        <f>SUM(G74)</f>
        <v>1240.4</v>
      </c>
      <c r="H73" s="137">
        <f>SUM(H74)</f>
        <v>1240.4</v>
      </c>
      <c r="I73" s="12">
        <f t="shared" si="2"/>
        <v>100</v>
      </c>
    </row>
    <row r="74" spans="1:9" s="13" customFormat="1" ht="28.5">
      <c r="A74" s="109" t="s">
        <v>495</v>
      </c>
      <c r="B74" s="62"/>
      <c r="C74" s="526" t="s">
        <v>460</v>
      </c>
      <c r="D74" s="526" t="s">
        <v>122</v>
      </c>
      <c r="E74" s="526" t="s">
        <v>386</v>
      </c>
      <c r="F74" s="527" t="s">
        <v>496</v>
      </c>
      <c r="G74" s="137">
        <v>1240.4</v>
      </c>
      <c r="H74" s="137">
        <v>1240.4</v>
      </c>
      <c r="I74" s="12">
        <f t="shared" si="2"/>
        <v>100</v>
      </c>
    </row>
    <row r="75" spans="1:9" s="13" customFormat="1" ht="15">
      <c r="A75" s="109" t="s">
        <v>130</v>
      </c>
      <c r="B75" s="62"/>
      <c r="C75" s="526" t="s">
        <v>460</v>
      </c>
      <c r="D75" s="526" t="s">
        <v>131</v>
      </c>
      <c r="E75" s="526"/>
      <c r="F75" s="528"/>
      <c r="G75" s="137">
        <f aca="true" t="shared" si="3" ref="G75:H77">SUM(G76)</f>
        <v>0</v>
      </c>
      <c r="H75" s="137">
        <f t="shared" si="3"/>
        <v>43.14</v>
      </c>
      <c r="I75" s="12" t="e">
        <f t="shared" si="2"/>
        <v>#DIV/0!</v>
      </c>
    </row>
    <row r="76" spans="1:9" s="13" customFormat="1" ht="15">
      <c r="A76" s="113" t="s">
        <v>410</v>
      </c>
      <c r="B76" s="148"/>
      <c r="C76" s="566" t="s">
        <v>460</v>
      </c>
      <c r="D76" s="566" t="s">
        <v>131</v>
      </c>
      <c r="E76" s="566" t="s">
        <v>411</v>
      </c>
      <c r="F76" s="567"/>
      <c r="G76" s="137">
        <f t="shared" si="3"/>
        <v>0</v>
      </c>
      <c r="H76" s="137">
        <f t="shared" si="3"/>
        <v>43.14</v>
      </c>
      <c r="I76" s="12" t="e">
        <f>SUM(H76/#REF!*100)</f>
        <v>#REF!</v>
      </c>
    </row>
    <row r="77" spans="1:9" s="13" customFormat="1" ht="42.75">
      <c r="A77" s="113" t="s">
        <v>1040</v>
      </c>
      <c r="B77" s="148"/>
      <c r="C77" s="566" t="s">
        <v>460</v>
      </c>
      <c r="D77" s="566" t="s">
        <v>131</v>
      </c>
      <c r="E77" s="566" t="s">
        <v>1041</v>
      </c>
      <c r="F77" s="567"/>
      <c r="G77" s="137">
        <f t="shared" si="3"/>
        <v>0</v>
      </c>
      <c r="H77" s="137">
        <f t="shared" si="3"/>
        <v>43.14</v>
      </c>
      <c r="I77" s="12" t="e">
        <f>SUM(H77/#REF!*100)</f>
        <v>#REF!</v>
      </c>
    </row>
    <row r="78" spans="1:9" ht="15">
      <c r="A78" s="113" t="s">
        <v>500</v>
      </c>
      <c r="B78" s="148"/>
      <c r="C78" s="566" t="s">
        <v>460</v>
      </c>
      <c r="D78" s="566" t="s">
        <v>131</v>
      </c>
      <c r="E78" s="566" t="s">
        <v>1041</v>
      </c>
      <c r="F78" s="567" t="s">
        <v>120</v>
      </c>
      <c r="G78" s="568"/>
      <c r="H78" s="569">
        <v>43.14</v>
      </c>
      <c r="I78" s="12">
        <f>SUM(H78/G79*100)</f>
        <v>0.2251213275583155</v>
      </c>
    </row>
    <row r="79" spans="1:9" ht="15">
      <c r="A79" s="109" t="s">
        <v>112</v>
      </c>
      <c r="B79" s="62"/>
      <c r="C79" s="526" t="s">
        <v>460</v>
      </c>
      <c r="D79" s="526" t="s">
        <v>236</v>
      </c>
      <c r="E79" s="526"/>
      <c r="F79" s="528"/>
      <c r="G79" s="137">
        <f>SUM(G80+G91)</f>
        <v>19163</v>
      </c>
      <c r="H79" s="137">
        <f>SUM(H80+H91)</f>
        <v>19163</v>
      </c>
      <c r="I79" s="12">
        <f aca="true" t="shared" si="4" ref="I79:I94">SUM(H79/G82*100)</f>
        <v>634.8096862887999</v>
      </c>
    </row>
    <row r="80" spans="1:9" ht="28.5">
      <c r="A80" s="113" t="s">
        <v>497</v>
      </c>
      <c r="B80" s="570"/>
      <c r="C80" s="566" t="s">
        <v>460</v>
      </c>
      <c r="D80" s="566" t="s">
        <v>236</v>
      </c>
      <c r="E80" s="566" t="s">
        <v>498</v>
      </c>
      <c r="F80" s="571"/>
      <c r="G80" s="572">
        <f>G81+G84+G86+G88</f>
        <v>16884.6</v>
      </c>
      <c r="H80" s="572">
        <f>H81+H84+H86+H88</f>
        <v>16884.6</v>
      </c>
      <c r="I80" s="12">
        <f t="shared" si="4"/>
        <v>22755.525606469</v>
      </c>
    </row>
    <row r="81" spans="1:9" ht="15">
      <c r="A81" s="113" t="s">
        <v>486</v>
      </c>
      <c r="B81" s="148"/>
      <c r="C81" s="566" t="s">
        <v>460</v>
      </c>
      <c r="D81" s="566" t="s">
        <v>236</v>
      </c>
      <c r="E81" s="566" t="s">
        <v>499</v>
      </c>
      <c r="F81" s="567"/>
      <c r="G81" s="572">
        <f>G82+G83</f>
        <v>3092.8999999999996</v>
      </c>
      <c r="H81" s="572">
        <f>H82+H83</f>
        <v>3092.8999999999996</v>
      </c>
      <c r="I81" s="12">
        <f t="shared" si="4"/>
        <v>67.04311447337045</v>
      </c>
    </row>
    <row r="82" spans="1:9" ht="15">
      <c r="A82" s="113" t="s">
        <v>500</v>
      </c>
      <c r="B82" s="148"/>
      <c r="C82" s="566" t="s">
        <v>460</v>
      </c>
      <c r="D82" s="566" t="s">
        <v>236</v>
      </c>
      <c r="E82" s="566" t="s">
        <v>499</v>
      </c>
      <c r="F82" s="567" t="s">
        <v>120</v>
      </c>
      <c r="G82" s="572">
        <v>3018.7</v>
      </c>
      <c r="H82" s="572">
        <v>3018.7</v>
      </c>
      <c r="I82" s="12">
        <f t="shared" si="4"/>
        <v>65.43472134914269</v>
      </c>
    </row>
    <row r="83" spans="1:9" ht="15">
      <c r="A83" s="113" t="s">
        <v>501</v>
      </c>
      <c r="B83" s="148"/>
      <c r="C83" s="566" t="s">
        <v>460</v>
      </c>
      <c r="D83" s="566" t="s">
        <v>236</v>
      </c>
      <c r="E83" s="566" t="s">
        <v>499</v>
      </c>
      <c r="F83" s="567" t="s">
        <v>176</v>
      </c>
      <c r="G83" s="572">
        <v>74.2</v>
      </c>
      <c r="H83" s="572">
        <v>74.2</v>
      </c>
      <c r="I83" s="12" t="e">
        <f t="shared" si="4"/>
        <v>#DIV/0!</v>
      </c>
    </row>
    <row r="84" spans="1:9" ht="28.5">
      <c r="A84" s="113" t="s">
        <v>487</v>
      </c>
      <c r="B84" s="148"/>
      <c r="C84" s="566" t="s">
        <v>460</v>
      </c>
      <c r="D84" s="566" t="s">
        <v>236</v>
      </c>
      <c r="E84" s="566" t="s">
        <v>502</v>
      </c>
      <c r="F84" s="567"/>
      <c r="G84" s="572">
        <f>SUM(G85)</f>
        <v>4613.3</v>
      </c>
      <c r="H84" s="572">
        <f>SUM(H85)</f>
        <v>4613.3</v>
      </c>
      <c r="I84" s="12" t="e">
        <f t="shared" si="4"/>
        <v>#DIV/0!</v>
      </c>
    </row>
    <row r="85" spans="1:9" ht="15">
      <c r="A85" s="113" t="s">
        <v>500</v>
      </c>
      <c r="B85" s="148"/>
      <c r="C85" s="566" t="s">
        <v>460</v>
      </c>
      <c r="D85" s="566" t="s">
        <v>236</v>
      </c>
      <c r="E85" s="566" t="s">
        <v>502</v>
      </c>
      <c r="F85" s="567" t="s">
        <v>120</v>
      </c>
      <c r="G85" s="572">
        <v>4613.3</v>
      </c>
      <c r="H85" s="572">
        <v>4613.3</v>
      </c>
      <c r="I85" s="12">
        <f t="shared" si="4"/>
        <v>50.26257299747233</v>
      </c>
    </row>
    <row r="86" spans="1:9" ht="28.5" hidden="1">
      <c r="A86" s="113" t="s">
        <v>522</v>
      </c>
      <c r="B86" s="148"/>
      <c r="C86" s="566" t="s">
        <v>460</v>
      </c>
      <c r="D86" s="566" t="s">
        <v>236</v>
      </c>
      <c r="E86" s="566" t="s">
        <v>523</v>
      </c>
      <c r="F86" s="567"/>
      <c r="G86" s="572">
        <f>SUM(G87)</f>
        <v>0</v>
      </c>
      <c r="H86" s="572">
        <f>SUM(H87)</f>
        <v>0</v>
      </c>
      <c r="I86" s="12">
        <f t="shared" si="4"/>
        <v>0</v>
      </c>
    </row>
    <row r="87" spans="1:9" ht="15" hidden="1">
      <c r="A87" s="113" t="s">
        <v>500</v>
      </c>
      <c r="B87" s="148"/>
      <c r="C87" s="566" t="s">
        <v>460</v>
      </c>
      <c r="D87" s="566" t="s">
        <v>236</v>
      </c>
      <c r="E87" s="566" t="s">
        <v>523</v>
      </c>
      <c r="F87" s="567" t="s">
        <v>120</v>
      </c>
      <c r="G87" s="572"/>
      <c r="H87" s="572"/>
      <c r="I87" s="12">
        <f t="shared" si="4"/>
        <v>0</v>
      </c>
    </row>
    <row r="88" spans="1:9" ht="28.5">
      <c r="A88" s="113" t="s">
        <v>503</v>
      </c>
      <c r="B88" s="148"/>
      <c r="C88" s="566" t="s">
        <v>460</v>
      </c>
      <c r="D88" s="566" t="s">
        <v>236</v>
      </c>
      <c r="E88" s="566" t="s">
        <v>504</v>
      </c>
      <c r="F88" s="567"/>
      <c r="G88" s="572">
        <f>G89+G90</f>
        <v>9178.4</v>
      </c>
      <c r="H88" s="572">
        <f>H89+H90</f>
        <v>9178.4</v>
      </c>
      <c r="I88" s="12">
        <f t="shared" si="4"/>
        <v>402.8441011235954</v>
      </c>
    </row>
    <row r="89" spans="1:9" ht="15">
      <c r="A89" s="113" t="s">
        <v>500</v>
      </c>
      <c r="B89" s="148"/>
      <c r="C89" s="566" t="s">
        <v>460</v>
      </c>
      <c r="D89" s="566" t="s">
        <v>236</v>
      </c>
      <c r="E89" s="566" t="s">
        <v>504</v>
      </c>
      <c r="F89" s="567" t="s">
        <v>120</v>
      </c>
      <c r="G89" s="572">
        <v>6568.8</v>
      </c>
      <c r="H89" s="572">
        <v>6568.8</v>
      </c>
      <c r="I89" s="12">
        <f t="shared" si="4"/>
        <v>288.3075842696629</v>
      </c>
    </row>
    <row r="90" spans="1:9" ht="15">
      <c r="A90" s="113" t="s">
        <v>501</v>
      </c>
      <c r="B90" s="148"/>
      <c r="C90" s="566" t="s">
        <v>460</v>
      </c>
      <c r="D90" s="566" t="s">
        <v>236</v>
      </c>
      <c r="E90" s="566" t="s">
        <v>504</v>
      </c>
      <c r="F90" s="567" t="s">
        <v>176</v>
      </c>
      <c r="G90" s="572">
        <v>2609.6</v>
      </c>
      <c r="H90" s="572">
        <v>2609.6</v>
      </c>
      <c r="I90" s="12">
        <f t="shared" si="4"/>
        <v>119.00766143743158</v>
      </c>
    </row>
    <row r="91" spans="1:9" ht="28.5">
      <c r="A91" s="113" t="s">
        <v>599</v>
      </c>
      <c r="B91" s="148"/>
      <c r="C91" s="566" t="s">
        <v>460</v>
      </c>
      <c r="D91" s="566" t="s">
        <v>236</v>
      </c>
      <c r="E91" s="566" t="s">
        <v>136</v>
      </c>
      <c r="F91" s="567"/>
      <c r="G91" s="572">
        <f>G92</f>
        <v>2278.4</v>
      </c>
      <c r="H91" s="572">
        <f>H92</f>
        <v>2278.4</v>
      </c>
      <c r="I91" s="12">
        <f t="shared" si="4"/>
        <v>103.90368478657423</v>
      </c>
    </row>
    <row r="92" spans="1:9" ht="15">
      <c r="A92" s="113" t="s">
        <v>15</v>
      </c>
      <c r="B92" s="148"/>
      <c r="C92" s="566" t="s">
        <v>460</v>
      </c>
      <c r="D92" s="566" t="s">
        <v>236</v>
      </c>
      <c r="E92" s="566" t="s">
        <v>204</v>
      </c>
      <c r="F92" s="567"/>
      <c r="G92" s="572">
        <f>G93+G95</f>
        <v>2278.4</v>
      </c>
      <c r="H92" s="572">
        <f>H93+H95</f>
        <v>2278.4</v>
      </c>
      <c r="I92" s="12">
        <f t="shared" si="4"/>
        <v>2661.6822429906547</v>
      </c>
    </row>
    <row r="93" spans="1:9" ht="28.5">
      <c r="A93" s="161" t="s">
        <v>633</v>
      </c>
      <c r="B93" s="148"/>
      <c r="C93" s="566" t="s">
        <v>460</v>
      </c>
      <c r="D93" s="566" t="s">
        <v>236</v>
      </c>
      <c r="E93" s="566" t="s">
        <v>206</v>
      </c>
      <c r="F93" s="567"/>
      <c r="G93" s="572">
        <f>SUM(G94)</f>
        <v>2192.8</v>
      </c>
      <c r="H93" s="572">
        <f>SUM(H94)</f>
        <v>2192.8</v>
      </c>
      <c r="I93" s="12">
        <f t="shared" si="4"/>
        <v>2561.6822429906547</v>
      </c>
    </row>
    <row r="94" spans="1:9" ht="28.5">
      <c r="A94" s="113" t="s">
        <v>524</v>
      </c>
      <c r="B94" s="148"/>
      <c r="C94" s="566" t="s">
        <v>460</v>
      </c>
      <c r="D94" s="566" t="s">
        <v>236</v>
      </c>
      <c r="E94" s="566" t="s">
        <v>206</v>
      </c>
      <c r="F94" s="567" t="s">
        <v>513</v>
      </c>
      <c r="G94" s="572">
        <v>2192.8</v>
      </c>
      <c r="H94" s="572">
        <v>2192.8</v>
      </c>
      <c r="I94" s="12">
        <f t="shared" si="4"/>
        <v>2561.6822429906547</v>
      </c>
    </row>
    <row r="95" spans="1:9" ht="15">
      <c r="A95" s="109" t="s">
        <v>157</v>
      </c>
      <c r="B95" s="148"/>
      <c r="C95" s="566" t="s">
        <v>460</v>
      </c>
      <c r="D95" s="566" t="s">
        <v>236</v>
      </c>
      <c r="E95" s="566" t="s">
        <v>415</v>
      </c>
      <c r="F95" s="567"/>
      <c r="G95" s="572">
        <f>SUM(G96)</f>
        <v>85.6</v>
      </c>
      <c r="H95" s="572">
        <f>SUM(H96)</f>
        <v>85.6</v>
      </c>
      <c r="I95" s="12" t="e">
        <f>SUM(H95/#REF!*100)</f>
        <v>#REF!</v>
      </c>
    </row>
    <row r="96" spans="1:9" ht="28.5">
      <c r="A96" s="113" t="s">
        <v>144</v>
      </c>
      <c r="B96" s="148"/>
      <c r="C96" s="566" t="s">
        <v>460</v>
      </c>
      <c r="D96" s="566" t="s">
        <v>236</v>
      </c>
      <c r="E96" s="566" t="s">
        <v>416</v>
      </c>
      <c r="F96" s="567"/>
      <c r="G96" s="572">
        <f>SUM(G97)</f>
        <v>85.6</v>
      </c>
      <c r="H96" s="572">
        <f>SUM(H97)</f>
        <v>85.6</v>
      </c>
      <c r="I96" s="12">
        <f>SUM(H96/G98*100)</f>
        <v>0.46804857644337755</v>
      </c>
    </row>
    <row r="97" spans="1:9" ht="28.5">
      <c r="A97" s="113" t="s">
        <v>524</v>
      </c>
      <c r="B97" s="148"/>
      <c r="C97" s="566" t="s">
        <v>460</v>
      </c>
      <c r="D97" s="566" t="s">
        <v>236</v>
      </c>
      <c r="E97" s="566" t="s">
        <v>416</v>
      </c>
      <c r="F97" s="567" t="s">
        <v>513</v>
      </c>
      <c r="G97" s="572">
        <v>85.6</v>
      </c>
      <c r="H97" s="572">
        <v>85.6</v>
      </c>
      <c r="I97" s="12">
        <f>SUM(H97/G99*100)</f>
        <v>1.7234783659170072</v>
      </c>
    </row>
    <row r="98" spans="1:9" ht="15">
      <c r="A98" s="113" t="s">
        <v>139</v>
      </c>
      <c r="B98" s="148"/>
      <c r="C98" s="566" t="s">
        <v>106</v>
      </c>
      <c r="D98" s="566"/>
      <c r="E98" s="566"/>
      <c r="F98" s="567"/>
      <c r="G98" s="572">
        <f>SUM(G105)+G99</f>
        <v>18288.7</v>
      </c>
      <c r="H98" s="572">
        <f>SUM(H105)+H99</f>
        <v>18288.7</v>
      </c>
      <c r="I98" s="12">
        <f>SUM(H98/G101*100)</f>
        <v>368.2263877423642</v>
      </c>
    </row>
    <row r="99" spans="1:9" ht="15">
      <c r="A99" s="149" t="s">
        <v>59</v>
      </c>
      <c r="B99" s="148"/>
      <c r="C99" s="566" t="s">
        <v>106</v>
      </c>
      <c r="D99" s="566" t="s">
        <v>122</v>
      </c>
      <c r="E99" s="566"/>
      <c r="F99" s="567"/>
      <c r="G99" s="572">
        <f>SUM(G101)</f>
        <v>4966.7</v>
      </c>
      <c r="H99" s="572">
        <f>SUM(H101)</f>
        <v>4966.7</v>
      </c>
      <c r="I99" s="12">
        <f>SUM(H99/G102*100)</f>
        <v>129.22000208138203</v>
      </c>
    </row>
    <row r="100" spans="1:9" ht="15">
      <c r="A100" s="113" t="s">
        <v>410</v>
      </c>
      <c r="B100" s="148"/>
      <c r="C100" s="566" t="s">
        <v>106</v>
      </c>
      <c r="D100" s="566" t="s">
        <v>122</v>
      </c>
      <c r="E100" s="566" t="s">
        <v>411</v>
      </c>
      <c r="F100" s="567"/>
      <c r="G100" s="572">
        <f>SUM(G101)</f>
        <v>4966.7</v>
      </c>
      <c r="H100" s="572">
        <f>SUM(H101)</f>
        <v>4966.7</v>
      </c>
      <c r="I100" s="12">
        <f>SUM(H100/G103*100)</f>
        <v>484.5088284069847</v>
      </c>
    </row>
    <row r="101" spans="1:9" ht="28.5">
      <c r="A101" s="113" t="s">
        <v>616</v>
      </c>
      <c r="B101" s="148"/>
      <c r="C101" s="566" t="s">
        <v>106</v>
      </c>
      <c r="D101" s="566" t="s">
        <v>122</v>
      </c>
      <c r="E101" s="566" t="s">
        <v>1042</v>
      </c>
      <c r="F101" s="567"/>
      <c r="G101" s="572">
        <f>G102+G103+G104</f>
        <v>4966.7</v>
      </c>
      <c r="H101" s="572">
        <f>H102+H103+H104</f>
        <v>4966.7</v>
      </c>
      <c r="I101" s="12">
        <f>SUM(H101/G104*100)</f>
        <v>5068.061224489796</v>
      </c>
    </row>
    <row r="102" spans="1:9" ht="28.5">
      <c r="A102" s="113" t="s">
        <v>495</v>
      </c>
      <c r="B102" s="148"/>
      <c r="C102" s="566" t="s">
        <v>106</v>
      </c>
      <c r="D102" s="566" t="s">
        <v>122</v>
      </c>
      <c r="E102" s="566" t="s">
        <v>1042</v>
      </c>
      <c r="F102" s="567" t="s">
        <v>496</v>
      </c>
      <c r="G102" s="572">
        <v>3843.6</v>
      </c>
      <c r="H102" s="572">
        <v>3843.6</v>
      </c>
      <c r="I102" s="12"/>
    </row>
    <row r="103" spans="1:9" ht="15">
      <c r="A103" s="113" t="s">
        <v>500</v>
      </c>
      <c r="B103" s="148"/>
      <c r="C103" s="566" t="s">
        <v>106</v>
      </c>
      <c r="D103" s="566" t="s">
        <v>122</v>
      </c>
      <c r="E103" s="566" t="s">
        <v>1042</v>
      </c>
      <c r="F103" s="567" t="s">
        <v>120</v>
      </c>
      <c r="G103" s="572">
        <v>1025.1</v>
      </c>
      <c r="H103" s="572">
        <v>1025.1</v>
      </c>
      <c r="I103" s="12"/>
    </row>
    <row r="104" spans="1:9" ht="15">
      <c r="A104" s="113" t="s">
        <v>501</v>
      </c>
      <c r="B104" s="148"/>
      <c r="C104" s="566" t="s">
        <v>106</v>
      </c>
      <c r="D104" s="566" t="s">
        <v>122</v>
      </c>
      <c r="E104" s="566" t="s">
        <v>1042</v>
      </c>
      <c r="F104" s="567" t="s">
        <v>176</v>
      </c>
      <c r="G104" s="572">
        <v>98</v>
      </c>
      <c r="H104" s="572">
        <v>98</v>
      </c>
      <c r="I104" s="12"/>
    </row>
    <row r="105" spans="1:9" ht="28.5">
      <c r="A105" s="114" t="s">
        <v>299</v>
      </c>
      <c r="B105" s="133"/>
      <c r="C105" s="530" t="s">
        <v>106</v>
      </c>
      <c r="D105" s="530" t="s">
        <v>300</v>
      </c>
      <c r="E105" s="530"/>
      <c r="F105" s="531"/>
      <c r="G105" s="573">
        <f>G116+G121+G106+G126</f>
        <v>13322</v>
      </c>
      <c r="H105" s="573">
        <f>H116+H121+H106+H126</f>
        <v>13322</v>
      </c>
      <c r="I105" s="12"/>
    </row>
    <row r="106" spans="1:9" ht="28.5">
      <c r="A106" s="113" t="s">
        <v>600</v>
      </c>
      <c r="B106" s="148"/>
      <c r="C106" s="566" t="s">
        <v>106</v>
      </c>
      <c r="D106" s="566" t="s">
        <v>300</v>
      </c>
      <c r="E106" s="566" t="s">
        <v>528</v>
      </c>
      <c r="F106" s="567"/>
      <c r="G106" s="572">
        <f>SUM(G107)</f>
        <v>11322</v>
      </c>
      <c r="H106" s="572">
        <f>SUM(H107)</f>
        <v>11322</v>
      </c>
      <c r="I106" s="12" t="e">
        <f aca="true" t="shared" si="5" ref="I106:I111">SUM(H106/G109*100)</f>
        <v>#DIV/0!</v>
      </c>
    </row>
    <row r="107" spans="1:9" ht="28.5">
      <c r="A107" s="113" t="s">
        <v>56</v>
      </c>
      <c r="B107" s="148"/>
      <c r="C107" s="566" t="s">
        <v>106</v>
      </c>
      <c r="D107" s="566" t="s">
        <v>300</v>
      </c>
      <c r="E107" s="566" t="s">
        <v>529</v>
      </c>
      <c r="F107" s="567"/>
      <c r="G107" s="572">
        <f>G108+G112+G115</f>
        <v>11322</v>
      </c>
      <c r="H107" s="572">
        <f>H108+H112+H115</f>
        <v>11322</v>
      </c>
      <c r="I107" s="12" t="e">
        <f t="shared" si="5"/>
        <v>#DIV/0!</v>
      </c>
    </row>
    <row r="108" spans="1:9" ht="28.5">
      <c r="A108" s="113" t="s">
        <v>495</v>
      </c>
      <c r="B108" s="148"/>
      <c r="C108" s="566" t="s">
        <v>106</v>
      </c>
      <c r="D108" s="566" t="s">
        <v>300</v>
      </c>
      <c r="E108" s="566" t="s">
        <v>529</v>
      </c>
      <c r="F108" s="567" t="s">
        <v>496</v>
      </c>
      <c r="G108" s="572">
        <v>9858.5</v>
      </c>
      <c r="H108" s="572">
        <v>9858.5</v>
      </c>
      <c r="I108" s="12" t="e">
        <f t="shared" si="5"/>
        <v>#DIV/0!</v>
      </c>
    </row>
    <row r="109" spans="1:9" ht="15" hidden="1">
      <c r="A109" s="113" t="s">
        <v>530</v>
      </c>
      <c r="B109" s="148"/>
      <c r="C109" s="566" t="s">
        <v>106</v>
      </c>
      <c r="D109" s="566" t="s">
        <v>300</v>
      </c>
      <c r="E109" s="566" t="s">
        <v>529</v>
      </c>
      <c r="F109" s="567" t="s">
        <v>531</v>
      </c>
      <c r="G109" s="572"/>
      <c r="H109" s="572"/>
      <c r="I109" s="12">
        <f t="shared" si="5"/>
        <v>0</v>
      </c>
    </row>
    <row r="110" spans="1:9" ht="28.5" hidden="1">
      <c r="A110" s="113" t="s">
        <v>532</v>
      </c>
      <c r="B110" s="574"/>
      <c r="C110" s="566" t="s">
        <v>106</v>
      </c>
      <c r="D110" s="566" t="s">
        <v>300</v>
      </c>
      <c r="E110" s="566" t="s">
        <v>529</v>
      </c>
      <c r="F110" s="567" t="s">
        <v>533</v>
      </c>
      <c r="G110" s="572"/>
      <c r="H110" s="572"/>
      <c r="I110" s="12" t="e">
        <f t="shared" si="5"/>
        <v>#DIV/0!</v>
      </c>
    </row>
    <row r="111" spans="1:9" ht="28.5" hidden="1">
      <c r="A111" s="113" t="s">
        <v>534</v>
      </c>
      <c r="B111" s="574"/>
      <c r="C111" s="566" t="s">
        <v>106</v>
      </c>
      <c r="D111" s="566" t="s">
        <v>300</v>
      </c>
      <c r="E111" s="566" t="s">
        <v>529</v>
      </c>
      <c r="F111" s="567" t="s">
        <v>535</v>
      </c>
      <c r="G111" s="572"/>
      <c r="H111" s="572"/>
      <c r="I111" s="12" t="e">
        <f t="shared" si="5"/>
        <v>#DIV/0!</v>
      </c>
    </row>
    <row r="112" spans="1:9" ht="15.75">
      <c r="A112" s="113" t="s">
        <v>500</v>
      </c>
      <c r="B112" s="574"/>
      <c r="C112" s="566" t="s">
        <v>106</v>
      </c>
      <c r="D112" s="566" t="s">
        <v>300</v>
      </c>
      <c r="E112" s="566" t="s">
        <v>529</v>
      </c>
      <c r="F112" s="567" t="s">
        <v>120</v>
      </c>
      <c r="G112" s="572">
        <v>1358.1</v>
      </c>
      <c r="H112" s="572">
        <v>1358.1</v>
      </c>
      <c r="I112" s="12">
        <f>SUM(H112/G116*100)</f>
        <v>67.90499999999999</v>
      </c>
    </row>
    <row r="113" spans="1:9" ht="28.5" hidden="1">
      <c r="A113" s="113" t="s">
        <v>518</v>
      </c>
      <c r="B113" s="574"/>
      <c r="C113" s="566" t="s">
        <v>106</v>
      </c>
      <c r="D113" s="566" t="s">
        <v>300</v>
      </c>
      <c r="E113" s="566" t="s">
        <v>529</v>
      </c>
      <c r="F113" s="567" t="s">
        <v>519</v>
      </c>
      <c r="G113" s="572"/>
      <c r="H113" s="572"/>
      <c r="I113" s="12" t="e">
        <f>SUM(H113/G117*100)</f>
        <v>#DIV/0!</v>
      </c>
    </row>
    <row r="114" spans="1:9" ht="28.5" hidden="1">
      <c r="A114" s="113" t="s">
        <v>520</v>
      </c>
      <c r="B114" s="148"/>
      <c r="C114" s="566" t="s">
        <v>106</v>
      </c>
      <c r="D114" s="566" t="s">
        <v>300</v>
      </c>
      <c r="E114" s="566" t="s">
        <v>529</v>
      </c>
      <c r="F114" s="567" t="s">
        <v>521</v>
      </c>
      <c r="G114" s="572"/>
      <c r="H114" s="572"/>
      <c r="I114" s="12" t="e">
        <f>SUM(H114/G118*100)</f>
        <v>#DIV/0!</v>
      </c>
    </row>
    <row r="115" spans="1:9" ht="15">
      <c r="A115" s="113" t="s">
        <v>501</v>
      </c>
      <c r="B115" s="148"/>
      <c r="C115" s="566" t="s">
        <v>106</v>
      </c>
      <c r="D115" s="566" t="s">
        <v>300</v>
      </c>
      <c r="E115" s="566" t="s">
        <v>529</v>
      </c>
      <c r="F115" s="567" t="s">
        <v>176</v>
      </c>
      <c r="G115" s="568">
        <v>105.4</v>
      </c>
      <c r="H115" s="569">
        <v>105.4</v>
      </c>
      <c r="I115" s="12"/>
    </row>
    <row r="116" spans="1:9" ht="28.5">
      <c r="A116" s="113" t="s">
        <v>601</v>
      </c>
      <c r="B116" s="148"/>
      <c r="C116" s="566" t="s">
        <v>106</v>
      </c>
      <c r="D116" s="566" t="s">
        <v>300</v>
      </c>
      <c r="E116" s="566" t="s">
        <v>536</v>
      </c>
      <c r="F116" s="567"/>
      <c r="G116" s="572">
        <f>SUM(G118+G120)</f>
        <v>2000</v>
      </c>
      <c r="H116" s="572">
        <f>SUM(H118+H120)</f>
        <v>2000</v>
      </c>
      <c r="I116" s="12">
        <f>SUM(H116/G119*100)</f>
        <v>100</v>
      </c>
    </row>
    <row r="117" spans="1:9" ht="28.5" hidden="1">
      <c r="A117" s="113" t="s">
        <v>602</v>
      </c>
      <c r="B117" s="148"/>
      <c r="C117" s="566" t="s">
        <v>106</v>
      </c>
      <c r="D117" s="566" t="s">
        <v>300</v>
      </c>
      <c r="E117" s="566" t="s">
        <v>537</v>
      </c>
      <c r="F117" s="567"/>
      <c r="G117" s="572">
        <f>SUM(G118)</f>
        <v>0</v>
      </c>
      <c r="H117" s="572">
        <f>SUM(H118)</f>
        <v>0</v>
      </c>
      <c r="I117" s="12"/>
    </row>
    <row r="118" spans="1:9" ht="15" hidden="1">
      <c r="A118" s="113" t="s">
        <v>500</v>
      </c>
      <c r="B118" s="148"/>
      <c r="C118" s="566" t="s">
        <v>106</v>
      </c>
      <c r="D118" s="566" t="s">
        <v>300</v>
      </c>
      <c r="E118" s="566" t="s">
        <v>537</v>
      </c>
      <c r="F118" s="567" t="s">
        <v>120</v>
      </c>
      <c r="G118" s="572"/>
      <c r="H118" s="572"/>
      <c r="I118" s="12" t="e">
        <f>SUM(H118/G121*100)</f>
        <v>#DIV/0!</v>
      </c>
    </row>
    <row r="119" spans="1:9" ht="28.5">
      <c r="A119" s="113" t="s">
        <v>0</v>
      </c>
      <c r="B119" s="148"/>
      <c r="C119" s="566" t="s">
        <v>106</v>
      </c>
      <c r="D119" s="566" t="s">
        <v>300</v>
      </c>
      <c r="E119" s="566" t="s">
        <v>538</v>
      </c>
      <c r="F119" s="567"/>
      <c r="G119" s="572">
        <f>SUM(G120)</f>
        <v>2000</v>
      </c>
      <c r="H119" s="572">
        <f>SUM(H120)</f>
        <v>2000</v>
      </c>
      <c r="I119" s="12"/>
    </row>
    <row r="120" spans="1:9" ht="15">
      <c r="A120" s="113" t="s">
        <v>500</v>
      </c>
      <c r="B120" s="148"/>
      <c r="C120" s="566" t="s">
        <v>106</v>
      </c>
      <c r="D120" s="566" t="s">
        <v>300</v>
      </c>
      <c r="E120" s="566" t="s">
        <v>538</v>
      </c>
      <c r="F120" s="567" t="s">
        <v>120</v>
      </c>
      <c r="G120" s="572">
        <v>2000</v>
      </c>
      <c r="H120" s="572">
        <v>2000</v>
      </c>
      <c r="I120" s="12"/>
    </row>
    <row r="121" spans="1:9" ht="15" hidden="1">
      <c r="A121" s="113" t="s">
        <v>1</v>
      </c>
      <c r="B121" s="150"/>
      <c r="C121" s="575" t="s">
        <v>106</v>
      </c>
      <c r="D121" s="575" t="s">
        <v>300</v>
      </c>
      <c r="E121" s="575" t="s">
        <v>539</v>
      </c>
      <c r="F121" s="576"/>
      <c r="G121" s="572"/>
      <c r="H121" s="572"/>
      <c r="I121" s="12"/>
    </row>
    <row r="122" spans="1:9" ht="28.5" hidden="1">
      <c r="A122" s="113" t="s">
        <v>2</v>
      </c>
      <c r="B122" s="150"/>
      <c r="C122" s="577" t="s">
        <v>106</v>
      </c>
      <c r="D122" s="577" t="s">
        <v>300</v>
      </c>
      <c r="E122" s="577" t="s">
        <v>540</v>
      </c>
      <c r="F122" s="578"/>
      <c r="G122" s="572"/>
      <c r="H122" s="572"/>
      <c r="I122" s="12"/>
    </row>
    <row r="123" spans="1:9" ht="15" hidden="1">
      <c r="A123" s="113" t="s">
        <v>500</v>
      </c>
      <c r="B123" s="150"/>
      <c r="C123" s="577" t="s">
        <v>106</v>
      </c>
      <c r="D123" s="577" t="s">
        <v>300</v>
      </c>
      <c r="E123" s="577" t="s">
        <v>540</v>
      </c>
      <c r="F123" s="578" t="s">
        <v>120</v>
      </c>
      <c r="G123" s="572"/>
      <c r="H123" s="572"/>
      <c r="I123" s="12"/>
    </row>
    <row r="124" spans="1:9" ht="28.5" hidden="1">
      <c r="A124" s="113" t="s">
        <v>518</v>
      </c>
      <c r="B124" s="150"/>
      <c r="C124" s="577" t="s">
        <v>106</v>
      </c>
      <c r="D124" s="577" t="s">
        <v>300</v>
      </c>
      <c r="E124" s="577" t="s">
        <v>540</v>
      </c>
      <c r="F124" s="578" t="s">
        <v>519</v>
      </c>
      <c r="G124" s="572"/>
      <c r="H124" s="572"/>
      <c r="I124" s="12"/>
    </row>
    <row r="125" spans="1:9" ht="28.5" hidden="1">
      <c r="A125" s="113" t="s">
        <v>520</v>
      </c>
      <c r="B125" s="150"/>
      <c r="C125" s="577" t="s">
        <v>106</v>
      </c>
      <c r="D125" s="577" t="s">
        <v>300</v>
      </c>
      <c r="E125" s="577" t="s">
        <v>540</v>
      </c>
      <c r="F125" s="578" t="s">
        <v>521</v>
      </c>
      <c r="G125" s="572"/>
      <c r="H125" s="572"/>
      <c r="I125" s="12"/>
    </row>
    <row r="126" spans="1:9" ht="15" hidden="1">
      <c r="A126" s="115" t="s">
        <v>551</v>
      </c>
      <c r="B126" s="150"/>
      <c r="C126" s="579" t="s">
        <v>106</v>
      </c>
      <c r="D126" s="579" t="s">
        <v>300</v>
      </c>
      <c r="E126" s="524" t="s">
        <v>129</v>
      </c>
      <c r="F126" s="580"/>
      <c r="G126" s="581">
        <f>SUM(G127)</f>
        <v>0</v>
      </c>
      <c r="H126" s="581">
        <f>SUM(H127)</f>
        <v>0</v>
      </c>
      <c r="I126" s="12"/>
    </row>
    <row r="127" spans="1:9" s="2" customFormat="1" ht="14.25" hidden="1">
      <c r="A127" s="113" t="s">
        <v>1043</v>
      </c>
      <c r="B127" s="62"/>
      <c r="C127" s="579" t="s">
        <v>106</v>
      </c>
      <c r="D127" s="579" t="s">
        <v>300</v>
      </c>
      <c r="E127" s="524" t="s">
        <v>138</v>
      </c>
      <c r="F127" s="528"/>
      <c r="G127" s="137">
        <f>SUM(G128)</f>
        <v>0</v>
      </c>
      <c r="H127" s="137">
        <f>SUM(H128)</f>
        <v>0</v>
      </c>
      <c r="I127" s="582" t="e">
        <f aca="true" t="shared" si="6" ref="I127:I132">SUM(H127/G130*100)</f>
        <v>#DIV/0!</v>
      </c>
    </row>
    <row r="128" spans="1:9" s="2" customFormat="1" ht="14.25" hidden="1">
      <c r="A128" s="113" t="s">
        <v>500</v>
      </c>
      <c r="B128" s="62"/>
      <c r="C128" s="579" t="s">
        <v>106</v>
      </c>
      <c r="D128" s="579" t="s">
        <v>300</v>
      </c>
      <c r="E128" s="524" t="s">
        <v>138</v>
      </c>
      <c r="F128" s="528" t="s">
        <v>120</v>
      </c>
      <c r="G128" s="137"/>
      <c r="H128" s="137"/>
      <c r="I128" s="582">
        <f t="shared" si="6"/>
        <v>0</v>
      </c>
    </row>
    <row r="129" spans="1:9" ht="28.5" hidden="1">
      <c r="A129" s="113" t="s">
        <v>210</v>
      </c>
      <c r="B129" s="62"/>
      <c r="C129" s="579" t="s">
        <v>106</v>
      </c>
      <c r="D129" s="579" t="s">
        <v>300</v>
      </c>
      <c r="E129" s="524" t="s">
        <v>150</v>
      </c>
      <c r="F129" s="528"/>
      <c r="G129" s="137">
        <f>SUM(G130)</f>
        <v>0</v>
      </c>
      <c r="H129" s="137">
        <f>SUM(H130)</f>
        <v>0</v>
      </c>
      <c r="I129" s="12">
        <f t="shared" si="6"/>
        <v>0</v>
      </c>
    </row>
    <row r="130" spans="1:9" ht="15" hidden="1">
      <c r="A130" s="109" t="s">
        <v>103</v>
      </c>
      <c r="B130" s="62"/>
      <c r="C130" s="579" t="s">
        <v>106</v>
      </c>
      <c r="D130" s="579" t="s">
        <v>300</v>
      </c>
      <c r="E130" s="524" t="s">
        <v>150</v>
      </c>
      <c r="F130" s="528" t="s">
        <v>104</v>
      </c>
      <c r="G130" s="137"/>
      <c r="H130" s="137"/>
      <c r="I130" s="12">
        <f t="shared" si="6"/>
        <v>0</v>
      </c>
    </row>
    <row r="131" spans="1:9" ht="15">
      <c r="A131" s="113" t="s">
        <v>121</v>
      </c>
      <c r="B131" s="148"/>
      <c r="C131" s="566" t="s">
        <v>122</v>
      </c>
      <c r="D131" s="566"/>
      <c r="E131" s="566"/>
      <c r="F131" s="567"/>
      <c r="G131" s="572">
        <f>G132+G150+G144</f>
        <v>153708.3</v>
      </c>
      <c r="H131" s="572">
        <f>H132+H150+H144</f>
        <v>156971.9</v>
      </c>
      <c r="I131" s="12">
        <f t="shared" si="6"/>
        <v>816.9407637941981</v>
      </c>
    </row>
    <row r="132" spans="1:9" s="14" customFormat="1" ht="15">
      <c r="A132" s="113" t="s">
        <v>123</v>
      </c>
      <c r="B132" s="148"/>
      <c r="C132" s="566" t="s">
        <v>122</v>
      </c>
      <c r="D132" s="566" t="s">
        <v>124</v>
      </c>
      <c r="E132" s="566"/>
      <c r="F132" s="567"/>
      <c r="G132" s="572">
        <f>G133</f>
        <v>50300</v>
      </c>
      <c r="H132" s="572">
        <f>H133</f>
        <v>50300</v>
      </c>
      <c r="I132" s="12">
        <f t="shared" si="6"/>
        <v>261.7801047120419</v>
      </c>
    </row>
    <row r="133" spans="1:9" s="14" customFormat="1" ht="15">
      <c r="A133" s="113" t="s">
        <v>541</v>
      </c>
      <c r="B133" s="148"/>
      <c r="C133" s="566" t="s">
        <v>122</v>
      </c>
      <c r="D133" s="566" t="s">
        <v>124</v>
      </c>
      <c r="E133" s="566" t="s">
        <v>542</v>
      </c>
      <c r="F133" s="567"/>
      <c r="G133" s="572">
        <f>G134+G138</f>
        <v>50300</v>
      </c>
      <c r="H133" s="572">
        <f>H134+H138</f>
        <v>50300</v>
      </c>
      <c r="I133" s="12"/>
    </row>
    <row r="134" spans="1:9" s="14" customFormat="1" ht="15">
      <c r="A134" s="113" t="s">
        <v>543</v>
      </c>
      <c r="B134" s="148"/>
      <c r="C134" s="566" t="s">
        <v>122</v>
      </c>
      <c r="D134" s="566" t="s">
        <v>124</v>
      </c>
      <c r="E134" s="566" t="s">
        <v>544</v>
      </c>
      <c r="F134" s="567"/>
      <c r="G134" s="572">
        <f>G135</f>
        <v>19214.6</v>
      </c>
      <c r="H134" s="572">
        <f>H135</f>
        <v>19214.6</v>
      </c>
      <c r="I134" s="12" t="e">
        <f aca="true" t="shared" si="7" ref="I134:I158">SUM(H134/G137*100)</f>
        <v>#DIV/0!</v>
      </c>
    </row>
    <row r="135" spans="1:9" s="14" customFormat="1" ht="15">
      <c r="A135" s="113" t="s">
        <v>6</v>
      </c>
      <c r="B135" s="148"/>
      <c r="C135" s="566" t="s">
        <v>122</v>
      </c>
      <c r="D135" s="566" t="s">
        <v>124</v>
      </c>
      <c r="E135" s="566" t="s">
        <v>545</v>
      </c>
      <c r="F135" s="567"/>
      <c r="G135" s="572">
        <f>SUM(G136)</f>
        <v>19214.6</v>
      </c>
      <c r="H135" s="572">
        <f>SUM(H136)</f>
        <v>19214.6</v>
      </c>
      <c r="I135" s="12">
        <f t="shared" si="7"/>
        <v>61.81229773462782</v>
      </c>
    </row>
    <row r="136" spans="1:9" ht="15">
      <c r="A136" s="113" t="s">
        <v>501</v>
      </c>
      <c r="B136" s="148"/>
      <c r="C136" s="566" t="s">
        <v>122</v>
      </c>
      <c r="D136" s="566" t="s">
        <v>124</v>
      </c>
      <c r="E136" s="566" t="s">
        <v>545</v>
      </c>
      <c r="F136" s="567" t="s">
        <v>176</v>
      </c>
      <c r="G136" s="572">
        <v>19214.6</v>
      </c>
      <c r="H136" s="572">
        <v>19214.6</v>
      </c>
      <c r="I136" s="12">
        <f t="shared" si="7"/>
        <v>61.81229773462782</v>
      </c>
    </row>
    <row r="137" spans="1:9" s="17" customFormat="1" ht="28.5" hidden="1">
      <c r="A137" s="113" t="s">
        <v>546</v>
      </c>
      <c r="B137" s="148"/>
      <c r="C137" s="566" t="s">
        <v>122</v>
      </c>
      <c r="D137" s="566" t="s">
        <v>124</v>
      </c>
      <c r="E137" s="566" t="s">
        <v>545</v>
      </c>
      <c r="F137" s="567" t="s">
        <v>209</v>
      </c>
      <c r="G137" s="572"/>
      <c r="H137" s="572"/>
      <c r="I137" s="12">
        <f t="shared" si="7"/>
        <v>0</v>
      </c>
    </row>
    <row r="138" spans="1:9" ht="15">
      <c r="A138" s="113" t="s">
        <v>125</v>
      </c>
      <c r="B138" s="148"/>
      <c r="C138" s="566" t="s">
        <v>122</v>
      </c>
      <c r="D138" s="566" t="s">
        <v>124</v>
      </c>
      <c r="E138" s="566" t="s">
        <v>417</v>
      </c>
      <c r="F138" s="567"/>
      <c r="G138" s="572">
        <f>G139</f>
        <v>31085.4</v>
      </c>
      <c r="H138" s="572">
        <f>H139</f>
        <v>31085.4</v>
      </c>
      <c r="I138" s="12">
        <f t="shared" si="7"/>
        <v>100</v>
      </c>
    </row>
    <row r="139" spans="1:9" ht="15">
      <c r="A139" s="113" t="s">
        <v>15</v>
      </c>
      <c r="B139" s="148"/>
      <c r="C139" s="566" t="s">
        <v>122</v>
      </c>
      <c r="D139" s="566" t="s">
        <v>124</v>
      </c>
      <c r="E139" s="566" t="s">
        <v>76</v>
      </c>
      <c r="F139" s="567"/>
      <c r="G139" s="572">
        <f>SUM(G140)</f>
        <v>31085.4</v>
      </c>
      <c r="H139" s="572">
        <f>SUM(H140)</f>
        <v>31085.4</v>
      </c>
      <c r="I139" s="12" t="e">
        <f t="shared" si="7"/>
        <v>#DIV/0!</v>
      </c>
    </row>
    <row r="140" spans="1:9" ht="28.5">
      <c r="A140" s="113" t="s">
        <v>205</v>
      </c>
      <c r="B140" s="148"/>
      <c r="C140" s="566" t="s">
        <v>122</v>
      </c>
      <c r="D140" s="566" t="s">
        <v>124</v>
      </c>
      <c r="E140" s="566" t="s">
        <v>77</v>
      </c>
      <c r="F140" s="567"/>
      <c r="G140" s="572">
        <f>SUM(G141)</f>
        <v>31085.4</v>
      </c>
      <c r="H140" s="572">
        <f>SUM(H141)</f>
        <v>31085.4</v>
      </c>
      <c r="I140" s="12" t="e">
        <f t="shared" si="7"/>
        <v>#DIV/0!</v>
      </c>
    </row>
    <row r="141" spans="1:9" ht="28.5">
      <c r="A141" s="113" t="s">
        <v>524</v>
      </c>
      <c r="B141" s="148"/>
      <c r="C141" s="566" t="s">
        <v>122</v>
      </c>
      <c r="D141" s="566" t="s">
        <v>124</v>
      </c>
      <c r="E141" s="566" t="s">
        <v>77</v>
      </c>
      <c r="F141" s="567" t="s">
        <v>513</v>
      </c>
      <c r="G141" s="572">
        <v>31085.4</v>
      </c>
      <c r="H141" s="572">
        <v>31085.4</v>
      </c>
      <c r="I141" s="12">
        <f t="shared" si="7"/>
        <v>33.73688283245081</v>
      </c>
    </row>
    <row r="142" spans="1:9" ht="15" hidden="1">
      <c r="A142" s="113" t="s">
        <v>525</v>
      </c>
      <c r="B142" s="148"/>
      <c r="C142" s="566" t="s">
        <v>122</v>
      </c>
      <c r="D142" s="566" t="s">
        <v>124</v>
      </c>
      <c r="E142" s="566" t="s">
        <v>77</v>
      </c>
      <c r="F142" s="567" t="s">
        <v>526</v>
      </c>
      <c r="G142" s="572"/>
      <c r="H142" s="572"/>
      <c r="I142" s="12">
        <f t="shared" si="7"/>
        <v>0</v>
      </c>
    </row>
    <row r="143" spans="1:9" ht="42.75" hidden="1">
      <c r="A143" s="114" t="s">
        <v>527</v>
      </c>
      <c r="B143" s="148"/>
      <c r="C143" s="566" t="s">
        <v>122</v>
      </c>
      <c r="D143" s="566" t="s">
        <v>124</v>
      </c>
      <c r="E143" s="566" t="s">
        <v>77</v>
      </c>
      <c r="F143" s="567" t="s">
        <v>58</v>
      </c>
      <c r="G143" s="572"/>
      <c r="H143" s="572"/>
      <c r="I143" s="12">
        <f t="shared" si="7"/>
        <v>0</v>
      </c>
    </row>
    <row r="144" spans="1:9" ht="15">
      <c r="A144" s="113" t="s">
        <v>147</v>
      </c>
      <c r="B144" s="148"/>
      <c r="C144" s="566" t="s">
        <v>122</v>
      </c>
      <c r="D144" s="566" t="s">
        <v>300</v>
      </c>
      <c r="E144" s="566"/>
      <c r="F144" s="567"/>
      <c r="G144" s="572">
        <f>G145</f>
        <v>92140.7</v>
      </c>
      <c r="H144" s="572">
        <f>H145</f>
        <v>95404.3</v>
      </c>
      <c r="I144" s="12" t="e">
        <f t="shared" si="7"/>
        <v>#DIV/0!</v>
      </c>
    </row>
    <row r="145" spans="1:9" ht="28.5">
      <c r="A145" s="113" t="s">
        <v>38</v>
      </c>
      <c r="B145" s="148"/>
      <c r="C145" s="566" t="s">
        <v>122</v>
      </c>
      <c r="D145" s="566" t="s">
        <v>300</v>
      </c>
      <c r="E145" s="566" t="s">
        <v>39</v>
      </c>
      <c r="F145" s="567"/>
      <c r="G145" s="572">
        <f>G146</f>
        <v>92140.7</v>
      </c>
      <c r="H145" s="572">
        <f>H146</f>
        <v>95404.3</v>
      </c>
      <c r="I145" s="12" t="e">
        <f t="shared" si="7"/>
        <v>#DIV/0!</v>
      </c>
    </row>
    <row r="146" spans="1:9" ht="15">
      <c r="A146" s="113" t="s">
        <v>500</v>
      </c>
      <c r="B146" s="148"/>
      <c r="C146" s="566" t="s">
        <v>122</v>
      </c>
      <c r="D146" s="566" t="s">
        <v>300</v>
      </c>
      <c r="E146" s="566" t="s">
        <v>39</v>
      </c>
      <c r="F146" s="567" t="s">
        <v>120</v>
      </c>
      <c r="G146" s="572">
        <v>92140.7</v>
      </c>
      <c r="H146" s="572">
        <v>95404.3</v>
      </c>
      <c r="I146" s="12" t="e">
        <f t="shared" si="7"/>
        <v>#DIV/0!</v>
      </c>
    </row>
    <row r="147" spans="1:9" ht="28.5" hidden="1">
      <c r="A147" s="113" t="s">
        <v>518</v>
      </c>
      <c r="B147" s="148"/>
      <c r="C147" s="566" t="s">
        <v>122</v>
      </c>
      <c r="D147" s="566" t="s">
        <v>300</v>
      </c>
      <c r="E147" s="566" t="s">
        <v>39</v>
      </c>
      <c r="F147" s="567" t="s">
        <v>519</v>
      </c>
      <c r="G147" s="572"/>
      <c r="H147" s="572"/>
      <c r="I147" s="12">
        <f t="shared" si="7"/>
        <v>0</v>
      </c>
    </row>
    <row r="148" spans="1:9" ht="28.5" hidden="1">
      <c r="A148" s="113" t="s">
        <v>520</v>
      </c>
      <c r="B148" s="148"/>
      <c r="C148" s="566" t="s">
        <v>122</v>
      </c>
      <c r="D148" s="566" t="s">
        <v>300</v>
      </c>
      <c r="E148" s="566" t="s">
        <v>39</v>
      </c>
      <c r="F148" s="567" t="s">
        <v>521</v>
      </c>
      <c r="G148" s="572"/>
      <c r="H148" s="572"/>
      <c r="I148" s="12">
        <f t="shared" si="7"/>
        <v>0</v>
      </c>
    </row>
    <row r="149" spans="1:9" ht="28.5" hidden="1">
      <c r="A149" s="113" t="s">
        <v>547</v>
      </c>
      <c r="B149" s="148"/>
      <c r="C149" s="566" t="s">
        <v>122</v>
      </c>
      <c r="D149" s="566" t="s">
        <v>300</v>
      </c>
      <c r="E149" s="566" t="s">
        <v>39</v>
      </c>
      <c r="F149" s="567" t="s">
        <v>521</v>
      </c>
      <c r="G149" s="572"/>
      <c r="H149" s="572"/>
      <c r="I149" s="12">
        <f t="shared" si="7"/>
        <v>0</v>
      </c>
    </row>
    <row r="150" spans="1:9" ht="15">
      <c r="A150" s="113" t="s">
        <v>418</v>
      </c>
      <c r="B150" s="148"/>
      <c r="C150" s="566" t="s">
        <v>122</v>
      </c>
      <c r="D150" s="566" t="s">
        <v>408</v>
      </c>
      <c r="E150" s="566"/>
      <c r="F150" s="567"/>
      <c r="G150" s="572">
        <f>SUM(G151,G161)</f>
        <v>11267.6</v>
      </c>
      <c r="H150" s="572">
        <f>SUM(H151,H161)</f>
        <v>11267.6</v>
      </c>
      <c r="I150" s="12">
        <f t="shared" si="7"/>
        <v>660.9726051504664</v>
      </c>
    </row>
    <row r="151" spans="1:9" ht="15">
      <c r="A151" s="113" t="s">
        <v>541</v>
      </c>
      <c r="B151" s="148"/>
      <c r="C151" s="566" t="s">
        <v>122</v>
      </c>
      <c r="D151" s="566" t="s">
        <v>408</v>
      </c>
      <c r="E151" s="566" t="s">
        <v>542</v>
      </c>
      <c r="F151" s="567"/>
      <c r="G151" s="572">
        <f>SUM(G152)</f>
        <v>5584.1</v>
      </c>
      <c r="H151" s="572">
        <f>SUM(H152)</f>
        <v>5584.1</v>
      </c>
      <c r="I151" s="12">
        <f t="shared" si="7"/>
        <v>327.57083357775565</v>
      </c>
    </row>
    <row r="152" spans="1:9" ht="15">
      <c r="A152" s="113" t="s">
        <v>423</v>
      </c>
      <c r="B152" s="148"/>
      <c r="C152" s="566" t="s">
        <v>122</v>
      </c>
      <c r="D152" s="566" t="s">
        <v>408</v>
      </c>
      <c r="E152" s="566" t="s">
        <v>548</v>
      </c>
      <c r="F152" s="567"/>
      <c r="G152" s="572">
        <f>SUM(G153,G157)</f>
        <v>5584.1</v>
      </c>
      <c r="H152" s="572">
        <f>SUM(H153,H157)</f>
        <v>5584.1</v>
      </c>
      <c r="I152" s="12" t="e">
        <f t="shared" si="7"/>
        <v>#DIV/0!</v>
      </c>
    </row>
    <row r="153" spans="1:9" ht="15">
      <c r="A153" s="113" t="s">
        <v>552</v>
      </c>
      <c r="B153" s="148"/>
      <c r="C153" s="566" t="s">
        <v>122</v>
      </c>
      <c r="D153" s="566" t="s">
        <v>408</v>
      </c>
      <c r="E153" s="577" t="s">
        <v>549</v>
      </c>
      <c r="F153" s="567"/>
      <c r="G153" s="572">
        <f>SUM(G154)</f>
        <v>1704.7</v>
      </c>
      <c r="H153" s="572">
        <f>SUM(H154)</f>
        <v>1704.7</v>
      </c>
      <c r="I153" s="12">
        <f t="shared" si="7"/>
        <v>43.942362220962</v>
      </c>
    </row>
    <row r="154" spans="1:9" ht="15">
      <c r="A154" s="113" t="s">
        <v>500</v>
      </c>
      <c r="B154" s="148"/>
      <c r="C154" s="566" t="s">
        <v>122</v>
      </c>
      <c r="D154" s="566" t="s">
        <v>408</v>
      </c>
      <c r="E154" s="577" t="s">
        <v>549</v>
      </c>
      <c r="F154" s="567" t="s">
        <v>120</v>
      </c>
      <c r="G154" s="572">
        <v>1704.7</v>
      </c>
      <c r="H154" s="572">
        <v>1704.7</v>
      </c>
      <c r="I154" s="12">
        <f t="shared" si="7"/>
        <v>43.942362220962</v>
      </c>
    </row>
    <row r="155" spans="1:9" ht="20.25" customHeight="1" hidden="1">
      <c r="A155" s="113" t="s">
        <v>518</v>
      </c>
      <c r="B155" s="148"/>
      <c r="C155" s="566" t="s">
        <v>122</v>
      </c>
      <c r="D155" s="566" t="s">
        <v>408</v>
      </c>
      <c r="E155" s="577" t="s">
        <v>549</v>
      </c>
      <c r="F155" s="567" t="s">
        <v>519</v>
      </c>
      <c r="G155" s="572"/>
      <c r="H155" s="572"/>
      <c r="I155" s="12">
        <f t="shared" si="7"/>
        <v>0</v>
      </c>
    </row>
    <row r="156" spans="1:9" ht="15">
      <c r="A156" s="113" t="s">
        <v>15</v>
      </c>
      <c r="B156" s="148"/>
      <c r="C156" s="566" t="s">
        <v>122</v>
      </c>
      <c r="D156" s="566" t="s">
        <v>408</v>
      </c>
      <c r="E156" s="566" t="s">
        <v>553</v>
      </c>
      <c r="F156" s="567"/>
      <c r="G156" s="572">
        <f>SUM(G157)</f>
        <v>3879.4</v>
      </c>
      <c r="H156" s="572">
        <f>SUM(H157)</f>
        <v>3879.4</v>
      </c>
      <c r="I156" s="12" t="e">
        <f t="shared" si="7"/>
        <v>#DIV/0!</v>
      </c>
    </row>
    <row r="157" spans="1:9" ht="28.5">
      <c r="A157" s="113" t="s">
        <v>205</v>
      </c>
      <c r="B157" s="148"/>
      <c r="C157" s="566" t="s">
        <v>122</v>
      </c>
      <c r="D157" s="566" t="s">
        <v>408</v>
      </c>
      <c r="E157" s="566" t="s">
        <v>550</v>
      </c>
      <c r="F157" s="567"/>
      <c r="G157" s="572">
        <f>G158</f>
        <v>3879.4</v>
      </c>
      <c r="H157" s="572">
        <f>H158</f>
        <v>3879.4</v>
      </c>
      <c r="I157" s="12" t="e">
        <f t="shared" si="7"/>
        <v>#DIV/0!</v>
      </c>
    </row>
    <row r="158" spans="1:9" s="14" customFormat="1" ht="28.5">
      <c r="A158" s="113" t="s">
        <v>524</v>
      </c>
      <c r="B158" s="148"/>
      <c r="C158" s="566" t="s">
        <v>122</v>
      </c>
      <c r="D158" s="566" t="s">
        <v>408</v>
      </c>
      <c r="E158" s="566" t="s">
        <v>550</v>
      </c>
      <c r="F158" s="567" t="s">
        <v>513</v>
      </c>
      <c r="G158" s="572">
        <v>3879.4</v>
      </c>
      <c r="H158" s="572">
        <v>3879.4</v>
      </c>
      <c r="I158" s="12">
        <f t="shared" si="7"/>
        <v>68.25723585818598</v>
      </c>
    </row>
    <row r="159" spans="1:9" ht="15" hidden="1">
      <c r="A159" s="113" t="s">
        <v>525</v>
      </c>
      <c r="B159" s="148"/>
      <c r="C159" s="566" t="s">
        <v>122</v>
      </c>
      <c r="D159" s="566" t="s">
        <v>408</v>
      </c>
      <c r="E159" s="566" t="s">
        <v>550</v>
      </c>
      <c r="F159" s="567" t="s">
        <v>526</v>
      </c>
      <c r="G159" s="572"/>
      <c r="H159" s="572"/>
      <c r="I159" s="12"/>
    </row>
    <row r="160" spans="1:9" ht="42.75" hidden="1">
      <c r="A160" s="114" t="s">
        <v>527</v>
      </c>
      <c r="B160" s="133"/>
      <c r="C160" s="530" t="s">
        <v>122</v>
      </c>
      <c r="D160" s="530" t="s">
        <v>408</v>
      </c>
      <c r="E160" s="530" t="s">
        <v>550</v>
      </c>
      <c r="F160" s="531" t="s">
        <v>58</v>
      </c>
      <c r="G160" s="573"/>
      <c r="H160" s="573"/>
      <c r="I160" s="12"/>
    </row>
    <row r="161" spans="1:9" ht="15">
      <c r="A161" s="116" t="s">
        <v>551</v>
      </c>
      <c r="B161" s="133"/>
      <c r="C161" s="530" t="s">
        <v>122</v>
      </c>
      <c r="D161" s="530" t="s">
        <v>408</v>
      </c>
      <c r="E161" s="530" t="s">
        <v>129</v>
      </c>
      <c r="F161" s="531"/>
      <c r="G161" s="573">
        <f>G162</f>
        <v>5683.5</v>
      </c>
      <c r="H161" s="573">
        <f>H162</f>
        <v>5683.5</v>
      </c>
      <c r="I161" s="12"/>
    </row>
    <row r="162" spans="1:9" ht="28.5">
      <c r="A162" s="116" t="s">
        <v>1044</v>
      </c>
      <c r="B162" s="133"/>
      <c r="C162" s="530" t="s">
        <v>122</v>
      </c>
      <c r="D162" s="530" t="s">
        <v>408</v>
      </c>
      <c r="E162" s="530" t="s">
        <v>54</v>
      </c>
      <c r="F162" s="531"/>
      <c r="G162" s="573">
        <f>SUM(G163)</f>
        <v>5683.5</v>
      </c>
      <c r="H162" s="573">
        <f>SUM(H163)</f>
        <v>5683.5</v>
      </c>
      <c r="I162" s="12"/>
    </row>
    <row r="163" spans="1:9" ht="28.5">
      <c r="A163" s="114" t="s">
        <v>524</v>
      </c>
      <c r="B163" s="133"/>
      <c r="C163" s="530" t="s">
        <v>122</v>
      </c>
      <c r="D163" s="530" t="s">
        <v>408</v>
      </c>
      <c r="E163" s="530" t="s">
        <v>54</v>
      </c>
      <c r="F163" s="531" t="s">
        <v>513</v>
      </c>
      <c r="G163" s="573">
        <v>5683.5</v>
      </c>
      <c r="H163" s="573">
        <v>5683.5</v>
      </c>
      <c r="I163" s="12"/>
    </row>
    <row r="164" spans="1:9" ht="15">
      <c r="A164" s="113" t="s">
        <v>424</v>
      </c>
      <c r="B164" s="529"/>
      <c r="C164" s="524" t="s">
        <v>131</v>
      </c>
      <c r="D164" s="524"/>
      <c r="E164" s="524"/>
      <c r="F164" s="557"/>
      <c r="G164" s="140">
        <f>SUM(G218+G224+G236)</f>
        <v>58737.6</v>
      </c>
      <c r="H164" s="140">
        <f>SUM(H218+H224+H236)</f>
        <v>49417.6</v>
      </c>
      <c r="I164" s="12"/>
    </row>
    <row r="165" spans="1:9" ht="15" hidden="1">
      <c r="A165" s="109" t="s">
        <v>425</v>
      </c>
      <c r="B165" s="62"/>
      <c r="C165" s="526" t="s">
        <v>131</v>
      </c>
      <c r="D165" s="526" t="s">
        <v>460</v>
      </c>
      <c r="E165" s="526"/>
      <c r="F165" s="527"/>
      <c r="G165" s="137"/>
      <c r="H165" s="137"/>
      <c r="I165" s="12"/>
    </row>
    <row r="166" spans="1:9" ht="28.5" hidden="1">
      <c r="A166" s="113" t="s">
        <v>1045</v>
      </c>
      <c r="B166" s="62"/>
      <c r="C166" s="526" t="s">
        <v>131</v>
      </c>
      <c r="D166" s="526" t="s">
        <v>460</v>
      </c>
      <c r="E166" s="526" t="s">
        <v>426</v>
      </c>
      <c r="F166" s="527"/>
      <c r="G166" s="137">
        <f>SUM(G167+G174)</f>
        <v>0</v>
      </c>
      <c r="H166" s="137">
        <f>SUM(H167+H174)</f>
        <v>0</v>
      </c>
      <c r="I166" s="12"/>
    </row>
    <row r="167" spans="1:9" ht="57" hidden="1">
      <c r="A167" s="113" t="s">
        <v>427</v>
      </c>
      <c r="B167" s="62"/>
      <c r="C167" s="526" t="s">
        <v>131</v>
      </c>
      <c r="D167" s="526" t="s">
        <v>460</v>
      </c>
      <c r="E167" s="526" t="s">
        <v>428</v>
      </c>
      <c r="F167" s="527"/>
      <c r="G167" s="137">
        <f>SUM(G168+G170+G172)</f>
        <v>0</v>
      </c>
      <c r="H167" s="137">
        <f>SUM(H168+H170+H172)</f>
        <v>0</v>
      </c>
      <c r="I167" s="12"/>
    </row>
    <row r="168" spans="1:9" ht="42.75" hidden="1">
      <c r="A168" s="113" t="s">
        <v>28</v>
      </c>
      <c r="B168" s="62"/>
      <c r="C168" s="526" t="s">
        <v>131</v>
      </c>
      <c r="D168" s="526" t="s">
        <v>460</v>
      </c>
      <c r="E168" s="526" t="s">
        <v>29</v>
      </c>
      <c r="F168" s="527"/>
      <c r="G168" s="137">
        <f>SUM(G169)</f>
        <v>0</v>
      </c>
      <c r="H168" s="137">
        <f>SUM(H169)</f>
        <v>0</v>
      </c>
      <c r="I168" s="12"/>
    </row>
    <row r="169" spans="1:9" ht="15" hidden="1">
      <c r="A169" s="109" t="s">
        <v>7</v>
      </c>
      <c r="B169" s="62"/>
      <c r="C169" s="526" t="s">
        <v>131</v>
      </c>
      <c r="D169" s="526" t="s">
        <v>460</v>
      </c>
      <c r="E169" s="526" t="s">
        <v>29</v>
      </c>
      <c r="F169" s="527" t="s">
        <v>8</v>
      </c>
      <c r="G169" s="137"/>
      <c r="H169" s="137"/>
      <c r="I169" s="12" t="e">
        <f aca="true" t="shared" si="8" ref="I169:I178">SUM(H169/G172*100)</f>
        <v>#DIV/0!</v>
      </c>
    </row>
    <row r="170" spans="1:9" ht="57" hidden="1">
      <c r="A170" s="113" t="s">
        <v>30</v>
      </c>
      <c r="B170" s="62"/>
      <c r="C170" s="526" t="s">
        <v>131</v>
      </c>
      <c r="D170" s="526" t="s">
        <v>460</v>
      </c>
      <c r="E170" s="526" t="s">
        <v>31</v>
      </c>
      <c r="F170" s="527"/>
      <c r="G170" s="137">
        <f>SUM(G171)</f>
        <v>0</v>
      </c>
      <c r="H170" s="137">
        <f>SUM(H171)</f>
        <v>0</v>
      </c>
      <c r="I170" s="12" t="e">
        <f t="shared" si="8"/>
        <v>#DIV/0!</v>
      </c>
    </row>
    <row r="171" spans="1:9" ht="15" hidden="1">
      <c r="A171" s="117" t="s">
        <v>134</v>
      </c>
      <c r="B171" s="62"/>
      <c r="C171" s="526" t="s">
        <v>131</v>
      </c>
      <c r="D171" s="526" t="s">
        <v>460</v>
      </c>
      <c r="E171" s="526" t="s">
        <v>31</v>
      </c>
      <c r="F171" s="527" t="s">
        <v>135</v>
      </c>
      <c r="G171" s="137"/>
      <c r="H171" s="137"/>
      <c r="I171" s="12" t="e">
        <f t="shared" si="8"/>
        <v>#DIV/0!</v>
      </c>
    </row>
    <row r="172" spans="1:9" ht="71.25" hidden="1">
      <c r="A172" s="113" t="s">
        <v>255</v>
      </c>
      <c r="B172" s="62"/>
      <c r="C172" s="526" t="s">
        <v>131</v>
      </c>
      <c r="D172" s="526" t="s">
        <v>460</v>
      </c>
      <c r="E172" s="526" t="s">
        <v>140</v>
      </c>
      <c r="F172" s="527"/>
      <c r="G172" s="137">
        <f>SUM(G173)</f>
        <v>0</v>
      </c>
      <c r="H172" s="137">
        <f>SUM(H173)</f>
        <v>0</v>
      </c>
      <c r="I172" s="12" t="e">
        <f t="shared" si="8"/>
        <v>#DIV/0!</v>
      </c>
    </row>
    <row r="173" spans="1:9" ht="15" hidden="1">
      <c r="A173" s="117" t="s">
        <v>134</v>
      </c>
      <c r="B173" s="62"/>
      <c r="C173" s="526" t="s">
        <v>131</v>
      </c>
      <c r="D173" s="526" t="s">
        <v>460</v>
      </c>
      <c r="E173" s="526" t="s">
        <v>140</v>
      </c>
      <c r="F173" s="527" t="s">
        <v>135</v>
      </c>
      <c r="G173" s="137"/>
      <c r="H173" s="137"/>
      <c r="I173" s="12" t="e">
        <f t="shared" si="8"/>
        <v>#DIV/0!</v>
      </c>
    </row>
    <row r="174" spans="1:9" ht="42.75" hidden="1">
      <c r="A174" s="113" t="s">
        <v>429</v>
      </c>
      <c r="B174" s="62"/>
      <c r="C174" s="526" t="s">
        <v>131</v>
      </c>
      <c r="D174" s="526" t="s">
        <v>460</v>
      </c>
      <c r="E174" s="526" t="s">
        <v>430</v>
      </c>
      <c r="F174" s="527"/>
      <c r="G174" s="137">
        <f>SUM(G175)+G181+G184</f>
        <v>0</v>
      </c>
      <c r="H174" s="137">
        <f>SUM(H175)+H181+H184</f>
        <v>0</v>
      </c>
      <c r="I174" s="12" t="e">
        <f t="shared" si="8"/>
        <v>#DIV/0!</v>
      </c>
    </row>
    <row r="175" spans="1:9" s="14" customFormat="1" ht="28.5" hidden="1">
      <c r="A175" s="113" t="s">
        <v>431</v>
      </c>
      <c r="B175" s="62"/>
      <c r="C175" s="526" t="s">
        <v>131</v>
      </c>
      <c r="D175" s="526" t="s">
        <v>460</v>
      </c>
      <c r="E175" s="526" t="s">
        <v>432</v>
      </c>
      <c r="F175" s="527"/>
      <c r="G175" s="137">
        <f>SUM(G176+G177)</f>
        <v>0</v>
      </c>
      <c r="H175" s="137">
        <f>SUM(H176+H177)</f>
        <v>0</v>
      </c>
      <c r="I175" s="12" t="e">
        <f t="shared" si="8"/>
        <v>#DIV/0!</v>
      </c>
    </row>
    <row r="176" spans="1:9" ht="15" hidden="1">
      <c r="A176" s="113" t="s">
        <v>7</v>
      </c>
      <c r="B176" s="62"/>
      <c r="C176" s="526" t="s">
        <v>131</v>
      </c>
      <c r="D176" s="526" t="s">
        <v>460</v>
      </c>
      <c r="E176" s="526" t="s">
        <v>432</v>
      </c>
      <c r="F176" s="527" t="s">
        <v>8</v>
      </c>
      <c r="G176" s="137"/>
      <c r="H176" s="137"/>
      <c r="I176" s="12" t="e">
        <f t="shared" si="8"/>
        <v>#DIV/0!</v>
      </c>
    </row>
    <row r="177" spans="1:9" ht="28.5" hidden="1">
      <c r="A177" s="113" t="s">
        <v>433</v>
      </c>
      <c r="B177" s="62"/>
      <c r="C177" s="526" t="s">
        <v>131</v>
      </c>
      <c r="D177" s="526" t="s">
        <v>460</v>
      </c>
      <c r="E177" s="526" t="s">
        <v>432</v>
      </c>
      <c r="F177" s="527" t="s">
        <v>434</v>
      </c>
      <c r="G177" s="137"/>
      <c r="H177" s="137"/>
      <c r="I177" s="12" t="e">
        <f t="shared" si="8"/>
        <v>#DIV/0!</v>
      </c>
    </row>
    <row r="178" spans="1:9" ht="28.5" hidden="1">
      <c r="A178" s="113" t="s">
        <v>249</v>
      </c>
      <c r="B178" s="62"/>
      <c r="C178" s="526" t="s">
        <v>131</v>
      </c>
      <c r="D178" s="526" t="s">
        <v>460</v>
      </c>
      <c r="E178" s="526" t="s">
        <v>422</v>
      </c>
      <c r="F178" s="527"/>
      <c r="G178" s="137">
        <f>SUM(G179)</f>
        <v>0</v>
      </c>
      <c r="H178" s="137">
        <f>SUM(H179)</f>
        <v>0</v>
      </c>
      <c r="I178" s="12" t="e">
        <f t="shared" si="8"/>
        <v>#DIV/0!</v>
      </c>
    </row>
    <row r="179" spans="1:9" ht="28.5" hidden="1">
      <c r="A179" s="113" t="s">
        <v>132</v>
      </c>
      <c r="B179" s="62"/>
      <c r="C179" s="526" t="s">
        <v>131</v>
      </c>
      <c r="D179" s="526" t="s">
        <v>460</v>
      </c>
      <c r="E179" s="526" t="s">
        <v>133</v>
      </c>
      <c r="F179" s="527"/>
      <c r="G179" s="137">
        <f>SUM(G180)</f>
        <v>0</v>
      </c>
      <c r="H179" s="137">
        <f>SUM(H180)</f>
        <v>0</v>
      </c>
      <c r="I179" s="12"/>
    </row>
    <row r="180" spans="1:9" ht="15" hidden="1">
      <c r="A180" s="113" t="s">
        <v>134</v>
      </c>
      <c r="B180" s="62"/>
      <c r="C180" s="526" t="s">
        <v>131</v>
      </c>
      <c r="D180" s="526" t="s">
        <v>460</v>
      </c>
      <c r="E180" s="526" t="s">
        <v>133</v>
      </c>
      <c r="F180" s="527" t="s">
        <v>135</v>
      </c>
      <c r="G180" s="137"/>
      <c r="H180" s="137"/>
      <c r="I180" s="12"/>
    </row>
    <row r="181" spans="1:9" ht="28.5" hidden="1">
      <c r="A181" s="113" t="s">
        <v>435</v>
      </c>
      <c r="B181" s="62"/>
      <c r="C181" s="526" t="s">
        <v>131</v>
      </c>
      <c r="D181" s="526" t="s">
        <v>460</v>
      </c>
      <c r="E181" s="526" t="s">
        <v>436</v>
      </c>
      <c r="F181" s="527"/>
      <c r="G181" s="137">
        <f>SUM(G182+G183)</f>
        <v>0</v>
      </c>
      <c r="H181" s="137">
        <f>SUM(H182+H183)</f>
        <v>0</v>
      </c>
      <c r="I181" s="12"/>
    </row>
    <row r="182" spans="1:9" ht="42.75" hidden="1">
      <c r="A182" s="109" t="s">
        <v>16</v>
      </c>
      <c r="B182" s="62"/>
      <c r="C182" s="526" t="s">
        <v>131</v>
      </c>
      <c r="D182" s="526" t="s">
        <v>460</v>
      </c>
      <c r="E182" s="526" t="s">
        <v>436</v>
      </c>
      <c r="F182" s="527" t="s">
        <v>58</v>
      </c>
      <c r="G182" s="137"/>
      <c r="H182" s="137"/>
      <c r="I182" s="12" t="e">
        <f>SUM(H182/G185*100)</f>
        <v>#DIV/0!</v>
      </c>
    </row>
    <row r="183" spans="1:9" s="14" customFormat="1" ht="15" hidden="1">
      <c r="A183" s="117" t="s">
        <v>134</v>
      </c>
      <c r="B183" s="62"/>
      <c r="C183" s="526" t="s">
        <v>131</v>
      </c>
      <c r="D183" s="526" t="s">
        <v>460</v>
      </c>
      <c r="E183" s="526" t="s">
        <v>436</v>
      </c>
      <c r="F183" s="527" t="s">
        <v>135</v>
      </c>
      <c r="G183" s="137"/>
      <c r="H183" s="137"/>
      <c r="I183" s="12" t="e">
        <f>SUM(H183/G186*100)</f>
        <v>#DIV/0!</v>
      </c>
    </row>
    <row r="184" spans="1:9" s="14" customFormat="1" ht="42.75" hidden="1">
      <c r="A184" s="113" t="s">
        <v>439</v>
      </c>
      <c r="B184" s="62"/>
      <c r="C184" s="526" t="s">
        <v>131</v>
      </c>
      <c r="D184" s="526" t="s">
        <v>460</v>
      </c>
      <c r="E184" s="526" t="s">
        <v>440</v>
      </c>
      <c r="F184" s="527"/>
      <c r="G184" s="137">
        <f>SUM(G185)</f>
        <v>0</v>
      </c>
      <c r="H184" s="137">
        <f>SUM(H185)</f>
        <v>0</v>
      </c>
      <c r="I184" s="12"/>
    </row>
    <row r="185" spans="1:9" s="18" customFormat="1" ht="15" hidden="1">
      <c r="A185" s="117" t="s">
        <v>134</v>
      </c>
      <c r="B185" s="62"/>
      <c r="C185" s="526" t="s">
        <v>131</v>
      </c>
      <c r="D185" s="526" t="s">
        <v>460</v>
      </c>
      <c r="E185" s="526" t="s">
        <v>440</v>
      </c>
      <c r="F185" s="527" t="s">
        <v>135</v>
      </c>
      <c r="G185" s="137"/>
      <c r="H185" s="137"/>
      <c r="I185" s="12" t="e">
        <f aca="true" t="shared" si="9" ref="I185:I190">SUM(H185/G188*100)</f>
        <v>#DIV/0!</v>
      </c>
    </row>
    <row r="186" spans="1:9" s="17" customFormat="1" ht="15" hidden="1">
      <c r="A186" s="109" t="s">
        <v>441</v>
      </c>
      <c r="B186" s="62"/>
      <c r="C186" s="526" t="s">
        <v>131</v>
      </c>
      <c r="D186" s="526" t="s">
        <v>460</v>
      </c>
      <c r="E186" s="526" t="s">
        <v>442</v>
      </c>
      <c r="F186" s="527"/>
      <c r="G186" s="137">
        <f>SUM(G187+G189)</f>
        <v>0</v>
      </c>
      <c r="H186" s="137">
        <f>SUM(H187+H189)</f>
        <v>0</v>
      </c>
      <c r="I186" s="12" t="e">
        <f t="shared" si="9"/>
        <v>#DIV/0!</v>
      </c>
    </row>
    <row r="187" spans="1:9" s="17" customFormat="1" ht="42.75" hidden="1">
      <c r="A187" s="110" t="s">
        <v>443</v>
      </c>
      <c r="B187" s="62"/>
      <c r="C187" s="526" t="s">
        <v>131</v>
      </c>
      <c r="D187" s="526" t="s">
        <v>460</v>
      </c>
      <c r="E187" s="526" t="s">
        <v>444</v>
      </c>
      <c r="F187" s="527"/>
      <c r="G187" s="137">
        <f>SUM(G188)</f>
        <v>0</v>
      </c>
      <c r="H187" s="137">
        <f>SUM(H188)</f>
        <v>0</v>
      </c>
      <c r="I187" s="12" t="e">
        <f t="shared" si="9"/>
        <v>#DIV/0!</v>
      </c>
    </row>
    <row r="188" spans="1:9" s="17" customFormat="1" ht="15" hidden="1">
      <c r="A188" s="109" t="s">
        <v>7</v>
      </c>
      <c r="B188" s="62"/>
      <c r="C188" s="526" t="s">
        <v>131</v>
      </c>
      <c r="D188" s="526" t="s">
        <v>460</v>
      </c>
      <c r="E188" s="526" t="s">
        <v>444</v>
      </c>
      <c r="F188" s="527" t="s">
        <v>8</v>
      </c>
      <c r="G188" s="137"/>
      <c r="H188" s="137"/>
      <c r="I188" s="12" t="e">
        <f t="shared" si="9"/>
        <v>#DIV/0!</v>
      </c>
    </row>
    <row r="189" spans="1:9" s="17" customFormat="1" ht="28.5" hidden="1">
      <c r="A189" s="110" t="s">
        <v>445</v>
      </c>
      <c r="B189" s="529"/>
      <c r="C189" s="526" t="s">
        <v>131</v>
      </c>
      <c r="D189" s="526" t="s">
        <v>460</v>
      </c>
      <c r="E189" s="526" t="s">
        <v>446</v>
      </c>
      <c r="F189" s="528"/>
      <c r="G189" s="137">
        <f>SUM(G190)</f>
        <v>0</v>
      </c>
      <c r="H189" s="137">
        <f>SUM(H190)</f>
        <v>0</v>
      </c>
      <c r="I189" s="12" t="e">
        <f t="shared" si="9"/>
        <v>#DIV/0!</v>
      </c>
    </row>
    <row r="190" spans="1:9" s="17" customFormat="1" ht="15" hidden="1">
      <c r="A190" s="109" t="s">
        <v>103</v>
      </c>
      <c r="B190" s="583"/>
      <c r="C190" s="526" t="s">
        <v>131</v>
      </c>
      <c r="D190" s="526" t="s">
        <v>460</v>
      </c>
      <c r="E190" s="526" t="s">
        <v>446</v>
      </c>
      <c r="F190" s="527" t="s">
        <v>104</v>
      </c>
      <c r="G190" s="137"/>
      <c r="H190" s="137"/>
      <c r="I190" s="12" t="e">
        <f t="shared" si="9"/>
        <v>#DIV/0!</v>
      </c>
    </row>
    <row r="191" spans="1:9" s="17" customFormat="1" ht="15" hidden="1">
      <c r="A191" s="110" t="s">
        <v>3</v>
      </c>
      <c r="B191" s="62"/>
      <c r="C191" s="526" t="s">
        <v>131</v>
      </c>
      <c r="D191" s="526" t="s">
        <v>460</v>
      </c>
      <c r="E191" s="526" t="s">
        <v>4</v>
      </c>
      <c r="F191" s="527"/>
      <c r="G191" s="137">
        <f>SUM(G195)+G200+G192</f>
        <v>0</v>
      </c>
      <c r="H191" s="137">
        <f>SUM(H195)+H200+H192</f>
        <v>0</v>
      </c>
      <c r="I191" s="12"/>
    </row>
    <row r="192" spans="1:9" s="17" customFormat="1" ht="28.5" hidden="1">
      <c r="A192" s="110" t="s">
        <v>447</v>
      </c>
      <c r="B192" s="62"/>
      <c r="C192" s="526" t="s">
        <v>131</v>
      </c>
      <c r="D192" s="526" t="s">
        <v>460</v>
      </c>
      <c r="E192" s="526" t="s">
        <v>448</v>
      </c>
      <c r="F192" s="527"/>
      <c r="G192" s="137">
        <f>SUM(G193)</f>
        <v>0</v>
      </c>
      <c r="H192" s="137">
        <f>SUM(H193)</f>
        <v>0</v>
      </c>
      <c r="I192" s="12"/>
    </row>
    <row r="193" spans="1:9" s="584" customFormat="1" ht="15" hidden="1">
      <c r="A193" s="110" t="s">
        <v>134</v>
      </c>
      <c r="B193" s="62"/>
      <c r="C193" s="526" t="s">
        <v>131</v>
      </c>
      <c r="D193" s="526" t="s">
        <v>460</v>
      </c>
      <c r="E193" s="526" t="s">
        <v>448</v>
      </c>
      <c r="F193" s="527" t="s">
        <v>135</v>
      </c>
      <c r="G193" s="137"/>
      <c r="H193" s="137"/>
      <c r="I193" s="12" t="e">
        <f>SUM(H193/G196*100)</f>
        <v>#DIV/0!</v>
      </c>
    </row>
    <row r="194" spans="1:9" s="17" customFormat="1" ht="15" hidden="1">
      <c r="A194" s="110"/>
      <c r="B194" s="62"/>
      <c r="C194" s="526"/>
      <c r="D194" s="526"/>
      <c r="E194" s="526"/>
      <c r="F194" s="527"/>
      <c r="G194" s="137"/>
      <c r="H194" s="137"/>
      <c r="I194" s="12" t="e">
        <f>SUM(H194/G197*100)</f>
        <v>#DIV/0!</v>
      </c>
    </row>
    <row r="195" spans="1:9" s="17" customFormat="1" ht="28.5" hidden="1">
      <c r="A195" s="109" t="s">
        <v>449</v>
      </c>
      <c r="B195" s="62"/>
      <c r="C195" s="526" t="s">
        <v>131</v>
      </c>
      <c r="D195" s="526" t="s">
        <v>460</v>
      </c>
      <c r="E195" s="526" t="s">
        <v>450</v>
      </c>
      <c r="F195" s="527"/>
      <c r="G195" s="137">
        <f>SUM(G196+G198)</f>
        <v>0</v>
      </c>
      <c r="H195" s="137">
        <f>SUM(H196+H198)</f>
        <v>0</v>
      </c>
      <c r="I195" s="12" t="e">
        <f>SUM(H195/G198*100)</f>
        <v>#DIV/0!</v>
      </c>
    </row>
    <row r="196" spans="1:9" s="17" customFormat="1" ht="28.5" hidden="1">
      <c r="A196" s="110" t="s">
        <v>451</v>
      </c>
      <c r="B196" s="62"/>
      <c r="C196" s="526" t="s">
        <v>131</v>
      </c>
      <c r="D196" s="526" t="s">
        <v>460</v>
      </c>
      <c r="E196" s="526" t="s">
        <v>452</v>
      </c>
      <c r="F196" s="527"/>
      <c r="G196" s="137">
        <f>SUM(G197)</f>
        <v>0</v>
      </c>
      <c r="H196" s="137">
        <f>SUM(H197)</f>
        <v>0</v>
      </c>
      <c r="I196" s="12" t="e">
        <f>SUM(H196/G199*100)</f>
        <v>#DIV/0!</v>
      </c>
    </row>
    <row r="197" spans="1:9" s="17" customFormat="1" ht="15" hidden="1">
      <c r="A197" s="113" t="s">
        <v>134</v>
      </c>
      <c r="B197" s="62"/>
      <c r="C197" s="526" t="s">
        <v>131</v>
      </c>
      <c r="D197" s="526" t="s">
        <v>460</v>
      </c>
      <c r="E197" s="526" t="s">
        <v>452</v>
      </c>
      <c r="F197" s="527" t="s">
        <v>135</v>
      </c>
      <c r="G197" s="137"/>
      <c r="H197" s="137"/>
      <c r="I197" s="12"/>
    </row>
    <row r="198" spans="1:9" s="17" customFormat="1" ht="15" hidden="1">
      <c r="A198" s="113" t="s">
        <v>453</v>
      </c>
      <c r="B198" s="62"/>
      <c r="C198" s="526" t="s">
        <v>131</v>
      </c>
      <c r="D198" s="526" t="s">
        <v>460</v>
      </c>
      <c r="E198" s="526" t="s">
        <v>454</v>
      </c>
      <c r="F198" s="527"/>
      <c r="G198" s="137">
        <f>SUM(G199)</f>
        <v>0</v>
      </c>
      <c r="H198" s="137">
        <f>SUM(H199)</f>
        <v>0</v>
      </c>
      <c r="I198" s="12"/>
    </row>
    <row r="199" spans="1:9" s="17" customFormat="1" ht="15" hidden="1">
      <c r="A199" s="109" t="s">
        <v>103</v>
      </c>
      <c r="B199" s="583"/>
      <c r="C199" s="526" t="s">
        <v>131</v>
      </c>
      <c r="D199" s="526" t="s">
        <v>460</v>
      </c>
      <c r="E199" s="526" t="s">
        <v>454</v>
      </c>
      <c r="F199" s="527" t="s">
        <v>104</v>
      </c>
      <c r="G199" s="137"/>
      <c r="H199" s="137"/>
      <c r="I199" s="12" t="e">
        <f>SUM(H199/G202*100)</f>
        <v>#DIV/0!</v>
      </c>
    </row>
    <row r="200" spans="1:9" s="17" customFormat="1" ht="28.5" hidden="1">
      <c r="A200" s="109" t="s">
        <v>455</v>
      </c>
      <c r="B200" s="583"/>
      <c r="C200" s="526" t="s">
        <v>131</v>
      </c>
      <c r="D200" s="526" t="s">
        <v>460</v>
      </c>
      <c r="E200" s="526" t="s">
        <v>456</v>
      </c>
      <c r="F200" s="527"/>
      <c r="G200" s="137"/>
      <c r="H200" s="137"/>
      <c r="I200" s="12" t="e">
        <f>SUM(H200/G203*100)</f>
        <v>#DIV/0!</v>
      </c>
    </row>
    <row r="201" spans="1:9" s="17" customFormat="1" ht="28.5" hidden="1">
      <c r="A201" s="109" t="s">
        <v>44</v>
      </c>
      <c r="B201" s="583"/>
      <c r="C201" s="526" t="s">
        <v>131</v>
      </c>
      <c r="D201" s="526" t="s">
        <v>460</v>
      </c>
      <c r="E201" s="526" t="s">
        <v>45</v>
      </c>
      <c r="F201" s="527"/>
      <c r="G201" s="137">
        <f>SUM(G202)</f>
        <v>0</v>
      </c>
      <c r="H201" s="137">
        <f>SUM(H202)</f>
        <v>0</v>
      </c>
      <c r="I201" s="12" t="e">
        <f>SUM(H201/G204*100)</f>
        <v>#DIV/0!</v>
      </c>
    </row>
    <row r="202" spans="1:9" s="14" customFormat="1" ht="15" hidden="1">
      <c r="A202" s="109" t="s">
        <v>7</v>
      </c>
      <c r="B202" s="583"/>
      <c r="C202" s="526" t="s">
        <v>131</v>
      </c>
      <c r="D202" s="526" t="s">
        <v>460</v>
      </c>
      <c r="E202" s="526" t="s">
        <v>45</v>
      </c>
      <c r="F202" s="527" t="s">
        <v>8</v>
      </c>
      <c r="G202" s="137"/>
      <c r="H202" s="137"/>
      <c r="I202" s="12"/>
    </row>
    <row r="203" spans="1:9" s="18" customFormat="1" ht="28.5" hidden="1">
      <c r="A203" s="109" t="s">
        <v>46</v>
      </c>
      <c r="B203" s="583"/>
      <c r="C203" s="526" t="s">
        <v>131</v>
      </c>
      <c r="D203" s="526" t="s">
        <v>460</v>
      </c>
      <c r="E203" s="526" t="s">
        <v>47</v>
      </c>
      <c r="F203" s="527"/>
      <c r="G203" s="137">
        <f>SUM(G204)</f>
        <v>0</v>
      </c>
      <c r="H203" s="137">
        <f>SUM(H204)</f>
        <v>0</v>
      </c>
      <c r="I203" s="12" t="e">
        <f aca="true" t="shared" si="10" ref="I203:I246">SUM(H203/G206*100)</f>
        <v>#DIV/0!</v>
      </c>
    </row>
    <row r="204" spans="1:9" s="17" customFormat="1" ht="15" hidden="1">
      <c r="A204" s="109" t="s">
        <v>7</v>
      </c>
      <c r="B204" s="583"/>
      <c r="C204" s="526" t="s">
        <v>131</v>
      </c>
      <c r="D204" s="526" t="s">
        <v>460</v>
      </c>
      <c r="E204" s="526" t="s">
        <v>47</v>
      </c>
      <c r="F204" s="527" t="s">
        <v>8</v>
      </c>
      <c r="G204" s="137"/>
      <c r="H204" s="137"/>
      <c r="I204" s="12" t="e">
        <f t="shared" si="10"/>
        <v>#DIV/0!</v>
      </c>
    </row>
    <row r="205" spans="1:9" s="17" customFormat="1" ht="15" hidden="1">
      <c r="A205" s="109" t="s">
        <v>441</v>
      </c>
      <c r="B205" s="583"/>
      <c r="C205" s="526" t="s">
        <v>131</v>
      </c>
      <c r="D205" s="526" t="s">
        <v>460</v>
      </c>
      <c r="E205" s="526" t="s">
        <v>442</v>
      </c>
      <c r="F205" s="527"/>
      <c r="G205" s="137">
        <f>SUM(G206)</f>
        <v>0</v>
      </c>
      <c r="H205" s="137">
        <f>SUM(H206)</f>
        <v>0</v>
      </c>
      <c r="I205" s="12" t="e">
        <f t="shared" si="10"/>
        <v>#DIV/0!</v>
      </c>
    </row>
    <row r="206" spans="1:9" s="17" customFormat="1" ht="28.5" hidden="1">
      <c r="A206" s="109" t="s">
        <v>288</v>
      </c>
      <c r="B206" s="583"/>
      <c r="C206" s="526" t="s">
        <v>131</v>
      </c>
      <c r="D206" s="526" t="s">
        <v>460</v>
      </c>
      <c r="E206" s="526" t="s">
        <v>446</v>
      </c>
      <c r="F206" s="527"/>
      <c r="G206" s="137">
        <f>SUM(G207)</f>
        <v>0</v>
      </c>
      <c r="H206" s="137">
        <f>SUM(H207)</f>
        <v>0</v>
      </c>
      <c r="I206" s="12" t="e">
        <f t="shared" si="10"/>
        <v>#DIV/0!</v>
      </c>
    </row>
    <row r="207" spans="1:9" s="17" customFormat="1" ht="15" hidden="1">
      <c r="A207" s="109" t="s">
        <v>103</v>
      </c>
      <c r="B207" s="583"/>
      <c r="C207" s="526" t="s">
        <v>131</v>
      </c>
      <c r="D207" s="526" t="s">
        <v>460</v>
      </c>
      <c r="E207" s="526" t="s">
        <v>446</v>
      </c>
      <c r="F207" s="527" t="s">
        <v>104</v>
      </c>
      <c r="G207" s="137"/>
      <c r="H207" s="137"/>
      <c r="I207" s="12" t="e">
        <f t="shared" si="10"/>
        <v>#DIV/0!</v>
      </c>
    </row>
    <row r="208" spans="1:9" s="14" customFormat="1" ht="15" hidden="1">
      <c r="A208" s="117" t="s">
        <v>128</v>
      </c>
      <c r="B208" s="62"/>
      <c r="C208" s="526" t="s">
        <v>131</v>
      </c>
      <c r="D208" s="526" t="s">
        <v>460</v>
      </c>
      <c r="E208" s="526" t="s">
        <v>129</v>
      </c>
      <c r="F208" s="527"/>
      <c r="G208" s="137">
        <f>SUM(G209+G212)+G216</f>
        <v>0</v>
      </c>
      <c r="H208" s="137">
        <f>SUM(H209+H212)+H216</f>
        <v>0</v>
      </c>
      <c r="I208" s="12" t="e">
        <f t="shared" si="10"/>
        <v>#DIV/0!</v>
      </c>
    </row>
    <row r="209" spans="1:9" s="14" customFormat="1" ht="42.75" hidden="1">
      <c r="A209" s="117" t="s">
        <v>492</v>
      </c>
      <c r="B209" s="62"/>
      <c r="C209" s="526" t="s">
        <v>131</v>
      </c>
      <c r="D209" s="526" t="s">
        <v>460</v>
      </c>
      <c r="E209" s="526" t="s">
        <v>298</v>
      </c>
      <c r="F209" s="527"/>
      <c r="G209" s="138">
        <f>SUM(G210)</f>
        <v>0</v>
      </c>
      <c r="H209" s="138">
        <f>SUM(H210)</f>
        <v>0</v>
      </c>
      <c r="I209" s="12" t="e">
        <f t="shared" si="10"/>
        <v>#DIV/0!</v>
      </c>
    </row>
    <row r="210" spans="1:9" s="14" customFormat="1" ht="15" hidden="1">
      <c r="A210" s="113" t="s">
        <v>7</v>
      </c>
      <c r="B210" s="62"/>
      <c r="C210" s="526" t="s">
        <v>131</v>
      </c>
      <c r="D210" s="526" t="s">
        <v>460</v>
      </c>
      <c r="E210" s="526" t="s">
        <v>298</v>
      </c>
      <c r="F210" s="527" t="s">
        <v>8</v>
      </c>
      <c r="G210" s="138"/>
      <c r="H210" s="138"/>
      <c r="I210" s="12" t="e">
        <f t="shared" si="10"/>
        <v>#DIV/0!</v>
      </c>
    </row>
    <row r="211" spans="1:9" s="14" customFormat="1" ht="15" hidden="1">
      <c r="A211" s="117" t="s">
        <v>48</v>
      </c>
      <c r="B211" s="62"/>
      <c r="C211" s="526" t="s">
        <v>131</v>
      </c>
      <c r="D211" s="526" t="s">
        <v>460</v>
      </c>
      <c r="E211" s="526" t="s">
        <v>49</v>
      </c>
      <c r="F211" s="527" t="s">
        <v>104</v>
      </c>
      <c r="G211" s="137"/>
      <c r="H211" s="137"/>
      <c r="I211" s="12" t="e">
        <f t="shared" si="10"/>
        <v>#DIV/0!</v>
      </c>
    </row>
    <row r="212" spans="1:9" s="14" customFormat="1" ht="15" hidden="1">
      <c r="A212" s="117" t="s">
        <v>134</v>
      </c>
      <c r="B212" s="62"/>
      <c r="C212" s="526" t="s">
        <v>131</v>
      </c>
      <c r="D212" s="526" t="s">
        <v>460</v>
      </c>
      <c r="E212" s="526" t="s">
        <v>129</v>
      </c>
      <c r="F212" s="527" t="s">
        <v>135</v>
      </c>
      <c r="G212" s="137">
        <f>SUM(G213)</f>
        <v>0</v>
      </c>
      <c r="H212" s="137">
        <f>SUM(H213)</f>
        <v>0</v>
      </c>
      <c r="I212" s="12" t="e">
        <f t="shared" si="10"/>
        <v>#DIV/0!</v>
      </c>
    </row>
    <row r="213" spans="1:9" s="14" customFormat="1" ht="28.5" hidden="1">
      <c r="A213" s="113" t="s">
        <v>50</v>
      </c>
      <c r="B213" s="62"/>
      <c r="C213" s="526" t="s">
        <v>131</v>
      </c>
      <c r="D213" s="526" t="s">
        <v>460</v>
      </c>
      <c r="E213" s="526" t="s">
        <v>51</v>
      </c>
      <c r="F213" s="527" t="s">
        <v>135</v>
      </c>
      <c r="G213" s="137">
        <f>SUM(G215)</f>
        <v>0</v>
      </c>
      <c r="H213" s="137">
        <f>SUM(H215)</f>
        <v>0</v>
      </c>
      <c r="I213" s="12" t="e">
        <f t="shared" si="10"/>
        <v>#DIV/0!</v>
      </c>
    </row>
    <row r="214" spans="1:9" s="14" customFormat="1" ht="28.5" hidden="1">
      <c r="A214" s="113" t="s">
        <v>66</v>
      </c>
      <c r="B214" s="62"/>
      <c r="C214" s="526"/>
      <c r="D214" s="526"/>
      <c r="E214" s="526"/>
      <c r="F214" s="527"/>
      <c r="G214" s="137"/>
      <c r="H214" s="137"/>
      <c r="I214" s="12" t="e">
        <f t="shared" si="10"/>
        <v>#DIV/0!</v>
      </c>
    </row>
    <row r="215" spans="1:9" s="14" customFormat="1" ht="28.5" hidden="1">
      <c r="A215" s="110" t="s">
        <v>451</v>
      </c>
      <c r="B215" s="62"/>
      <c r="C215" s="526" t="s">
        <v>131</v>
      </c>
      <c r="D215" s="526" t="s">
        <v>460</v>
      </c>
      <c r="E215" s="526" t="s">
        <v>52</v>
      </c>
      <c r="F215" s="527" t="s">
        <v>135</v>
      </c>
      <c r="G215" s="137"/>
      <c r="H215" s="137"/>
      <c r="I215" s="12">
        <f t="shared" si="10"/>
        <v>0</v>
      </c>
    </row>
    <row r="216" spans="1:9" s="14" customFormat="1" ht="28.5" hidden="1">
      <c r="A216" s="109" t="s">
        <v>53</v>
      </c>
      <c r="B216" s="62"/>
      <c r="C216" s="526" t="s">
        <v>131</v>
      </c>
      <c r="D216" s="526" t="s">
        <v>460</v>
      </c>
      <c r="E216" s="526" t="s">
        <v>54</v>
      </c>
      <c r="F216" s="527"/>
      <c r="G216" s="137">
        <f>SUM(G217)</f>
        <v>0</v>
      </c>
      <c r="H216" s="137">
        <f>SUM(H217)</f>
        <v>0</v>
      </c>
      <c r="I216" s="12">
        <f t="shared" si="10"/>
        <v>0</v>
      </c>
    </row>
    <row r="217" spans="1:9" s="14" customFormat="1" ht="15" hidden="1">
      <c r="A217" s="117" t="s">
        <v>134</v>
      </c>
      <c r="B217" s="62"/>
      <c r="C217" s="526" t="s">
        <v>131</v>
      </c>
      <c r="D217" s="526" t="s">
        <v>460</v>
      </c>
      <c r="E217" s="526" t="s">
        <v>54</v>
      </c>
      <c r="F217" s="527" t="s">
        <v>135</v>
      </c>
      <c r="G217" s="137"/>
      <c r="H217" s="137"/>
      <c r="I217" s="12">
        <f t="shared" si="10"/>
        <v>0</v>
      </c>
    </row>
    <row r="218" spans="1:9" s="14" customFormat="1" ht="15">
      <c r="A218" s="113" t="s">
        <v>55</v>
      </c>
      <c r="B218" s="148"/>
      <c r="C218" s="566" t="s">
        <v>131</v>
      </c>
      <c r="D218" s="566" t="s">
        <v>462</v>
      </c>
      <c r="E218" s="566"/>
      <c r="F218" s="567"/>
      <c r="G218" s="572">
        <f>G219</f>
        <v>8374.9</v>
      </c>
      <c r="H218" s="572">
        <f>H219</f>
        <v>2054.9</v>
      </c>
      <c r="I218" s="12">
        <f t="shared" si="10"/>
        <v>24.536412375073137</v>
      </c>
    </row>
    <row r="219" spans="1:9" s="14" customFormat="1" ht="15">
      <c r="A219" s="113" t="s">
        <v>295</v>
      </c>
      <c r="B219" s="148"/>
      <c r="C219" s="566" t="s">
        <v>131</v>
      </c>
      <c r="D219" s="566" t="s">
        <v>462</v>
      </c>
      <c r="E219" s="566" t="s">
        <v>554</v>
      </c>
      <c r="F219" s="567"/>
      <c r="G219" s="572">
        <f>G220</f>
        <v>8374.9</v>
      </c>
      <c r="H219" s="572">
        <f>H220</f>
        <v>2054.9</v>
      </c>
      <c r="I219" s="12" t="e">
        <f t="shared" si="10"/>
        <v>#DIV/0!</v>
      </c>
    </row>
    <row r="220" spans="1:9" s="14" customFormat="1" ht="15">
      <c r="A220" s="113" t="s">
        <v>41</v>
      </c>
      <c r="B220" s="148"/>
      <c r="C220" s="566" t="s">
        <v>131</v>
      </c>
      <c r="D220" s="566" t="s">
        <v>462</v>
      </c>
      <c r="E220" s="566" t="s">
        <v>555</v>
      </c>
      <c r="F220" s="567"/>
      <c r="G220" s="572">
        <f>SUM(G221)</f>
        <v>8374.9</v>
      </c>
      <c r="H220" s="572">
        <f>SUM(H221)</f>
        <v>2054.9</v>
      </c>
      <c r="I220" s="12" t="e">
        <f t="shared" si="10"/>
        <v>#DIV/0!</v>
      </c>
    </row>
    <row r="221" spans="1:9" s="14" customFormat="1" ht="15">
      <c r="A221" s="113" t="s">
        <v>500</v>
      </c>
      <c r="B221" s="148"/>
      <c r="C221" s="566" t="s">
        <v>131</v>
      </c>
      <c r="D221" s="566" t="s">
        <v>462</v>
      </c>
      <c r="E221" s="566" t="s">
        <v>555</v>
      </c>
      <c r="F221" s="567" t="s">
        <v>120</v>
      </c>
      <c r="G221" s="572">
        <v>8374.9</v>
      </c>
      <c r="H221" s="572">
        <v>2054.9</v>
      </c>
      <c r="I221" s="12">
        <f t="shared" si="10"/>
        <v>4.338646234272963</v>
      </c>
    </row>
    <row r="222" spans="1:9" s="14" customFormat="1" ht="28.5" hidden="1">
      <c r="A222" s="113" t="s">
        <v>520</v>
      </c>
      <c r="B222" s="148"/>
      <c r="C222" s="566" t="s">
        <v>131</v>
      </c>
      <c r="D222" s="566" t="s">
        <v>462</v>
      </c>
      <c r="E222" s="566" t="s">
        <v>555</v>
      </c>
      <c r="F222" s="567" t="s">
        <v>521</v>
      </c>
      <c r="G222" s="572"/>
      <c r="H222" s="572"/>
      <c r="I222" s="12">
        <f t="shared" si="10"/>
        <v>0</v>
      </c>
    </row>
    <row r="223" spans="1:9" s="14" customFormat="1" ht="28.5" hidden="1">
      <c r="A223" s="113" t="s">
        <v>520</v>
      </c>
      <c r="B223" s="148"/>
      <c r="C223" s="566" t="s">
        <v>131</v>
      </c>
      <c r="D223" s="566" t="s">
        <v>462</v>
      </c>
      <c r="E223" s="566" t="s">
        <v>555</v>
      </c>
      <c r="F223" s="567" t="s">
        <v>521</v>
      </c>
      <c r="G223" s="572"/>
      <c r="H223" s="572"/>
      <c r="I223" s="12">
        <f t="shared" si="10"/>
        <v>0</v>
      </c>
    </row>
    <row r="224" spans="1:9" s="14" customFormat="1" ht="15">
      <c r="A224" s="113" t="s">
        <v>43</v>
      </c>
      <c r="B224" s="148"/>
      <c r="C224" s="566" t="s">
        <v>131</v>
      </c>
      <c r="D224" s="566" t="s">
        <v>106</v>
      </c>
      <c r="E224" s="566"/>
      <c r="F224" s="567"/>
      <c r="G224" s="572">
        <f>G225</f>
        <v>47362.7</v>
      </c>
      <c r="H224" s="572">
        <f>H225</f>
        <v>47362.7</v>
      </c>
      <c r="I224" s="12">
        <f t="shared" si="10"/>
        <v>119.99913856880808</v>
      </c>
    </row>
    <row r="225" spans="1:9" s="14" customFormat="1" ht="15">
      <c r="A225" s="113" t="s">
        <v>43</v>
      </c>
      <c r="B225" s="150"/>
      <c r="C225" s="566" t="s">
        <v>131</v>
      </c>
      <c r="D225" s="566" t="s">
        <v>106</v>
      </c>
      <c r="E225" s="577" t="s">
        <v>71</v>
      </c>
      <c r="F225" s="578"/>
      <c r="G225" s="572">
        <f>G226+G230+G234</f>
        <v>47362.7</v>
      </c>
      <c r="H225" s="572">
        <f>H226+H230+H234</f>
        <v>47362.7</v>
      </c>
      <c r="I225" s="12" t="e">
        <f t="shared" si="10"/>
        <v>#DIV/0!</v>
      </c>
    </row>
    <row r="226" spans="1:9" s="14" customFormat="1" ht="15">
      <c r="A226" s="115" t="s">
        <v>72</v>
      </c>
      <c r="B226" s="150"/>
      <c r="C226" s="566" t="s">
        <v>131</v>
      </c>
      <c r="D226" s="566" t="s">
        <v>106</v>
      </c>
      <c r="E226" s="577" t="s">
        <v>73</v>
      </c>
      <c r="F226" s="578"/>
      <c r="G226" s="572">
        <f>SUM(G227)</f>
        <v>39469.2</v>
      </c>
      <c r="H226" s="572">
        <f>SUM(H227)</f>
        <v>39469.2</v>
      </c>
      <c r="I226" s="12" t="e">
        <f t="shared" si="10"/>
        <v>#DIV/0!</v>
      </c>
    </row>
    <row r="227" spans="1:9" s="14" customFormat="1" ht="15">
      <c r="A227" s="113" t="s">
        <v>500</v>
      </c>
      <c r="B227" s="150"/>
      <c r="C227" s="566" t="s">
        <v>131</v>
      </c>
      <c r="D227" s="566" t="s">
        <v>106</v>
      </c>
      <c r="E227" s="577" t="s">
        <v>73</v>
      </c>
      <c r="F227" s="578" t="s">
        <v>120</v>
      </c>
      <c r="G227" s="572">
        <v>39469.2</v>
      </c>
      <c r="H227" s="572">
        <v>39469.2</v>
      </c>
      <c r="I227" s="12">
        <f t="shared" si="10"/>
        <v>512.9134124312874</v>
      </c>
    </row>
    <row r="228" spans="1:9" s="14" customFormat="1" ht="28.5" hidden="1">
      <c r="A228" s="113" t="s">
        <v>518</v>
      </c>
      <c r="B228" s="150"/>
      <c r="C228" s="566" t="s">
        <v>131</v>
      </c>
      <c r="D228" s="566" t="s">
        <v>106</v>
      </c>
      <c r="E228" s="577" t="s">
        <v>73</v>
      </c>
      <c r="F228" s="578" t="s">
        <v>519</v>
      </c>
      <c r="G228" s="572"/>
      <c r="H228" s="572"/>
      <c r="I228" s="12">
        <f t="shared" si="10"/>
        <v>0</v>
      </c>
    </row>
    <row r="229" spans="1:9" s="14" customFormat="1" ht="28.5" hidden="1">
      <c r="A229" s="113" t="s">
        <v>520</v>
      </c>
      <c r="B229" s="150"/>
      <c r="C229" s="566" t="s">
        <v>131</v>
      </c>
      <c r="D229" s="566" t="s">
        <v>106</v>
      </c>
      <c r="E229" s="577" t="s">
        <v>73</v>
      </c>
      <c r="F229" s="578" t="s">
        <v>521</v>
      </c>
      <c r="G229" s="572"/>
      <c r="H229" s="572"/>
      <c r="I229" s="12" t="e">
        <f t="shared" si="10"/>
        <v>#DIV/0!</v>
      </c>
    </row>
    <row r="230" spans="1:9" s="14" customFormat="1" ht="28.5">
      <c r="A230" s="113" t="s">
        <v>605</v>
      </c>
      <c r="B230" s="150"/>
      <c r="C230" s="566" t="s">
        <v>131</v>
      </c>
      <c r="D230" s="566" t="s">
        <v>106</v>
      </c>
      <c r="E230" s="577" t="s">
        <v>40</v>
      </c>
      <c r="F230" s="578"/>
      <c r="G230" s="572">
        <f>G231</f>
        <v>7695.1</v>
      </c>
      <c r="H230" s="572">
        <f>H231</f>
        <v>7695.1</v>
      </c>
      <c r="I230" s="12" t="e">
        <f t="shared" si="10"/>
        <v>#DIV/0!</v>
      </c>
    </row>
    <row r="231" spans="1:9" s="14" customFormat="1" ht="15">
      <c r="A231" s="113" t="s">
        <v>500</v>
      </c>
      <c r="B231" s="150"/>
      <c r="C231" s="566" t="s">
        <v>131</v>
      </c>
      <c r="D231" s="566" t="s">
        <v>106</v>
      </c>
      <c r="E231" s="577" t="s">
        <v>40</v>
      </c>
      <c r="F231" s="578" t="s">
        <v>120</v>
      </c>
      <c r="G231" s="572">
        <v>7695.1</v>
      </c>
      <c r="H231" s="572">
        <v>7695.1</v>
      </c>
      <c r="I231" s="12">
        <f t="shared" si="10"/>
        <v>3878.5786290322585</v>
      </c>
    </row>
    <row r="232" spans="1:9" s="14" customFormat="1" ht="28.5" hidden="1">
      <c r="A232" s="113" t="s">
        <v>518</v>
      </c>
      <c r="B232" s="150"/>
      <c r="C232" s="566" t="s">
        <v>131</v>
      </c>
      <c r="D232" s="566" t="s">
        <v>106</v>
      </c>
      <c r="E232" s="577" t="s">
        <v>40</v>
      </c>
      <c r="F232" s="578" t="s">
        <v>519</v>
      </c>
      <c r="G232" s="572"/>
      <c r="H232" s="572"/>
      <c r="I232" s="12">
        <f t="shared" si="10"/>
        <v>0</v>
      </c>
    </row>
    <row r="233" spans="1:9" s="14" customFormat="1" ht="28.5" hidden="1">
      <c r="A233" s="113" t="s">
        <v>520</v>
      </c>
      <c r="B233" s="150"/>
      <c r="C233" s="566" t="s">
        <v>131</v>
      </c>
      <c r="D233" s="566" t="s">
        <v>106</v>
      </c>
      <c r="E233" s="577" t="s">
        <v>40</v>
      </c>
      <c r="F233" s="578" t="s">
        <v>521</v>
      </c>
      <c r="G233" s="572"/>
      <c r="H233" s="572"/>
      <c r="I233" s="12">
        <f t="shared" si="10"/>
        <v>0</v>
      </c>
    </row>
    <row r="234" spans="1:9" s="14" customFormat="1" ht="57">
      <c r="A234" s="114" t="s">
        <v>603</v>
      </c>
      <c r="B234" s="133"/>
      <c r="C234" s="530" t="s">
        <v>131</v>
      </c>
      <c r="D234" s="530" t="s">
        <v>106</v>
      </c>
      <c r="E234" s="585" t="s">
        <v>604</v>
      </c>
      <c r="F234" s="531"/>
      <c r="G234" s="573">
        <f>SUM(G235)</f>
        <v>198.4</v>
      </c>
      <c r="H234" s="573">
        <f>SUM(H235)</f>
        <v>198.4</v>
      </c>
      <c r="I234" s="12">
        <f t="shared" si="10"/>
        <v>6.613333333333333</v>
      </c>
    </row>
    <row r="235" spans="1:9" s="14" customFormat="1" ht="15">
      <c r="A235" s="113" t="s">
        <v>500</v>
      </c>
      <c r="B235" s="150"/>
      <c r="C235" s="566" t="s">
        <v>131</v>
      </c>
      <c r="D235" s="566" t="s">
        <v>106</v>
      </c>
      <c r="E235" s="585" t="s">
        <v>604</v>
      </c>
      <c r="F235" s="578" t="s">
        <v>120</v>
      </c>
      <c r="G235" s="572">
        <v>198.4</v>
      </c>
      <c r="H235" s="572">
        <v>198.4</v>
      </c>
      <c r="I235" s="12" t="e">
        <f t="shared" si="10"/>
        <v>#DIV/0!</v>
      </c>
    </row>
    <row r="236" spans="1:9" s="14" customFormat="1" ht="15">
      <c r="A236" s="113" t="s">
        <v>64</v>
      </c>
      <c r="B236" s="150"/>
      <c r="C236" s="566" t="s">
        <v>131</v>
      </c>
      <c r="D236" s="566" t="s">
        <v>131</v>
      </c>
      <c r="E236" s="577"/>
      <c r="F236" s="578"/>
      <c r="G236" s="572">
        <f>G237</f>
        <v>3000</v>
      </c>
      <c r="H236" s="572">
        <f>H237</f>
        <v>0</v>
      </c>
      <c r="I236" s="12" t="e">
        <f t="shared" si="10"/>
        <v>#DIV/0!</v>
      </c>
    </row>
    <row r="237" spans="1:9" s="14" customFormat="1" ht="15">
      <c r="A237" s="113" t="s">
        <v>551</v>
      </c>
      <c r="B237" s="150"/>
      <c r="C237" s="566" t="s">
        <v>131</v>
      </c>
      <c r="D237" s="566" t="s">
        <v>131</v>
      </c>
      <c r="E237" s="577" t="s">
        <v>129</v>
      </c>
      <c r="F237" s="578"/>
      <c r="G237" s="572">
        <f>G238+G240+G242+G244</f>
        <v>3000</v>
      </c>
      <c r="H237" s="572">
        <f>H238+H240+H242+H244</f>
        <v>0</v>
      </c>
      <c r="I237" s="12" t="e">
        <f t="shared" si="10"/>
        <v>#DIV/0!</v>
      </c>
    </row>
    <row r="238" spans="1:9" s="14" customFormat="1" ht="28.5" hidden="1">
      <c r="A238" s="115" t="s">
        <v>556</v>
      </c>
      <c r="B238" s="150"/>
      <c r="C238" s="566" t="s">
        <v>131</v>
      </c>
      <c r="D238" s="566" t="s">
        <v>131</v>
      </c>
      <c r="E238" s="577" t="s">
        <v>13</v>
      </c>
      <c r="F238" s="578"/>
      <c r="G238" s="572">
        <f>G239</f>
        <v>0</v>
      </c>
      <c r="H238" s="572">
        <f>H239</f>
        <v>0</v>
      </c>
      <c r="I238" s="12" t="e">
        <f t="shared" si="10"/>
        <v>#DIV/0!</v>
      </c>
    </row>
    <row r="239" spans="1:9" s="14" customFormat="1" ht="28.5" hidden="1">
      <c r="A239" s="113" t="s">
        <v>524</v>
      </c>
      <c r="B239" s="150"/>
      <c r="C239" s="566" t="s">
        <v>131</v>
      </c>
      <c r="D239" s="566" t="s">
        <v>131</v>
      </c>
      <c r="E239" s="577" t="s">
        <v>13</v>
      </c>
      <c r="F239" s="578" t="s">
        <v>513</v>
      </c>
      <c r="G239" s="572"/>
      <c r="H239" s="572"/>
      <c r="I239" s="12" t="e">
        <f t="shared" si="10"/>
        <v>#DIV/0!</v>
      </c>
    </row>
    <row r="240" spans="1:9" s="14" customFormat="1" ht="42.75" hidden="1">
      <c r="A240" s="115" t="s">
        <v>557</v>
      </c>
      <c r="B240" s="150"/>
      <c r="C240" s="566" t="s">
        <v>558</v>
      </c>
      <c r="D240" s="566" t="s">
        <v>131</v>
      </c>
      <c r="E240" s="577" t="s">
        <v>14</v>
      </c>
      <c r="F240" s="578"/>
      <c r="G240" s="572">
        <f>G241</f>
        <v>0</v>
      </c>
      <c r="H240" s="572">
        <f>H241</f>
        <v>0</v>
      </c>
      <c r="I240" s="12" t="e">
        <f t="shared" si="10"/>
        <v>#DIV/0!</v>
      </c>
    </row>
    <row r="241" spans="1:9" s="14" customFormat="1" ht="28.5" hidden="1">
      <c r="A241" s="113" t="s">
        <v>559</v>
      </c>
      <c r="B241" s="150"/>
      <c r="C241" s="566" t="s">
        <v>558</v>
      </c>
      <c r="D241" s="566" t="s">
        <v>131</v>
      </c>
      <c r="E241" s="577" t="s">
        <v>14</v>
      </c>
      <c r="F241" s="578" t="s">
        <v>560</v>
      </c>
      <c r="G241" s="572"/>
      <c r="H241" s="572"/>
      <c r="I241" s="12">
        <f t="shared" si="10"/>
        <v>0</v>
      </c>
    </row>
    <row r="242" spans="1:9" s="14" customFormat="1" ht="42.75" hidden="1">
      <c r="A242" s="113" t="s">
        <v>1046</v>
      </c>
      <c r="B242" s="150"/>
      <c r="C242" s="566" t="s">
        <v>131</v>
      </c>
      <c r="D242" s="566" t="s">
        <v>131</v>
      </c>
      <c r="E242" s="577" t="s">
        <v>42</v>
      </c>
      <c r="F242" s="578"/>
      <c r="G242" s="572">
        <f>G243</f>
        <v>0</v>
      </c>
      <c r="H242" s="572">
        <f>H243</f>
        <v>0</v>
      </c>
      <c r="I242" s="12">
        <f t="shared" si="10"/>
        <v>0</v>
      </c>
    </row>
    <row r="243" spans="1:9" s="14" customFormat="1" ht="28.5" hidden="1">
      <c r="A243" s="113" t="s">
        <v>559</v>
      </c>
      <c r="B243" s="150"/>
      <c r="C243" s="566" t="s">
        <v>131</v>
      </c>
      <c r="D243" s="566" t="s">
        <v>131</v>
      </c>
      <c r="E243" s="577" t="s">
        <v>42</v>
      </c>
      <c r="F243" s="578" t="s">
        <v>560</v>
      </c>
      <c r="G243" s="572"/>
      <c r="H243" s="572"/>
      <c r="I243" s="12" t="e">
        <f t="shared" si="10"/>
        <v>#DIV/0!</v>
      </c>
    </row>
    <row r="244" spans="1:9" s="14" customFormat="1" ht="28.5">
      <c r="A244" s="115" t="s">
        <v>1044</v>
      </c>
      <c r="B244" s="150"/>
      <c r="C244" s="566" t="s">
        <v>131</v>
      </c>
      <c r="D244" s="566" t="s">
        <v>131</v>
      </c>
      <c r="E244" s="577" t="s">
        <v>54</v>
      </c>
      <c r="F244" s="578"/>
      <c r="G244" s="572">
        <f>G245</f>
        <v>3000</v>
      </c>
      <c r="H244" s="572">
        <f>H245</f>
        <v>0</v>
      </c>
      <c r="I244" s="12">
        <f t="shared" si="10"/>
        <v>0</v>
      </c>
    </row>
    <row r="245" spans="1:9" s="14" customFormat="1" ht="27.75" customHeight="1">
      <c r="A245" s="113" t="s">
        <v>559</v>
      </c>
      <c r="B245" s="150"/>
      <c r="C245" s="566" t="s">
        <v>131</v>
      </c>
      <c r="D245" s="566" t="s">
        <v>131</v>
      </c>
      <c r="E245" s="577" t="s">
        <v>54</v>
      </c>
      <c r="F245" s="578" t="s">
        <v>560</v>
      </c>
      <c r="G245" s="572">
        <v>3000</v>
      </c>
      <c r="H245" s="572"/>
      <c r="I245" s="12">
        <f t="shared" si="10"/>
        <v>0</v>
      </c>
    </row>
    <row r="246" spans="1:9" s="14" customFormat="1" ht="15" hidden="1">
      <c r="A246" s="117" t="s">
        <v>134</v>
      </c>
      <c r="B246" s="62"/>
      <c r="C246" s="524" t="s">
        <v>131</v>
      </c>
      <c r="D246" s="524" t="s">
        <v>131</v>
      </c>
      <c r="E246" s="526" t="s">
        <v>54</v>
      </c>
      <c r="F246" s="528" t="s">
        <v>135</v>
      </c>
      <c r="G246" s="137"/>
      <c r="H246" s="137"/>
      <c r="I246" s="12">
        <f t="shared" si="10"/>
        <v>0</v>
      </c>
    </row>
    <row r="247" spans="1:9" s="14" customFormat="1" ht="15">
      <c r="A247" s="109" t="s">
        <v>67</v>
      </c>
      <c r="B247" s="62"/>
      <c r="C247" s="526" t="s">
        <v>391</v>
      </c>
      <c r="D247" s="526"/>
      <c r="E247" s="526"/>
      <c r="F247" s="527"/>
      <c r="G247" s="137">
        <f>SUM(G248)+G253</f>
        <v>4649.1</v>
      </c>
      <c r="H247" s="137">
        <f>SUM(H248)+H253</f>
        <v>4649.1</v>
      </c>
      <c r="I247" s="12"/>
    </row>
    <row r="248" spans="1:9" s="14" customFormat="1" ht="15">
      <c r="A248" s="113" t="s">
        <v>68</v>
      </c>
      <c r="B248" s="148"/>
      <c r="C248" s="566" t="s">
        <v>391</v>
      </c>
      <c r="D248" s="566" t="s">
        <v>106</v>
      </c>
      <c r="E248" s="566" t="s">
        <v>561</v>
      </c>
      <c r="F248" s="567"/>
      <c r="G248" s="572">
        <f>SUM(G249)</f>
        <v>4649.1</v>
      </c>
      <c r="H248" s="572">
        <f>SUM(H249)</f>
        <v>4649.1</v>
      </c>
      <c r="I248" s="12"/>
    </row>
    <row r="249" spans="1:9" s="14" customFormat="1" ht="28.5">
      <c r="A249" s="113" t="s">
        <v>56</v>
      </c>
      <c r="B249" s="148"/>
      <c r="C249" s="566" t="s">
        <v>391</v>
      </c>
      <c r="D249" s="566" t="s">
        <v>106</v>
      </c>
      <c r="E249" s="566" t="s">
        <v>562</v>
      </c>
      <c r="F249" s="567"/>
      <c r="G249" s="572">
        <f>SUM(G250:G252)</f>
        <v>4649.1</v>
      </c>
      <c r="H249" s="572">
        <f>SUM(H250:H252)</f>
        <v>4649.1</v>
      </c>
      <c r="I249" s="12"/>
    </row>
    <row r="250" spans="1:9" s="14" customFormat="1" ht="28.5">
      <c r="A250" s="113" t="s">
        <v>495</v>
      </c>
      <c r="B250" s="148"/>
      <c r="C250" s="566" t="s">
        <v>391</v>
      </c>
      <c r="D250" s="566" t="s">
        <v>106</v>
      </c>
      <c r="E250" s="566" t="s">
        <v>562</v>
      </c>
      <c r="F250" s="567" t="s">
        <v>496</v>
      </c>
      <c r="G250" s="572">
        <v>3995.1</v>
      </c>
      <c r="H250" s="572">
        <v>3995.1</v>
      </c>
      <c r="I250" s="12" t="e">
        <f aca="true" t="shared" si="11" ref="I250:I255">SUM(H250/G253*100)</f>
        <v>#DIV/0!</v>
      </c>
    </row>
    <row r="251" spans="1:9" s="14" customFormat="1" ht="15">
      <c r="A251" s="113" t="s">
        <v>500</v>
      </c>
      <c r="B251" s="148"/>
      <c r="C251" s="566" t="s">
        <v>391</v>
      </c>
      <c r="D251" s="566" t="s">
        <v>106</v>
      </c>
      <c r="E251" s="566" t="s">
        <v>562</v>
      </c>
      <c r="F251" s="567" t="s">
        <v>120</v>
      </c>
      <c r="G251" s="572">
        <v>573.9</v>
      </c>
      <c r="H251" s="572">
        <v>573.9</v>
      </c>
      <c r="I251" s="12" t="e">
        <f t="shared" si="11"/>
        <v>#DIV/0!</v>
      </c>
    </row>
    <row r="252" spans="1:9" s="14" customFormat="1" ht="15">
      <c r="A252" s="113" t="s">
        <v>501</v>
      </c>
      <c r="B252" s="148"/>
      <c r="C252" s="566" t="s">
        <v>391</v>
      </c>
      <c r="D252" s="566" t="s">
        <v>106</v>
      </c>
      <c r="E252" s="566" t="s">
        <v>562</v>
      </c>
      <c r="F252" s="567" t="s">
        <v>176</v>
      </c>
      <c r="G252" s="572">
        <v>80.1</v>
      </c>
      <c r="H252" s="572">
        <v>80.1</v>
      </c>
      <c r="I252" s="12" t="e">
        <f t="shared" si="11"/>
        <v>#DIV/0!</v>
      </c>
    </row>
    <row r="253" spans="1:9" s="18" customFormat="1" ht="15" hidden="1">
      <c r="A253" s="113" t="s">
        <v>69</v>
      </c>
      <c r="B253" s="148"/>
      <c r="C253" s="566" t="s">
        <v>391</v>
      </c>
      <c r="D253" s="566" t="s">
        <v>131</v>
      </c>
      <c r="E253" s="586"/>
      <c r="F253" s="567"/>
      <c r="G253" s="572">
        <f>G255</f>
        <v>0</v>
      </c>
      <c r="H253" s="572">
        <f>H255</f>
        <v>0</v>
      </c>
      <c r="I253" s="12" t="e">
        <f t="shared" si="11"/>
        <v>#DIV/0!</v>
      </c>
    </row>
    <row r="254" spans="1:9" s="18" customFormat="1" ht="15" hidden="1">
      <c r="A254" s="113" t="s">
        <v>551</v>
      </c>
      <c r="B254" s="148"/>
      <c r="C254" s="566" t="s">
        <v>391</v>
      </c>
      <c r="D254" s="566" t="s">
        <v>131</v>
      </c>
      <c r="E254" s="577" t="s">
        <v>129</v>
      </c>
      <c r="F254" s="567"/>
      <c r="G254" s="572">
        <f>SUM(G255)</f>
        <v>0</v>
      </c>
      <c r="H254" s="572">
        <f>SUM(H255)</f>
        <v>0</v>
      </c>
      <c r="I254" s="12" t="e">
        <f t="shared" si="11"/>
        <v>#DIV/0!</v>
      </c>
    </row>
    <row r="255" spans="1:9" ht="15.75" hidden="1">
      <c r="A255" s="113" t="s">
        <v>1047</v>
      </c>
      <c r="B255" s="574"/>
      <c r="C255" s="566" t="s">
        <v>391</v>
      </c>
      <c r="D255" s="566" t="s">
        <v>131</v>
      </c>
      <c r="E255" s="566" t="s">
        <v>70</v>
      </c>
      <c r="F255" s="567"/>
      <c r="G255" s="572">
        <f>G256</f>
        <v>0</v>
      </c>
      <c r="H255" s="572">
        <f>H256</f>
        <v>0</v>
      </c>
      <c r="I255" s="12" t="e">
        <f t="shared" si="11"/>
        <v>#DIV/0!</v>
      </c>
    </row>
    <row r="256" spans="1:9" ht="15" hidden="1">
      <c r="A256" s="113" t="s">
        <v>500</v>
      </c>
      <c r="B256" s="148"/>
      <c r="C256" s="566" t="s">
        <v>391</v>
      </c>
      <c r="D256" s="566" t="s">
        <v>131</v>
      </c>
      <c r="E256" s="566" t="s">
        <v>70</v>
      </c>
      <c r="F256" s="567" t="s">
        <v>120</v>
      </c>
      <c r="G256" s="572"/>
      <c r="H256" s="572"/>
      <c r="I256" s="12"/>
    </row>
    <row r="257" spans="1:9" s="14" customFormat="1" ht="15" hidden="1">
      <c r="A257" s="113" t="s">
        <v>116</v>
      </c>
      <c r="B257" s="148"/>
      <c r="C257" s="566" t="s">
        <v>117</v>
      </c>
      <c r="D257" s="566"/>
      <c r="E257" s="566"/>
      <c r="F257" s="567"/>
      <c r="G257" s="572">
        <f>G258</f>
        <v>0</v>
      </c>
      <c r="H257" s="572">
        <f>H258</f>
        <v>0</v>
      </c>
      <c r="I257" s="12" t="e">
        <f aca="true" t="shared" si="12" ref="I257:I276">SUM(H257/G260*100)</f>
        <v>#DIV/0!</v>
      </c>
    </row>
    <row r="258" spans="1:9" s="14" customFormat="1" ht="15" hidden="1">
      <c r="A258" s="113" t="s">
        <v>231</v>
      </c>
      <c r="B258" s="148"/>
      <c r="C258" s="566" t="s">
        <v>117</v>
      </c>
      <c r="D258" s="566" t="s">
        <v>300</v>
      </c>
      <c r="E258" s="566"/>
      <c r="F258" s="567"/>
      <c r="G258" s="572">
        <f>G260</f>
        <v>0</v>
      </c>
      <c r="H258" s="572">
        <f>H260</f>
        <v>0</v>
      </c>
      <c r="I258" s="12" t="e">
        <f t="shared" si="12"/>
        <v>#DIV/0!</v>
      </c>
    </row>
    <row r="259" spans="1:9" s="14" customFormat="1" ht="15" hidden="1">
      <c r="A259" s="113" t="s">
        <v>551</v>
      </c>
      <c r="B259" s="148"/>
      <c r="C259" s="566" t="s">
        <v>117</v>
      </c>
      <c r="D259" s="566" t="s">
        <v>300</v>
      </c>
      <c r="E259" s="577" t="s">
        <v>129</v>
      </c>
      <c r="F259" s="567"/>
      <c r="G259" s="572">
        <f>SUM(G260)</f>
        <v>0</v>
      </c>
      <c r="H259" s="572">
        <f>SUM(H260)</f>
        <v>0</v>
      </c>
      <c r="I259" s="12">
        <f t="shared" si="12"/>
        <v>0</v>
      </c>
    </row>
    <row r="260" spans="1:9" ht="28.5" hidden="1">
      <c r="A260" s="115" t="s">
        <v>1044</v>
      </c>
      <c r="B260" s="148"/>
      <c r="C260" s="566" t="s">
        <v>117</v>
      </c>
      <c r="D260" s="566" t="s">
        <v>300</v>
      </c>
      <c r="E260" s="566" t="s">
        <v>54</v>
      </c>
      <c r="F260" s="567"/>
      <c r="G260" s="572">
        <f>G261</f>
        <v>0</v>
      </c>
      <c r="H260" s="572">
        <f>H261</f>
        <v>0</v>
      </c>
      <c r="I260" s="12">
        <f t="shared" si="12"/>
        <v>0</v>
      </c>
    </row>
    <row r="261" spans="1:9" ht="28.5" hidden="1">
      <c r="A261" s="113" t="s">
        <v>566</v>
      </c>
      <c r="B261" s="148"/>
      <c r="C261" s="566" t="s">
        <v>117</v>
      </c>
      <c r="D261" s="566" t="s">
        <v>300</v>
      </c>
      <c r="E261" s="566" t="s">
        <v>563</v>
      </c>
      <c r="F261" s="567" t="s">
        <v>560</v>
      </c>
      <c r="G261" s="572"/>
      <c r="H261" s="572"/>
      <c r="I261" s="12">
        <f t="shared" si="12"/>
        <v>0</v>
      </c>
    </row>
    <row r="262" spans="1:9" ht="15">
      <c r="A262" s="109" t="s">
        <v>188</v>
      </c>
      <c r="B262" s="62"/>
      <c r="C262" s="526" t="s">
        <v>5</v>
      </c>
      <c r="D262" s="526"/>
      <c r="E262" s="526"/>
      <c r="F262" s="527"/>
      <c r="G262" s="137">
        <f>SUM(G263)</f>
        <v>30507.6</v>
      </c>
      <c r="H262" s="137">
        <f>SUM(H263)</f>
        <v>31466.3</v>
      </c>
      <c r="I262" s="12">
        <f t="shared" si="12"/>
        <v>103.14249564043058</v>
      </c>
    </row>
    <row r="263" spans="1:9" ht="15">
      <c r="A263" s="113" t="s">
        <v>158</v>
      </c>
      <c r="B263" s="148"/>
      <c r="C263" s="566" t="s">
        <v>5</v>
      </c>
      <c r="D263" s="566" t="s">
        <v>122</v>
      </c>
      <c r="E263" s="566"/>
      <c r="F263" s="567"/>
      <c r="G263" s="572">
        <f>G265</f>
        <v>30507.6</v>
      </c>
      <c r="H263" s="572">
        <f>H265</f>
        <v>31466.3</v>
      </c>
      <c r="I263" s="12" t="e">
        <f t="shared" si="12"/>
        <v>#DIV/0!</v>
      </c>
    </row>
    <row r="264" spans="1:9" ht="15">
      <c r="A264" s="109" t="s">
        <v>26</v>
      </c>
      <c r="B264" s="62"/>
      <c r="C264" s="566" t="s">
        <v>5</v>
      </c>
      <c r="D264" s="566" t="s">
        <v>122</v>
      </c>
      <c r="E264" s="526" t="s">
        <v>27</v>
      </c>
      <c r="F264" s="527"/>
      <c r="G264" s="572">
        <f>SUM(G265)</f>
        <v>30507.6</v>
      </c>
      <c r="H264" s="572">
        <f>SUM(H265)</f>
        <v>31466.3</v>
      </c>
      <c r="I264" s="12" t="e">
        <f t="shared" si="12"/>
        <v>#DIV/0!</v>
      </c>
    </row>
    <row r="265" spans="1:9" ht="42.75">
      <c r="A265" s="113" t="s">
        <v>564</v>
      </c>
      <c r="B265" s="148"/>
      <c r="C265" s="566" t="s">
        <v>5</v>
      </c>
      <c r="D265" s="566" t="s">
        <v>122</v>
      </c>
      <c r="E265" s="566" t="s">
        <v>207</v>
      </c>
      <c r="F265" s="567"/>
      <c r="G265" s="572">
        <f>G270+G266</f>
        <v>30507.6</v>
      </c>
      <c r="H265" s="572">
        <f>H270+H266</f>
        <v>31466.3</v>
      </c>
      <c r="I265" s="12" t="e">
        <f t="shared" si="12"/>
        <v>#DIV/0!</v>
      </c>
    </row>
    <row r="266" spans="1:9" ht="57" hidden="1">
      <c r="A266" s="113" t="s">
        <v>1050</v>
      </c>
      <c r="B266" s="148"/>
      <c r="C266" s="566" t="s">
        <v>5</v>
      </c>
      <c r="D266" s="566" t="s">
        <v>122</v>
      </c>
      <c r="E266" s="566" t="s">
        <v>565</v>
      </c>
      <c r="F266" s="567"/>
      <c r="G266" s="572">
        <f>SUM(G267)</f>
        <v>0</v>
      </c>
      <c r="H266" s="572">
        <f>SUM(H267)</f>
        <v>0</v>
      </c>
      <c r="I266" s="12" t="e">
        <f t="shared" si="12"/>
        <v>#DIV/0!</v>
      </c>
    </row>
    <row r="267" spans="1:9" ht="28.5" hidden="1">
      <c r="A267" s="113" t="s">
        <v>566</v>
      </c>
      <c r="B267" s="148"/>
      <c r="C267" s="566" t="s">
        <v>5</v>
      </c>
      <c r="D267" s="566" t="s">
        <v>122</v>
      </c>
      <c r="E267" s="566" t="s">
        <v>565</v>
      </c>
      <c r="F267" s="567" t="s">
        <v>560</v>
      </c>
      <c r="G267" s="572"/>
      <c r="H267" s="572"/>
      <c r="I267" s="12">
        <f t="shared" si="12"/>
        <v>0</v>
      </c>
    </row>
    <row r="268" spans="1:9" ht="15" hidden="1">
      <c r="A268" s="113" t="s">
        <v>65</v>
      </c>
      <c r="B268" s="148"/>
      <c r="C268" s="566" t="s">
        <v>5</v>
      </c>
      <c r="D268" s="566" t="s">
        <v>122</v>
      </c>
      <c r="E268" s="566" t="s">
        <v>565</v>
      </c>
      <c r="F268" s="567" t="s">
        <v>567</v>
      </c>
      <c r="G268" s="572"/>
      <c r="H268" s="572"/>
      <c r="I268" s="12">
        <f t="shared" si="12"/>
        <v>0</v>
      </c>
    </row>
    <row r="269" spans="1:9" s="521" customFormat="1" ht="28.5" hidden="1">
      <c r="A269" s="113" t="s">
        <v>568</v>
      </c>
      <c r="B269" s="148"/>
      <c r="C269" s="566" t="s">
        <v>5</v>
      </c>
      <c r="D269" s="566" t="s">
        <v>122</v>
      </c>
      <c r="E269" s="566" t="s">
        <v>565</v>
      </c>
      <c r="F269" s="567" t="s">
        <v>569</v>
      </c>
      <c r="G269" s="572"/>
      <c r="H269" s="572"/>
      <c r="I269" s="12" t="e">
        <f t="shared" si="12"/>
        <v>#DIV/0!</v>
      </c>
    </row>
    <row r="270" spans="1:9" ht="42.75">
      <c r="A270" s="113" t="s">
        <v>1051</v>
      </c>
      <c r="B270" s="148"/>
      <c r="C270" s="566" t="s">
        <v>5</v>
      </c>
      <c r="D270" s="566" t="s">
        <v>122</v>
      </c>
      <c r="E270" s="566" t="s">
        <v>466</v>
      </c>
      <c r="F270" s="567"/>
      <c r="G270" s="572">
        <f>SUM(G271)</f>
        <v>30507.6</v>
      </c>
      <c r="H270" s="572">
        <f>SUM(H271)</f>
        <v>31466.3</v>
      </c>
      <c r="I270" s="12" t="e">
        <f t="shared" si="12"/>
        <v>#DIV/0!</v>
      </c>
    </row>
    <row r="271" spans="1:9" s="521" customFormat="1" ht="28.5">
      <c r="A271" s="113" t="s">
        <v>566</v>
      </c>
      <c r="B271" s="148"/>
      <c r="C271" s="566" t="s">
        <v>5</v>
      </c>
      <c r="D271" s="566" t="s">
        <v>122</v>
      </c>
      <c r="E271" s="566" t="s">
        <v>466</v>
      </c>
      <c r="F271" s="567" t="s">
        <v>560</v>
      </c>
      <c r="G271" s="572">
        <v>30507.6</v>
      </c>
      <c r="H271" s="572">
        <v>31466.3</v>
      </c>
      <c r="I271" s="12" t="e">
        <f t="shared" si="12"/>
        <v>#DIV/0!</v>
      </c>
    </row>
    <row r="272" spans="1:9" ht="15" hidden="1">
      <c r="A272" s="113" t="s">
        <v>65</v>
      </c>
      <c r="B272" s="148"/>
      <c r="C272" s="566" t="s">
        <v>5</v>
      </c>
      <c r="D272" s="566" t="s">
        <v>122</v>
      </c>
      <c r="E272" s="566" t="s">
        <v>466</v>
      </c>
      <c r="F272" s="567" t="s">
        <v>567</v>
      </c>
      <c r="G272" s="572"/>
      <c r="H272" s="572"/>
      <c r="I272" s="12" t="e">
        <f t="shared" si="12"/>
        <v>#DIV/0!</v>
      </c>
    </row>
    <row r="273" spans="1:9" ht="28.5" hidden="1">
      <c r="A273" s="113" t="s">
        <v>568</v>
      </c>
      <c r="B273" s="148"/>
      <c r="C273" s="566" t="s">
        <v>5</v>
      </c>
      <c r="D273" s="566" t="s">
        <v>122</v>
      </c>
      <c r="E273" s="566" t="s">
        <v>466</v>
      </c>
      <c r="F273" s="567" t="s">
        <v>569</v>
      </c>
      <c r="G273" s="572"/>
      <c r="H273" s="572"/>
      <c r="I273" s="12" t="e">
        <f t="shared" si="12"/>
        <v>#DIV/0!</v>
      </c>
    </row>
    <row r="274" spans="1:9" ht="15" hidden="1">
      <c r="A274" s="109" t="s">
        <v>245</v>
      </c>
      <c r="B274" s="62"/>
      <c r="C274" s="524" t="s">
        <v>419</v>
      </c>
      <c r="D274" s="524"/>
      <c r="E274" s="524"/>
      <c r="F274" s="528"/>
      <c r="G274" s="138">
        <f aca="true" t="shared" si="13" ref="G274:H277">SUM(G275)</f>
        <v>0</v>
      </c>
      <c r="H274" s="138">
        <f t="shared" si="13"/>
        <v>0</v>
      </c>
      <c r="I274" s="12" t="e">
        <f t="shared" si="12"/>
        <v>#DIV/0!</v>
      </c>
    </row>
    <row r="275" spans="1:9" ht="15" hidden="1">
      <c r="A275" s="109" t="s">
        <v>239</v>
      </c>
      <c r="B275" s="62"/>
      <c r="C275" s="526" t="s">
        <v>419</v>
      </c>
      <c r="D275" s="526" t="s">
        <v>131</v>
      </c>
      <c r="E275" s="524"/>
      <c r="F275" s="528"/>
      <c r="G275" s="137">
        <f t="shared" si="13"/>
        <v>0</v>
      </c>
      <c r="H275" s="137">
        <f t="shared" si="13"/>
        <v>0</v>
      </c>
      <c r="I275" s="12" t="e">
        <f t="shared" si="12"/>
        <v>#DIV/0!</v>
      </c>
    </row>
    <row r="276" spans="1:9" ht="15.75" hidden="1">
      <c r="A276" s="114" t="s">
        <v>128</v>
      </c>
      <c r="B276" s="529"/>
      <c r="C276" s="526" t="s">
        <v>419</v>
      </c>
      <c r="D276" s="526" t="s">
        <v>131</v>
      </c>
      <c r="E276" s="524" t="s">
        <v>129</v>
      </c>
      <c r="F276" s="528"/>
      <c r="G276" s="137">
        <f t="shared" si="13"/>
        <v>0</v>
      </c>
      <c r="H276" s="137">
        <f t="shared" si="13"/>
        <v>0</v>
      </c>
      <c r="I276" s="15">
        <f t="shared" si="12"/>
        <v>0</v>
      </c>
    </row>
    <row r="277" spans="1:9" ht="28.5" hidden="1">
      <c r="A277" s="117" t="s">
        <v>146</v>
      </c>
      <c r="B277" s="62"/>
      <c r="C277" s="526" t="s">
        <v>419</v>
      </c>
      <c r="D277" s="526" t="s">
        <v>131</v>
      </c>
      <c r="E277" s="524" t="s">
        <v>54</v>
      </c>
      <c r="F277" s="528"/>
      <c r="G277" s="137">
        <f t="shared" si="13"/>
        <v>0</v>
      </c>
      <c r="H277" s="137">
        <f t="shared" si="13"/>
        <v>0</v>
      </c>
      <c r="I277" s="12">
        <f>SUM(H277/G288*100)</f>
        <v>0</v>
      </c>
    </row>
    <row r="278" spans="1:9" ht="15" hidden="1">
      <c r="A278" s="117" t="s">
        <v>134</v>
      </c>
      <c r="B278" s="62"/>
      <c r="C278" s="526" t="s">
        <v>419</v>
      </c>
      <c r="D278" s="526" t="s">
        <v>131</v>
      </c>
      <c r="E278" s="524" t="s">
        <v>54</v>
      </c>
      <c r="F278" s="528" t="s">
        <v>135</v>
      </c>
      <c r="G278" s="137"/>
      <c r="H278" s="137"/>
      <c r="I278" s="12">
        <f>SUM(H278/G289*100)</f>
        <v>0</v>
      </c>
    </row>
    <row r="279" spans="1:9" ht="30">
      <c r="A279" s="112" t="s">
        <v>259</v>
      </c>
      <c r="B279" s="561" t="s">
        <v>260</v>
      </c>
      <c r="C279" s="562"/>
      <c r="D279" s="562"/>
      <c r="E279" s="562"/>
      <c r="F279" s="563"/>
      <c r="G279" s="142">
        <f>SUM(G280+G303+G307)</f>
        <v>75867.6</v>
      </c>
      <c r="H279" s="142">
        <f>SUM(H280+H303+H307)</f>
        <v>78867.6</v>
      </c>
      <c r="I279" s="12">
        <f>SUM(H279/G290*100)</f>
        <v>3943.3800000000006</v>
      </c>
    </row>
    <row r="280" spans="1:9" ht="15">
      <c r="A280" s="109" t="s">
        <v>459</v>
      </c>
      <c r="B280" s="62"/>
      <c r="C280" s="526" t="s">
        <v>460</v>
      </c>
      <c r="D280" s="526"/>
      <c r="E280" s="526"/>
      <c r="F280" s="527"/>
      <c r="G280" s="137">
        <f>SUM(G281+G288+G291)</f>
        <v>25284.5</v>
      </c>
      <c r="H280" s="137">
        <f>SUM(H281+H288+H291)</f>
        <v>28284.5</v>
      </c>
      <c r="I280" s="12"/>
    </row>
    <row r="281" spans="1:9" ht="28.5">
      <c r="A281" s="109" t="s">
        <v>390</v>
      </c>
      <c r="B281" s="62"/>
      <c r="C281" s="526" t="s">
        <v>460</v>
      </c>
      <c r="D281" s="526" t="s">
        <v>391</v>
      </c>
      <c r="E281" s="526"/>
      <c r="F281" s="527"/>
      <c r="G281" s="137">
        <f>SUM(G282)</f>
        <v>18675.4</v>
      </c>
      <c r="H281" s="137">
        <f>SUM(H282)</f>
        <v>18675.4</v>
      </c>
      <c r="I281" s="12"/>
    </row>
    <row r="282" spans="1:9" ht="42.75">
      <c r="A282" s="109" t="s">
        <v>99</v>
      </c>
      <c r="B282" s="62"/>
      <c r="C282" s="526" t="s">
        <v>460</v>
      </c>
      <c r="D282" s="526" t="s">
        <v>391</v>
      </c>
      <c r="E282" s="526" t="s">
        <v>100</v>
      </c>
      <c r="F282" s="527"/>
      <c r="G282" s="137">
        <f>SUM(G283)+G287</f>
        <v>18675.4</v>
      </c>
      <c r="H282" s="137">
        <f>SUM(H283)+H287</f>
        <v>18675.4</v>
      </c>
      <c r="I282" s="12"/>
    </row>
    <row r="283" spans="1:9" ht="15">
      <c r="A283" s="109" t="s">
        <v>107</v>
      </c>
      <c r="B283" s="62"/>
      <c r="C283" s="526" t="s">
        <v>460</v>
      </c>
      <c r="D283" s="526" t="s">
        <v>391</v>
      </c>
      <c r="E283" s="526" t="s">
        <v>109</v>
      </c>
      <c r="F283" s="527"/>
      <c r="G283" s="137">
        <f>SUM(G284+G285)</f>
        <v>2686.6000000000004</v>
      </c>
      <c r="H283" s="137">
        <f>SUM(H284+H285)</f>
        <v>2686.6000000000004</v>
      </c>
      <c r="I283" s="12"/>
    </row>
    <row r="284" spans="1:9" ht="28.5">
      <c r="A284" s="109" t="s">
        <v>495</v>
      </c>
      <c r="B284" s="62"/>
      <c r="C284" s="526" t="s">
        <v>108</v>
      </c>
      <c r="D284" s="526" t="s">
        <v>391</v>
      </c>
      <c r="E284" s="526" t="s">
        <v>109</v>
      </c>
      <c r="F284" s="557" t="s">
        <v>496</v>
      </c>
      <c r="G284" s="137">
        <f>2678.8</f>
        <v>2678.8</v>
      </c>
      <c r="H284" s="137">
        <v>2678.8</v>
      </c>
      <c r="I284" s="12"/>
    </row>
    <row r="285" spans="1:9" ht="15">
      <c r="A285" s="109" t="s">
        <v>500</v>
      </c>
      <c r="B285" s="62"/>
      <c r="C285" s="526" t="s">
        <v>460</v>
      </c>
      <c r="D285" s="526" t="s">
        <v>391</v>
      </c>
      <c r="E285" s="526" t="s">
        <v>109</v>
      </c>
      <c r="F285" s="527" t="s">
        <v>120</v>
      </c>
      <c r="G285" s="138">
        <v>7.8</v>
      </c>
      <c r="H285" s="138">
        <v>7.8</v>
      </c>
      <c r="I285" s="12"/>
    </row>
    <row r="286" spans="1:9" ht="28.5">
      <c r="A286" s="109" t="s">
        <v>392</v>
      </c>
      <c r="B286" s="62"/>
      <c r="C286" s="526" t="s">
        <v>108</v>
      </c>
      <c r="D286" s="526" t="s">
        <v>391</v>
      </c>
      <c r="E286" s="526" t="s">
        <v>393</v>
      </c>
      <c r="F286" s="527"/>
      <c r="G286" s="137">
        <f>SUM(G287)</f>
        <v>15988.8</v>
      </c>
      <c r="H286" s="137">
        <f>SUM(H287)</f>
        <v>15988.8</v>
      </c>
      <c r="I286" s="12"/>
    </row>
    <row r="287" spans="1:9" ht="28.5">
      <c r="A287" s="109" t="s">
        <v>495</v>
      </c>
      <c r="B287" s="62"/>
      <c r="C287" s="526" t="s">
        <v>108</v>
      </c>
      <c r="D287" s="526" t="s">
        <v>391</v>
      </c>
      <c r="E287" s="526" t="s">
        <v>393</v>
      </c>
      <c r="F287" s="557" t="s">
        <v>496</v>
      </c>
      <c r="G287" s="137">
        <v>15988.8</v>
      </c>
      <c r="H287" s="137">
        <v>15988.8</v>
      </c>
      <c r="I287" s="12"/>
    </row>
    <row r="288" spans="1:9" ht="15">
      <c r="A288" s="109" t="s">
        <v>407</v>
      </c>
      <c r="B288" s="62"/>
      <c r="C288" s="526" t="s">
        <v>460</v>
      </c>
      <c r="D288" s="526" t="s">
        <v>419</v>
      </c>
      <c r="E288" s="526"/>
      <c r="F288" s="527"/>
      <c r="G288" s="137">
        <f>SUM(G289)</f>
        <v>2000</v>
      </c>
      <c r="H288" s="137">
        <f>SUM(H289)</f>
        <v>5000</v>
      </c>
      <c r="I288" s="12">
        <f aca="true" t="shared" si="14" ref="I288:I303">SUM(H288/G291*100)</f>
        <v>108.48104836085135</v>
      </c>
    </row>
    <row r="289" spans="1:9" s="26" customFormat="1" ht="15">
      <c r="A289" s="109" t="s">
        <v>387</v>
      </c>
      <c r="B289" s="62"/>
      <c r="C289" s="526" t="s">
        <v>460</v>
      </c>
      <c r="D289" s="526" t="s">
        <v>419</v>
      </c>
      <c r="E289" s="526" t="s">
        <v>507</v>
      </c>
      <c r="F289" s="527"/>
      <c r="G289" s="137">
        <f>SUM(G290)</f>
        <v>2000</v>
      </c>
      <c r="H289" s="137">
        <f>SUM(H290)</f>
        <v>5000</v>
      </c>
      <c r="I289" s="12">
        <f t="shared" si="14"/>
        <v>108.48104836085135</v>
      </c>
    </row>
    <row r="290" spans="1:9" s="26" customFormat="1" ht="15">
      <c r="A290" s="109" t="s">
        <v>501</v>
      </c>
      <c r="B290" s="62"/>
      <c r="C290" s="526" t="s">
        <v>460</v>
      </c>
      <c r="D290" s="526" t="s">
        <v>419</v>
      </c>
      <c r="E290" s="526" t="s">
        <v>507</v>
      </c>
      <c r="F290" s="527" t="s">
        <v>176</v>
      </c>
      <c r="G290" s="137">
        <v>2000</v>
      </c>
      <c r="H290" s="137">
        <v>5000</v>
      </c>
      <c r="I290" s="12">
        <f t="shared" si="14"/>
        <v>2863.68843069874</v>
      </c>
    </row>
    <row r="291" spans="1:9" ht="15">
      <c r="A291" s="109" t="s">
        <v>112</v>
      </c>
      <c r="B291" s="62"/>
      <c r="C291" s="526" t="s">
        <v>460</v>
      </c>
      <c r="D291" s="526" t="s">
        <v>236</v>
      </c>
      <c r="E291" s="526"/>
      <c r="F291" s="528"/>
      <c r="G291" s="137">
        <f>SUM(G292)</f>
        <v>4609.1</v>
      </c>
      <c r="H291" s="137">
        <f>SUM(H292)</f>
        <v>4609.1</v>
      </c>
      <c r="I291" s="12">
        <f t="shared" si="14"/>
        <v>2808.714198659354</v>
      </c>
    </row>
    <row r="292" spans="1:9" ht="28.5">
      <c r="A292" s="109" t="s">
        <v>497</v>
      </c>
      <c r="B292" s="62"/>
      <c r="C292" s="526" t="s">
        <v>460</v>
      </c>
      <c r="D292" s="526" t="s">
        <v>236</v>
      </c>
      <c r="E292" s="526" t="s">
        <v>498</v>
      </c>
      <c r="F292" s="528"/>
      <c r="G292" s="138">
        <f>SUM(G293+G296+G298)</f>
        <v>4609.1</v>
      </c>
      <c r="H292" s="138">
        <f>SUM(H293+H296+H298)</f>
        <v>4609.1</v>
      </c>
      <c r="I292" s="12">
        <f t="shared" si="14"/>
        <v>43896.19047619048</v>
      </c>
    </row>
    <row r="293" spans="1:9" ht="15">
      <c r="A293" s="109" t="s">
        <v>486</v>
      </c>
      <c r="B293" s="62"/>
      <c r="C293" s="526" t="s">
        <v>460</v>
      </c>
      <c r="D293" s="526" t="s">
        <v>236</v>
      </c>
      <c r="E293" s="526" t="s">
        <v>499</v>
      </c>
      <c r="F293" s="527"/>
      <c r="G293" s="138">
        <f>SUM(G294:G295)</f>
        <v>174.6</v>
      </c>
      <c r="H293" s="138">
        <f>SUM(H294:H295)</f>
        <v>174.6</v>
      </c>
      <c r="I293" s="12">
        <f t="shared" si="14"/>
        <v>87.3</v>
      </c>
    </row>
    <row r="294" spans="1:9" ht="15">
      <c r="A294" s="109" t="s">
        <v>500</v>
      </c>
      <c r="B294" s="62"/>
      <c r="C294" s="526" t="s">
        <v>460</v>
      </c>
      <c r="D294" s="526" t="s">
        <v>236</v>
      </c>
      <c r="E294" s="526" t="s">
        <v>499</v>
      </c>
      <c r="F294" s="527" t="s">
        <v>120</v>
      </c>
      <c r="G294" s="138">
        <v>164.1</v>
      </c>
      <c r="H294" s="138">
        <v>164.1</v>
      </c>
      <c r="I294" s="12">
        <f t="shared" si="14"/>
        <v>82.05</v>
      </c>
    </row>
    <row r="295" spans="1:9" ht="15">
      <c r="A295" s="109" t="s">
        <v>501</v>
      </c>
      <c r="B295" s="62"/>
      <c r="C295" s="526" t="s">
        <v>460</v>
      </c>
      <c r="D295" s="526" t="s">
        <v>236</v>
      </c>
      <c r="E295" s="526" t="s">
        <v>499</v>
      </c>
      <c r="F295" s="527" t="s">
        <v>176</v>
      </c>
      <c r="G295" s="138">
        <v>10.5</v>
      </c>
      <c r="H295" s="138">
        <v>10.5</v>
      </c>
      <c r="I295" s="12">
        <f t="shared" si="14"/>
        <v>0.2479631597591215</v>
      </c>
    </row>
    <row r="296" spans="1:9" ht="28.5">
      <c r="A296" s="109" t="s">
        <v>487</v>
      </c>
      <c r="B296" s="62"/>
      <c r="C296" s="526" t="s">
        <v>460</v>
      </c>
      <c r="D296" s="526" t="s">
        <v>236</v>
      </c>
      <c r="E296" s="526" t="s">
        <v>502</v>
      </c>
      <c r="F296" s="527"/>
      <c r="G296" s="138">
        <f>SUM(G297)</f>
        <v>200</v>
      </c>
      <c r="H296" s="138">
        <f>SUM(H297)</f>
        <v>200</v>
      </c>
      <c r="I296" s="12">
        <f t="shared" si="14"/>
        <v>4.748676306479569</v>
      </c>
    </row>
    <row r="297" spans="1:9" ht="15">
      <c r="A297" s="109" t="s">
        <v>500</v>
      </c>
      <c r="B297" s="62"/>
      <c r="C297" s="526" t="s">
        <v>460</v>
      </c>
      <c r="D297" s="526" t="s">
        <v>236</v>
      </c>
      <c r="E297" s="526" t="s">
        <v>502</v>
      </c>
      <c r="F297" s="527" t="s">
        <v>120</v>
      </c>
      <c r="G297" s="138">
        <v>200</v>
      </c>
      <c r="H297" s="138">
        <v>200</v>
      </c>
      <c r="I297" s="12">
        <f t="shared" si="14"/>
        <v>877.1929824561403</v>
      </c>
    </row>
    <row r="298" spans="1:9" ht="28.5">
      <c r="A298" s="110" t="s">
        <v>503</v>
      </c>
      <c r="B298" s="62"/>
      <c r="C298" s="526" t="s">
        <v>460</v>
      </c>
      <c r="D298" s="526" t="s">
        <v>236</v>
      </c>
      <c r="E298" s="526" t="s">
        <v>504</v>
      </c>
      <c r="F298" s="557"/>
      <c r="G298" s="138">
        <f>SUM(G299+G300+G302)</f>
        <v>4234.5</v>
      </c>
      <c r="H298" s="138">
        <f>SUM(H299+H300+H302)</f>
        <v>4234.5</v>
      </c>
      <c r="I298" s="12" t="e">
        <f t="shared" si="14"/>
        <v>#DIV/0!</v>
      </c>
    </row>
    <row r="299" spans="1:9" s="17" customFormat="1" ht="15">
      <c r="A299" s="109" t="s">
        <v>500</v>
      </c>
      <c r="B299" s="62"/>
      <c r="C299" s="526" t="s">
        <v>460</v>
      </c>
      <c r="D299" s="526" t="s">
        <v>236</v>
      </c>
      <c r="E299" s="526" t="s">
        <v>504</v>
      </c>
      <c r="F299" s="557" t="s">
        <v>120</v>
      </c>
      <c r="G299" s="137">
        <v>4211.7</v>
      </c>
      <c r="H299" s="137">
        <v>4211.7</v>
      </c>
      <c r="I299" s="12" t="e">
        <f t="shared" si="14"/>
        <v>#DIV/0!</v>
      </c>
    </row>
    <row r="300" spans="1:9" s="519" customFormat="1" ht="15">
      <c r="A300" s="109" t="s">
        <v>501</v>
      </c>
      <c r="B300" s="62"/>
      <c r="C300" s="526" t="s">
        <v>460</v>
      </c>
      <c r="D300" s="526" t="s">
        <v>236</v>
      </c>
      <c r="E300" s="526" t="s">
        <v>504</v>
      </c>
      <c r="F300" s="557" t="s">
        <v>176</v>
      </c>
      <c r="G300" s="137">
        <f>22.8</f>
        <v>22.8</v>
      </c>
      <c r="H300" s="137">
        <f>22.8</f>
        <v>22.8</v>
      </c>
      <c r="I300" s="12">
        <f t="shared" si="14"/>
        <v>0.18119541289507354</v>
      </c>
    </row>
    <row r="301" spans="1:9" ht="15" hidden="1">
      <c r="A301" s="110" t="s">
        <v>511</v>
      </c>
      <c r="B301" s="62"/>
      <c r="C301" s="526" t="s">
        <v>460</v>
      </c>
      <c r="D301" s="526" t="s">
        <v>236</v>
      </c>
      <c r="E301" s="526" t="s">
        <v>512</v>
      </c>
      <c r="F301" s="527"/>
      <c r="G301" s="137">
        <f>SUM(G302)</f>
        <v>0</v>
      </c>
      <c r="H301" s="137">
        <f>SUM(H302)</f>
        <v>0</v>
      </c>
      <c r="I301" s="12">
        <f t="shared" si="14"/>
        <v>0</v>
      </c>
    </row>
    <row r="302" spans="1:9" ht="15" hidden="1">
      <c r="A302" s="109" t="s">
        <v>501</v>
      </c>
      <c r="B302" s="62"/>
      <c r="C302" s="526" t="s">
        <v>460</v>
      </c>
      <c r="D302" s="526" t="s">
        <v>236</v>
      </c>
      <c r="E302" s="526" t="s">
        <v>512</v>
      </c>
      <c r="F302" s="527" t="s">
        <v>176</v>
      </c>
      <c r="G302" s="137"/>
      <c r="H302" s="137"/>
      <c r="I302" s="12">
        <f t="shared" si="14"/>
        <v>0</v>
      </c>
    </row>
    <row r="303" spans="1:9" ht="15">
      <c r="A303" s="109" t="s">
        <v>188</v>
      </c>
      <c r="B303" s="62"/>
      <c r="C303" s="526" t="s">
        <v>5</v>
      </c>
      <c r="D303" s="526" t="s">
        <v>189</v>
      </c>
      <c r="E303" s="526"/>
      <c r="F303" s="527"/>
      <c r="G303" s="137">
        <f aca="true" t="shared" si="15" ref="G303:H305">SUM(G304)</f>
        <v>12583.1</v>
      </c>
      <c r="H303" s="137">
        <f t="shared" si="15"/>
        <v>12583.1</v>
      </c>
      <c r="I303" s="12">
        <f t="shared" si="14"/>
        <v>100</v>
      </c>
    </row>
    <row r="304" spans="1:9" ht="15">
      <c r="A304" s="109" t="s">
        <v>166</v>
      </c>
      <c r="B304" s="62"/>
      <c r="C304" s="526" t="s">
        <v>5</v>
      </c>
      <c r="D304" s="526" t="s">
        <v>391</v>
      </c>
      <c r="E304" s="526"/>
      <c r="F304" s="527"/>
      <c r="G304" s="137">
        <f t="shared" si="15"/>
        <v>12583.1</v>
      </c>
      <c r="H304" s="137">
        <f t="shared" si="15"/>
        <v>12583.1</v>
      </c>
      <c r="I304" s="12"/>
    </row>
    <row r="305" spans="1:9" ht="28.5">
      <c r="A305" s="110" t="s">
        <v>620</v>
      </c>
      <c r="B305" s="62"/>
      <c r="C305" s="526" t="s">
        <v>5</v>
      </c>
      <c r="D305" s="526" t="s">
        <v>391</v>
      </c>
      <c r="E305" s="526" t="s">
        <v>619</v>
      </c>
      <c r="F305" s="527"/>
      <c r="G305" s="137">
        <f t="shared" si="15"/>
        <v>12583.1</v>
      </c>
      <c r="H305" s="137">
        <f t="shared" si="15"/>
        <v>12583.1</v>
      </c>
      <c r="I305" s="12">
        <f>SUM(H305/G308*100)</f>
        <v>33.11342105263158</v>
      </c>
    </row>
    <row r="306" spans="1:9" ht="15">
      <c r="A306" s="109" t="s">
        <v>501</v>
      </c>
      <c r="B306" s="62"/>
      <c r="C306" s="526" t="s">
        <v>5</v>
      </c>
      <c r="D306" s="526" t="s">
        <v>391</v>
      </c>
      <c r="E306" s="526" t="s">
        <v>619</v>
      </c>
      <c r="F306" s="527" t="s">
        <v>176</v>
      </c>
      <c r="G306" s="137">
        <v>12583.1</v>
      </c>
      <c r="H306" s="137">
        <v>12583.1</v>
      </c>
      <c r="I306" s="12">
        <f>SUM(H306/G309*100)</f>
        <v>33.11342105263158</v>
      </c>
    </row>
    <row r="307" spans="1:9" ht="15">
      <c r="A307" s="109" t="s">
        <v>402</v>
      </c>
      <c r="B307" s="62"/>
      <c r="C307" s="526" t="s">
        <v>236</v>
      </c>
      <c r="D307" s="526" t="s">
        <v>189</v>
      </c>
      <c r="E307" s="526"/>
      <c r="F307" s="527"/>
      <c r="G307" s="137">
        <f>SUM(G308)</f>
        <v>38000</v>
      </c>
      <c r="H307" s="137">
        <f>SUM(H308)</f>
        <v>38000</v>
      </c>
      <c r="I307" s="12">
        <f>SUM(H307/G310*100)</f>
        <v>100</v>
      </c>
    </row>
    <row r="308" spans="1:9" ht="15">
      <c r="A308" s="109" t="s">
        <v>237</v>
      </c>
      <c r="B308" s="62"/>
      <c r="C308" s="526" t="s">
        <v>236</v>
      </c>
      <c r="D308" s="526" t="s">
        <v>460</v>
      </c>
      <c r="E308" s="526"/>
      <c r="F308" s="527"/>
      <c r="G308" s="137">
        <f>SUM(G309)</f>
        <v>38000</v>
      </c>
      <c r="H308" s="137">
        <f>SUM(H309)</f>
        <v>38000</v>
      </c>
      <c r="I308" s="12"/>
    </row>
    <row r="309" spans="1:9" s="21" customFormat="1" ht="15">
      <c r="A309" s="109" t="s">
        <v>403</v>
      </c>
      <c r="B309" s="62"/>
      <c r="C309" s="526" t="s">
        <v>236</v>
      </c>
      <c r="D309" s="526" t="s">
        <v>460</v>
      </c>
      <c r="E309" s="526" t="s">
        <v>404</v>
      </c>
      <c r="F309" s="557"/>
      <c r="G309" s="137">
        <f>SUM(G311)</f>
        <v>38000</v>
      </c>
      <c r="H309" s="137">
        <f>SUM(H311)</f>
        <v>38000</v>
      </c>
      <c r="I309" s="12" t="e">
        <f>SUM(H309/#REF!*100)</f>
        <v>#REF!</v>
      </c>
    </row>
    <row r="310" spans="1:9" ht="15">
      <c r="A310" s="109" t="s">
        <v>405</v>
      </c>
      <c r="B310" s="62"/>
      <c r="C310" s="526" t="s">
        <v>236</v>
      </c>
      <c r="D310" s="526" t="s">
        <v>460</v>
      </c>
      <c r="E310" s="526" t="s">
        <v>406</v>
      </c>
      <c r="F310" s="557"/>
      <c r="G310" s="137">
        <f>SUM(G311)</f>
        <v>38000</v>
      </c>
      <c r="H310" s="137">
        <f>SUM(H311)</f>
        <v>38000</v>
      </c>
      <c r="I310" s="12" t="e">
        <f>SUM(H310/#REF!*100)</f>
        <v>#REF!</v>
      </c>
    </row>
    <row r="311" spans="1:9" ht="15">
      <c r="A311" s="109" t="s">
        <v>508</v>
      </c>
      <c r="B311" s="62"/>
      <c r="C311" s="526" t="s">
        <v>236</v>
      </c>
      <c r="D311" s="526" t="s">
        <v>460</v>
      </c>
      <c r="E311" s="526" t="s">
        <v>406</v>
      </c>
      <c r="F311" s="557" t="s">
        <v>175</v>
      </c>
      <c r="G311" s="137">
        <v>38000</v>
      </c>
      <c r="H311" s="137">
        <v>38000</v>
      </c>
      <c r="I311" s="12" t="e">
        <f>SUM(H311/#REF!*100)</f>
        <v>#REF!</v>
      </c>
    </row>
    <row r="312" spans="1:9" ht="30">
      <c r="A312" s="112" t="s">
        <v>261</v>
      </c>
      <c r="B312" s="561" t="s">
        <v>262</v>
      </c>
      <c r="C312" s="562"/>
      <c r="D312" s="562"/>
      <c r="E312" s="562"/>
      <c r="F312" s="563"/>
      <c r="G312" s="142">
        <f>SUM(G313+G319+G346)</f>
        <v>956072.5000000001</v>
      </c>
      <c r="H312" s="142">
        <f>SUM(H313+H319+H346)</f>
        <v>972232.0000000002</v>
      </c>
      <c r="I312" s="12">
        <f>SUM(H312/G328*100)</f>
        <v>1533.4284925673282</v>
      </c>
    </row>
    <row r="313" spans="1:9" ht="15">
      <c r="A313" s="109" t="s">
        <v>121</v>
      </c>
      <c r="B313" s="62"/>
      <c r="C313" s="566" t="s">
        <v>122</v>
      </c>
      <c r="D313" s="526"/>
      <c r="E313" s="526"/>
      <c r="F313" s="527"/>
      <c r="G313" s="137">
        <f aca="true" t="shared" si="16" ref="G313:H316">SUM(G314)</f>
        <v>2715.8</v>
      </c>
      <c r="H313" s="137">
        <f t="shared" si="16"/>
        <v>2715.8</v>
      </c>
      <c r="I313" s="12"/>
    </row>
    <row r="314" spans="1:9" ht="15">
      <c r="A314" s="113" t="s">
        <v>418</v>
      </c>
      <c r="B314" s="148"/>
      <c r="C314" s="566" t="s">
        <v>122</v>
      </c>
      <c r="D314" s="566" t="s">
        <v>408</v>
      </c>
      <c r="E314" s="526"/>
      <c r="F314" s="528"/>
      <c r="G314" s="137">
        <f t="shared" si="16"/>
        <v>2715.8</v>
      </c>
      <c r="H314" s="137">
        <f t="shared" si="16"/>
        <v>2715.8</v>
      </c>
      <c r="I314" s="12"/>
    </row>
    <row r="315" spans="1:9" ht="28.5">
      <c r="A315" s="113" t="s">
        <v>420</v>
      </c>
      <c r="B315" s="62"/>
      <c r="C315" s="566" t="s">
        <v>122</v>
      </c>
      <c r="D315" s="566" t="s">
        <v>408</v>
      </c>
      <c r="E315" s="524" t="s">
        <v>421</v>
      </c>
      <c r="F315" s="528"/>
      <c r="G315" s="137">
        <f t="shared" si="16"/>
        <v>2715.8</v>
      </c>
      <c r="H315" s="137">
        <f t="shared" si="16"/>
        <v>2715.8</v>
      </c>
      <c r="I315" s="12"/>
    </row>
    <row r="316" spans="1:9" ht="15">
      <c r="A316" s="113" t="s">
        <v>15</v>
      </c>
      <c r="B316" s="148"/>
      <c r="C316" s="566" t="s">
        <v>122</v>
      </c>
      <c r="D316" s="566" t="s">
        <v>408</v>
      </c>
      <c r="E316" s="566" t="s">
        <v>617</v>
      </c>
      <c r="F316" s="567"/>
      <c r="G316" s="572">
        <f t="shared" si="16"/>
        <v>2715.8</v>
      </c>
      <c r="H316" s="572">
        <f t="shared" si="16"/>
        <v>2715.8</v>
      </c>
      <c r="I316" s="12"/>
    </row>
    <row r="317" spans="1:9" ht="28.5">
      <c r="A317" s="113" t="s">
        <v>205</v>
      </c>
      <c r="B317" s="148"/>
      <c r="C317" s="566" t="s">
        <v>122</v>
      </c>
      <c r="D317" s="566" t="s">
        <v>408</v>
      </c>
      <c r="E317" s="566" t="s">
        <v>618</v>
      </c>
      <c r="F317" s="567"/>
      <c r="G317" s="572">
        <f>G318</f>
        <v>2715.8</v>
      </c>
      <c r="H317" s="572">
        <f>H318</f>
        <v>2715.8</v>
      </c>
      <c r="I317" s="12"/>
    </row>
    <row r="318" spans="1:9" ht="28.5">
      <c r="A318" s="113" t="s">
        <v>524</v>
      </c>
      <c r="B318" s="148"/>
      <c r="C318" s="566" t="s">
        <v>122</v>
      </c>
      <c r="D318" s="566" t="s">
        <v>408</v>
      </c>
      <c r="E318" s="566" t="s">
        <v>618</v>
      </c>
      <c r="F318" s="567" t="s">
        <v>513</v>
      </c>
      <c r="G318" s="572">
        <v>2715.8</v>
      </c>
      <c r="H318" s="572">
        <v>2715.8</v>
      </c>
      <c r="I318" s="12"/>
    </row>
    <row r="319" spans="1:9" ht="15">
      <c r="A319" s="109" t="s">
        <v>116</v>
      </c>
      <c r="B319" s="62"/>
      <c r="C319" s="526" t="s">
        <v>117</v>
      </c>
      <c r="D319" s="526"/>
      <c r="E319" s="526"/>
      <c r="F319" s="527"/>
      <c r="G319" s="137">
        <f>SUM(G320+G339)</f>
        <v>63402.5</v>
      </c>
      <c r="H319" s="137">
        <f>SUM(H320+H339)</f>
        <v>63924.5</v>
      </c>
      <c r="I319" s="12"/>
    </row>
    <row r="320" spans="1:9" ht="15">
      <c r="A320" s="109" t="s">
        <v>343</v>
      </c>
      <c r="B320" s="62"/>
      <c r="C320" s="524" t="s">
        <v>117</v>
      </c>
      <c r="D320" s="524" t="s">
        <v>462</v>
      </c>
      <c r="E320" s="526"/>
      <c r="F320" s="527"/>
      <c r="G320" s="137">
        <f>SUM(G321+G324+G327+G336)</f>
        <v>63402.5</v>
      </c>
      <c r="H320" s="137">
        <f>SUM(H321+H324+H327+H336)</f>
        <v>63924.5</v>
      </c>
      <c r="I320" s="12"/>
    </row>
    <row r="321" spans="1:9" ht="15" hidden="1">
      <c r="A321" s="109" t="s">
        <v>344</v>
      </c>
      <c r="B321" s="561"/>
      <c r="C321" s="524" t="s">
        <v>117</v>
      </c>
      <c r="D321" s="524" t="s">
        <v>462</v>
      </c>
      <c r="E321" s="524" t="s">
        <v>345</v>
      </c>
      <c r="F321" s="528"/>
      <c r="G321" s="137">
        <f>SUM(G322)</f>
        <v>0</v>
      </c>
      <c r="H321" s="137">
        <f>SUM(H322)</f>
        <v>0</v>
      </c>
      <c r="I321" s="12"/>
    </row>
    <row r="322" spans="1:9" ht="28.5" hidden="1">
      <c r="A322" s="109" t="s">
        <v>56</v>
      </c>
      <c r="B322" s="561"/>
      <c r="C322" s="524" t="s">
        <v>117</v>
      </c>
      <c r="D322" s="524" t="s">
        <v>462</v>
      </c>
      <c r="E322" s="524" t="s">
        <v>346</v>
      </c>
      <c r="F322" s="528"/>
      <c r="G322" s="137">
        <f>SUM(G323)</f>
        <v>0</v>
      </c>
      <c r="H322" s="137">
        <f>SUM(H323)</f>
        <v>0</v>
      </c>
      <c r="I322" s="12"/>
    </row>
    <row r="323" spans="1:9" ht="15" hidden="1">
      <c r="A323" s="114" t="s">
        <v>57</v>
      </c>
      <c r="B323" s="131"/>
      <c r="C323" s="524" t="s">
        <v>117</v>
      </c>
      <c r="D323" s="524" t="s">
        <v>462</v>
      </c>
      <c r="E323" s="524" t="s">
        <v>346</v>
      </c>
      <c r="F323" s="557" t="s">
        <v>247</v>
      </c>
      <c r="G323" s="137"/>
      <c r="H323" s="137"/>
      <c r="I323" s="12"/>
    </row>
    <row r="324" spans="1:9" ht="15" hidden="1">
      <c r="A324" s="109" t="s">
        <v>320</v>
      </c>
      <c r="B324" s="62"/>
      <c r="C324" s="524" t="s">
        <v>117</v>
      </c>
      <c r="D324" s="524" t="s">
        <v>462</v>
      </c>
      <c r="E324" s="524" t="s">
        <v>321</v>
      </c>
      <c r="F324" s="528"/>
      <c r="G324" s="137">
        <f>SUM(G325)</f>
        <v>0</v>
      </c>
      <c r="H324" s="137">
        <f>SUM(H325)</f>
        <v>0</v>
      </c>
      <c r="I324" s="12"/>
    </row>
    <row r="325" spans="1:9" ht="28.5" hidden="1">
      <c r="A325" s="109" t="s">
        <v>56</v>
      </c>
      <c r="B325" s="561"/>
      <c r="C325" s="524" t="s">
        <v>117</v>
      </c>
      <c r="D325" s="524" t="s">
        <v>462</v>
      </c>
      <c r="E325" s="524" t="s">
        <v>322</v>
      </c>
      <c r="F325" s="528"/>
      <c r="G325" s="137">
        <f>SUM(G326)</f>
        <v>0</v>
      </c>
      <c r="H325" s="137">
        <f>SUM(H326)</f>
        <v>0</v>
      </c>
      <c r="I325" s="12"/>
    </row>
    <row r="326" spans="1:9" ht="15" hidden="1">
      <c r="A326" s="114" t="s">
        <v>57</v>
      </c>
      <c r="B326" s="131"/>
      <c r="C326" s="524" t="s">
        <v>117</v>
      </c>
      <c r="D326" s="524" t="s">
        <v>462</v>
      </c>
      <c r="E326" s="524" t="s">
        <v>322</v>
      </c>
      <c r="F326" s="557" t="s">
        <v>247</v>
      </c>
      <c r="G326" s="137"/>
      <c r="H326" s="137"/>
      <c r="I326" s="12" t="e">
        <f aca="true" t="shared" si="17" ref="I326:I337">SUM(H326/G329*100)</f>
        <v>#DIV/0!</v>
      </c>
    </row>
    <row r="327" spans="1:9" ht="15">
      <c r="A327" s="109" t="s">
        <v>323</v>
      </c>
      <c r="B327" s="62"/>
      <c r="C327" s="524" t="s">
        <v>117</v>
      </c>
      <c r="D327" s="524" t="s">
        <v>462</v>
      </c>
      <c r="E327" s="524" t="s">
        <v>324</v>
      </c>
      <c r="F327" s="527"/>
      <c r="G327" s="137">
        <f>SUM(G328)</f>
        <v>63402.5</v>
      </c>
      <c r="H327" s="137">
        <f>SUM(H328)</f>
        <v>63924.5</v>
      </c>
      <c r="I327" s="12" t="e">
        <f t="shared" si="17"/>
        <v>#DIV/0!</v>
      </c>
    </row>
    <row r="328" spans="1:9" ht="28.5">
      <c r="A328" s="109" t="s">
        <v>56</v>
      </c>
      <c r="B328" s="62"/>
      <c r="C328" s="524" t="s">
        <v>117</v>
      </c>
      <c r="D328" s="524" t="s">
        <v>462</v>
      </c>
      <c r="E328" s="524" t="s">
        <v>325</v>
      </c>
      <c r="F328" s="527"/>
      <c r="G328" s="137">
        <f>SUM(G332+G330+G329)</f>
        <v>63402.5</v>
      </c>
      <c r="H328" s="137">
        <f>SUM(H332+H330+H329)</f>
        <v>63924.5</v>
      </c>
      <c r="I328" s="12" t="e">
        <f t="shared" si="17"/>
        <v>#DIV/0!</v>
      </c>
    </row>
    <row r="329" spans="1:9" ht="15" hidden="1">
      <c r="A329" s="114" t="s">
        <v>57</v>
      </c>
      <c r="B329" s="62"/>
      <c r="C329" s="524" t="s">
        <v>117</v>
      </c>
      <c r="D329" s="524" t="s">
        <v>462</v>
      </c>
      <c r="E329" s="526" t="s">
        <v>325</v>
      </c>
      <c r="F329" s="528" t="s">
        <v>247</v>
      </c>
      <c r="G329" s="137"/>
      <c r="H329" s="137"/>
      <c r="I329" s="12">
        <f t="shared" si="17"/>
        <v>0</v>
      </c>
    </row>
    <row r="330" spans="1:9" ht="42.75" hidden="1">
      <c r="A330" s="114" t="s">
        <v>62</v>
      </c>
      <c r="B330" s="131"/>
      <c r="C330" s="524" t="s">
        <v>117</v>
      </c>
      <c r="D330" s="524" t="s">
        <v>462</v>
      </c>
      <c r="E330" s="524" t="s">
        <v>326</v>
      </c>
      <c r="F330" s="557"/>
      <c r="G330" s="137">
        <f>SUM(G331)</f>
        <v>0</v>
      </c>
      <c r="H330" s="137">
        <f>SUM(H331)</f>
        <v>0</v>
      </c>
      <c r="I330" s="12">
        <f t="shared" si="17"/>
        <v>0</v>
      </c>
    </row>
    <row r="331" spans="1:9" ht="15" hidden="1">
      <c r="A331" s="114" t="s">
        <v>57</v>
      </c>
      <c r="B331" s="131"/>
      <c r="C331" s="524" t="s">
        <v>117</v>
      </c>
      <c r="D331" s="524" t="s">
        <v>462</v>
      </c>
      <c r="E331" s="524" t="s">
        <v>326</v>
      </c>
      <c r="F331" s="557" t="s">
        <v>247</v>
      </c>
      <c r="G331" s="137"/>
      <c r="H331" s="137"/>
      <c r="I331" s="12">
        <f t="shared" si="17"/>
        <v>0</v>
      </c>
    </row>
    <row r="332" spans="1:9" s="13" customFormat="1" ht="57">
      <c r="A332" s="109" t="s">
        <v>467</v>
      </c>
      <c r="B332" s="62"/>
      <c r="C332" s="524" t="s">
        <v>117</v>
      </c>
      <c r="D332" s="524" t="s">
        <v>462</v>
      </c>
      <c r="E332" s="524" t="s">
        <v>329</v>
      </c>
      <c r="F332" s="527"/>
      <c r="G332" s="137">
        <f>SUM(G333:G335)</f>
        <v>63402.5</v>
      </c>
      <c r="H332" s="137">
        <f>SUM(H333:H335)</f>
        <v>63924.5</v>
      </c>
      <c r="I332" s="12">
        <f t="shared" si="17"/>
        <v>9442.31905465288</v>
      </c>
    </row>
    <row r="333" spans="1:9" s="13" customFormat="1" ht="28.5">
      <c r="A333" s="109" t="s">
        <v>495</v>
      </c>
      <c r="B333" s="62"/>
      <c r="C333" s="524" t="s">
        <v>117</v>
      </c>
      <c r="D333" s="524" t="s">
        <v>462</v>
      </c>
      <c r="E333" s="524" t="s">
        <v>329</v>
      </c>
      <c r="F333" s="527" t="s">
        <v>496</v>
      </c>
      <c r="G333" s="137">
        <v>43005</v>
      </c>
      <c r="H333" s="137">
        <v>43005</v>
      </c>
      <c r="I333" s="12" t="e">
        <f t="shared" si="17"/>
        <v>#DIV/0!</v>
      </c>
    </row>
    <row r="334" spans="1:9" s="13" customFormat="1" ht="15">
      <c r="A334" s="109" t="s">
        <v>500</v>
      </c>
      <c r="B334" s="62"/>
      <c r="C334" s="524" t="s">
        <v>117</v>
      </c>
      <c r="D334" s="524" t="s">
        <v>462</v>
      </c>
      <c r="E334" s="524" t="s">
        <v>329</v>
      </c>
      <c r="F334" s="527" t="s">
        <v>120</v>
      </c>
      <c r="G334" s="137">
        <v>19720.5</v>
      </c>
      <c r="H334" s="137">
        <v>20242.5</v>
      </c>
      <c r="I334" s="12" t="e">
        <f t="shared" si="17"/>
        <v>#DIV/0!</v>
      </c>
    </row>
    <row r="335" spans="1:9" s="13" customFormat="1" ht="15">
      <c r="A335" s="109" t="s">
        <v>501</v>
      </c>
      <c r="B335" s="62"/>
      <c r="C335" s="524" t="s">
        <v>117</v>
      </c>
      <c r="D335" s="524" t="s">
        <v>462</v>
      </c>
      <c r="E335" s="524" t="s">
        <v>329</v>
      </c>
      <c r="F335" s="527" t="s">
        <v>176</v>
      </c>
      <c r="G335" s="137">
        <v>677</v>
      </c>
      <c r="H335" s="137">
        <v>677</v>
      </c>
      <c r="I335" s="12" t="e">
        <f t="shared" si="17"/>
        <v>#DIV/0!</v>
      </c>
    </row>
    <row r="336" spans="1:9" ht="15" hidden="1">
      <c r="A336" s="109" t="s">
        <v>330</v>
      </c>
      <c r="B336" s="529"/>
      <c r="C336" s="524" t="s">
        <v>117</v>
      </c>
      <c r="D336" s="524" t="s">
        <v>462</v>
      </c>
      <c r="E336" s="524" t="s">
        <v>331</v>
      </c>
      <c r="F336" s="528"/>
      <c r="G336" s="137">
        <f>SUM(G337)</f>
        <v>0</v>
      </c>
      <c r="H336" s="137">
        <f>SUM(H337)</f>
        <v>0</v>
      </c>
      <c r="I336" s="12" t="e">
        <f t="shared" si="17"/>
        <v>#DIV/0!</v>
      </c>
    </row>
    <row r="337" spans="1:9" ht="28.5" hidden="1">
      <c r="A337" s="109" t="s">
        <v>56</v>
      </c>
      <c r="B337" s="561"/>
      <c r="C337" s="524" t="s">
        <v>117</v>
      </c>
      <c r="D337" s="524" t="s">
        <v>462</v>
      </c>
      <c r="E337" s="524" t="s">
        <v>332</v>
      </c>
      <c r="F337" s="528"/>
      <c r="G337" s="137">
        <f>SUM(G338)</f>
        <v>0</v>
      </c>
      <c r="H337" s="137">
        <f>SUM(H338)</f>
        <v>0</v>
      </c>
      <c r="I337" s="12" t="e">
        <f t="shared" si="17"/>
        <v>#DIV/0!</v>
      </c>
    </row>
    <row r="338" spans="1:9" ht="15" hidden="1">
      <c r="A338" s="114" t="s">
        <v>57</v>
      </c>
      <c r="B338" s="62"/>
      <c r="C338" s="524" t="s">
        <v>117</v>
      </c>
      <c r="D338" s="524" t="s">
        <v>462</v>
      </c>
      <c r="E338" s="524" t="s">
        <v>332</v>
      </c>
      <c r="F338" s="527" t="s">
        <v>247</v>
      </c>
      <c r="G338" s="137"/>
      <c r="H338" s="137"/>
      <c r="I338" s="12"/>
    </row>
    <row r="339" spans="1:9" ht="15" hidden="1">
      <c r="A339" s="109" t="s">
        <v>118</v>
      </c>
      <c r="B339" s="62"/>
      <c r="C339" s="526" t="s">
        <v>117</v>
      </c>
      <c r="D339" s="526" t="s">
        <v>117</v>
      </c>
      <c r="E339" s="524"/>
      <c r="F339" s="527"/>
      <c r="G339" s="137">
        <f>SUM(G340+G343)</f>
        <v>0</v>
      </c>
      <c r="H339" s="137">
        <f>SUM(H340+H343)</f>
        <v>0</v>
      </c>
      <c r="I339" s="12"/>
    </row>
    <row r="340" spans="1:9" ht="15" hidden="1">
      <c r="A340" s="113" t="s">
        <v>225</v>
      </c>
      <c r="B340" s="529"/>
      <c r="C340" s="524" t="s">
        <v>117</v>
      </c>
      <c r="D340" s="524" t="s">
        <v>117</v>
      </c>
      <c r="E340" s="524" t="s">
        <v>226</v>
      </c>
      <c r="F340" s="528"/>
      <c r="G340" s="137">
        <f>SUM(G341)</f>
        <v>0</v>
      </c>
      <c r="H340" s="137">
        <f>SUM(H341)</f>
        <v>0</v>
      </c>
      <c r="I340" s="12" t="e">
        <f aca="true" t="shared" si="18" ref="I340:I383">SUM(H340/G343*100)</f>
        <v>#DIV/0!</v>
      </c>
    </row>
    <row r="341" spans="1:9" ht="28.5" hidden="1">
      <c r="A341" s="109" t="s">
        <v>56</v>
      </c>
      <c r="B341" s="529"/>
      <c r="C341" s="524" t="s">
        <v>117</v>
      </c>
      <c r="D341" s="524" t="s">
        <v>117</v>
      </c>
      <c r="E341" s="524" t="s">
        <v>229</v>
      </c>
      <c r="F341" s="528"/>
      <c r="G341" s="137">
        <f>SUM(G342)</f>
        <v>0</v>
      </c>
      <c r="H341" s="137">
        <f>SUM(H342)</f>
        <v>0</v>
      </c>
      <c r="I341" s="12" t="e">
        <f t="shared" si="18"/>
        <v>#DIV/0!</v>
      </c>
    </row>
    <row r="342" spans="1:9" ht="15" hidden="1">
      <c r="A342" s="114" t="s">
        <v>57</v>
      </c>
      <c r="B342" s="529"/>
      <c r="C342" s="524" t="s">
        <v>117</v>
      </c>
      <c r="D342" s="524" t="s">
        <v>117</v>
      </c>
      <c r="E342" s="524" t="s">
        <v>229</v>
      </c>
      <c r="F342" s="528" t="s">
        <v>247</v>
      </c>
      <c r="G342" s="137"/>
      <c r="H342" s="137"/>
      <c r="I342" s="12" t="e">
        <f t="shared" si="18"/>
        <v>#DIV/0!</v>
      </c>
    </row>
    <row r="343" spans="1:9" ht="15" hidden="1">
      <c r="A343" s="114" t="s">
        <v>128</v>
      </c>
      <c r="B343" s="132"/>
      <c r="C343" s="524" t="s">
        <v>117</v>
      </c>
      <c r="D343" s="524" t="s">
        <v>117</v>
      </c>
      <c r="E343" s="524" t="s">
        <v>129</v>
      </c>
      <c r="F343" s="557"/>
      <c r="G343" s="137">
        <f>SUM(G344)</f>
        <v>0</v>
      </c>
      <c r="H343" s="137">
        <f>SUM(H344)</f>
        <v>0</v>
      </c>
      <c r="I343" s="12">
        <f t="shared" si="18"/>
        <v>0</v>
      </c>
    </row>
    <row r="344" spans="1:9" ht="42.75" hidden="1">
      <c r="A344" s="117" t="s">
        <v>369</v>
      </c>
      <c r="B344" s="132"/>
      <c r="C344" s="524" t="s">
        <v>117</v>
      </c>
      <c r="D344" s="524" t="s">
        <v>117</v>
      </c>
      <c r="E344" s="524" t="s">
        <v>368</v>
      </c>
      <c r="F344" s="557"/>
      <c r="G344" s="137">
        <f>SUM(G345)</f>
        <v>0</v>
      </c>
      <c r="H344" s="137">
        <f>SUM(H345)</f>
        <v>0</v>
      </c>
      <c r="I344" s="12">
        <f t="shared" si="18"/>
        <v>0</v>
      </c>
    </row>
    <row r="345" spans="1:9" ht="15" hidden="1">
      <c r="A345" s="114" t="s">
        <v>223</v>
      </c>
      <c r="B345" s="132"/>
      <c r="C345" s="524" t="s">
        <v>117</v>
      </c>
      <c r="D345" s="524" t="s">
        <v>117</v>
      </c>
      <c r="E345" s="524" t="s">
        <v>368</v>
      </c>
      <c r="F345" s="557" t="s">
        <v>224</v>
      </c>
      <c r="G345" s="137"/>
      <c r="H345" s="137"/>
      <c r="I345" s="12">
        <f t="shared" si="18"/>
        <v>0</v>
      </c>
    </row>
    <row r="346" spans="1:9" ht="15">
      <c r="A346" s="109" t="s">
        <v>188</v>
      </c>
      <c r="B346" s="62"/>
      <c r="C346" s="526" t="s">
        <v>5</v>
      </c>
      <c r="D346" s="526"/>
      <c r="E346" s="526"/>
      <c r="F346" s="527"/>
      <c r="G346" s="137">
        <f>SUM(G347+G351+G365+G433+G445)</f>
        <v>889954.2000000001</v>
      </c>
      <c r="H346" s="137">
        <f>SUM(H347+H351+H365+H433+H445)</f>
        <v>905591.7000000002</v>
      </c>
      <c r="I346" s="12">
        <f t="shared" si="18"/>
        <v>41580.9587217044</v>
      </c>
    </row>
    <row r="347" spans="1:9" ht="15">
      <c r="A347" s="109" t="s">
        <v>190</v>
      </c>
      <c r="B347" s="62"/>
      <c r="C347" s="526" t="s">
        <v>5</v>
      </c>
      <c r="D347" s="526" t="s">
        <v>460</v>
      </c>
      <c r="E347" s="526"/>
      <c r="F347" s="527"/>
      <c r="G347" s="137">
        <f aca="true" t="shared" si="19" ref="G347:H349">SUM(G348)</f>
        <v>2177.9</v>
      </c>
      <c r="H347" s="137">
        <f t="shared" si="19"/>
        <v>2177.9</v>
      </c>
      <c r="I347" s="12">
        <f t="shared" si="18"/>
        <v>100</v>
      </c>
    </row>
    <row r="348" spans="1:9" ht="15">
      <c r="A348" s="109" t="s">
        <v>191</v>
      </c>
      <c r="B348" s="62"/>
      <c r="C348" s="526" t="s">
        <v>5</v>
      </c>
      <c r="D348" s="526" t="s">
        <v>460</v>
      </c>
      <c r="E348" s="526" t="s">
        <v>192</v>
      </c>
      <c r="F348" s="527"/>
      <c r="G348" s="137">
        <f t="shared" si="19"/>
        <v>2177.9</v>
      </c>
      <c r="H348" s="137">
        <f t="shared" si="19"/>
        <v>2177.9</v>
      </c>
      <c r="I348" s="12">
        <f t="shared" si="18"/>
        <v>4.553332678247744</v>
      </c>
    </row>
    <row r="349" spans="1:9" ht="28.5">
      <c r="A349" s="109" t="s">
        <v>193</v>
      </c>
      <c r="B349" s="62"/>
      <c r="C349" s="526" t="s">
        <v>5</v>
      </c>
      <c r="D349" s="526" t="s">
        <v>460</v>
      </c>
      <c r="E349" s="526" t="s">
        <v>194</v>
      </c>
      <c r="F349" s="527"/>
      <c r="G349" s="137">
        <f t="shared" si="19"/>
        <v>2177.9</v>
      </c>
      <c r="H349" s="137">
        <f t="shared" si="19"/>
        <v>2177.9</v>
      </c>
      <c r="I349" s="12" t="e">
        <f t="shared" si="18"/>
        <v>#DIV/0!</v>
      </c>
    </row>
    <row r="350" spans="1:9" ht="15">
      <c r="A350" s="109" t="s">
        <v>505</v>
      </c>
      <c r="B350" s="62"/>
      <c r="C350" s="526" t="s">
        <v>5</v>
      </c>
      <c r="D350" s="526" t="s">
        <v>460</v>
      </c>
      <c r="E350" s="526" t="s">
        <v>194</v>
      </c>
      <c r="F350" s="527" t="s">
        <v>506</v>
      </c>
      <c r="G350" s="137">
        <v>2177.9</v>
      </c>
      <c r="H350" s="137">
        <v>2177.9</v>
      </c>
      <c r="I350" s="12" t="e">
        <f t="shared" si="18"/>
        <v>#DIV/0!</v>
      </c>
    </row>
    <row r="351" spans="1:9" s="17" customFormat="1" ht="15">
      <c r="A351" s="109" t="s">
        <v>195</v>
      </c>
      <c r="B351" s="62"/>
      <c r="C351" s="524" t="s">
        <v>5</v>
      </c>
      <c r="D351" s="524" t="s">
        <v>462</v>
      </c>
      <c r="E351" s="526"/>
      <c r="F351" s="527"/>
      <c r="G351" s="137">
        <f>SUM(G352+G357)</f>
        <v>47830.899999999994</v>
      </c>
      <c r="H351" s="137">
        <f>SUM(H352+H357)</f>
        <v>48034.5</v>
      </c>
      <c r="I351" s="12" t="e">
        <f t="shared" si="18"/>
        <v>#DIV/0!</v>
      </c>
    </row>
    <row r="352" spans="1:9" ht="15" hidden="1">
      <c r="A352" s="118" t="s">
        <v>74</v>
      </c>
      <c r="B352" s="62"/>
      <c r="C352" s="524" t="s">
        <v>5</v>
      </c>
      <c r="D352" s="524" t="s">
        <v>462</v>
      </c>
      <c r="E352" s="524" t="s">
        <v>75</v>
      </c>
      <c r="F352" s="528"/>
      <c r="G352" s="137"/>
      <c r="H352" s="137"/>
      <c r="I352" s="12" t="e">
        <f t="shared" si="18"/>
        <v>#DIV/0!</v>
      </c>
    </row>
    <row r="353" spans="1:9" s="14" customFormat="1" ht="28.5" hidden="1">
      <c r="A353" s="118" t="s">
        <v>17</v>
      </c>
      <c r="B353" s="62"/>
      <c r="C353" s="524" t="s">
        <v>5</v>
      </c>
      <c r="D353" s="524" t="s">
        <v>462</v>
      </c>
      <c r="E353" s="524" t="s">
        <v>18</v>
      </c>
      <c r="F353" s="528"/>
      <c r="G353" s="137">
        <f>SUM(G354+G355)</f>
        <v>0</v>
      </c>
      <c r="H353" s="137">
        <f>SUM(H354+H355)</f>
        <v>0</v>
      </c>
      <c r="I353" s="12" t="e">
        <f t="shared" si="18"/>
        <v>#DIV/0!</v>
      </c>
    </row>
    <row r="354" spans="1:9" s="14" customFormat="1" ht="15" hidden="1">
      <c r="A354" s="113" t="s">
        <v>246</v>
      </c>
      <c r="B354" s="62"/>
      <c r="C354" s="524" t="s">
        <v>5</v>
      </c>
      <c r="D354" s="524" t="s">
        <v>462</v>
      </c>
      <c r="E354" s="524" t="s">
        <v>18</v>
      </c>
      <c r="F354" s="528" t="s">
        <v>247</v>
      </c>
      <c r="G354" s="137"/>
      <c r="H354" s="137"/>
      <c r="I354" s="12">
        <f t="shared" si="18"/>
        <v>0</v>
      </c>
    </row>
    <row r="355" spans="1:9" s="14" customFormat="1" ht="28.5" hidden="1">
      <c r="A355" s="118" t="s">
        <v>19</v>
      </c>
      <c r="B355" s="62"/>
      <c r="C355" s="524" t="s">
        <v>5</v>
      </c>
      <c r="D355" s="524" t="s">
        <v>462</v>
      </c>
      <c r="E355" s="524" t="s">
        <v>20</v>
      </c>
      <c r="F355" s="528"/>
      <c r="G355" s="137">
        <f>SUM(G356)</f>
        <v>0</v>
      </c>
      <c r="H355" s="137">
        <f>SUM(H356)</f>
        <v>0</v>
      </c>
      <c r="I355" s="12">
        <f t="shared" si="18"/>
        <v>0</v>
      </c>
    </row>
    <row r="356" spans="1:9" ht="15" hidden="1">
      <c r="A356" s="113" t="s">
        <v>246</v>
      </c>
      <c r="B356" s="62"/>
      <c r="C356" s="524" t="s">
        <v>5</v>
      </c>
      <c r="D356" s="524" t="s">
        <v>462</v>
      </c>
      <c r="E356" s="524" t="s">
        <v>20</v>
      </c>
      <c r="F356" s="528" t="s">
        <v>247</v>
      </c>
      <c r="G356" s="137"/>
      <c r="H356" s="137"/>
      <c r="I356" s="12">
        <f t="shared" si="18"/>
        <v>0</v>
      </c>
    </row>
    <row r="357" spans="1:9" ht="15">
      <c r="A357" s="118" t="s">
        <v>74</v>
      </c>
      <c r="B357" s="62"/>
      <c r="C357" s="524" t="s">
        <v>5</v>
      </c>
      <c r="D357" s="524" t="s">
        <v>462</v>
      </c>
      <c r="E357" s="524" t="s">
        <v>21</v>
      </c>
      <c r="F357" s="528"/>
      <c r="G357" s="137">
        <f>SUM(G358+G361)</f>
        <v>47830.899999999994</v>
      </c>
      <c r="H357" s="137">
        <f>SUM(H358+H361)</f>
        <v>48034.5</v>
      </c>
      <c r="I357" s="12">
        <f t="shared" si="18"/>
        <v>3998.8761238761235</v>
      </c>
    </row>
    <row r="358" spans="1:9" ht="28.5">
      <c r="A358" s="113" t="s">
        <v>56</v>
      </c>
      <c r="B358" s="62"/>
      <c r="C358" s="524" t="s">
        <v>5</v>
      </c>
      <c r="D358" s="524" t="s">
        <v>462</v>
      </c>
      <c r="E358" s="524" t="s">
        <v>22</v>
      </c>
      <c r="F358" s="528"/>
      <c r="G358" s="137">
        <f>SUM(G359:G360)</f>
        <v>1733</v>
      </c>
      <c r="H358" s="137">
        <f>SUM(H359:H360)</f>
        <v>1783</v>
      </c>
      <c r="I358" s="12">
        <f t="shared" si="18"/>
        <v>3.867855151753117</v>
      </c>
    </row>
    <row r="359" spans="1:9" ht="28.5">
      <c r="A359" s="109" t="s">
        <v>495</v>
      </c>
      <c r="B359" s="62"/>
      <c r="C359" s="524" t="s">
        <v>5</v>
      </c>
      <c r="D359" s="524" t="s">
        <v>462</v>
      </c>
      <c r="E359" s="524" t="s">
        <v>22</v>
      </c>
      <c r="F359" s="527" t="s">
        <v>496</v>
      </c>
      <c r="G359" s="137">
        <v>531.8</v>
      </c>
      <c r="H359" s="137">
        <v>531.8</v>
      </c>
      <c r="I359" s="12">
        <f t="shared" si="18"/>
        <v>1.3748458533583932</v>
      </c>
    </row>
    <row r="360" spans="1:9" ht="15">
      <c r="A360" s="109" t="s">
        <v>500</v>
      </c>
      <c r="B360" s="62"/>
      <c r="C360" s="524" t="s">
        <v>5</v>
      </c>
      <c r="D360" s="524" t="s">
        <v>462</v>
      </c>
      <c r="E360" s="524" t="s">
        <v>22</v>
      </c>
      <c r="F360" s="527" t="s">
        <v>120</v>
      </c>
      <c r="G360" s="137">
        <v>1201.2</v>
      </c>
      <c r="H360" s="137">
        <v>1251.2</v>
      </c>
      <c r="I360" s="12">
        <f t="shared" si="18"/>
        <v>17.79497098646035</v>
      </c>
    </row>
    <row r="361" spans="1:9" ht="28.5">
      <c r="A361" s="113" t="s">
        <v>23</v>
      </c>
      <c r="B361" s="62"/>
      <c r="C361" s="524" t="s">
        <v>5</v>
      </c>
      <c r="D361" s="524" t="s">
        <v>462</v>
      </c>
      <c r="E361" s="524" t="s">
        <v>24</v>
      </c>
      <c r="F361" s="528"/>
      <c r="G361" s="137">
        <f>SUM(G362:G364)</f>
        <v>46097.899999999994</v>
      </c>
      <c r="H361" s="137">
        <f>SUM(H362:H364)</f>
        <v>46251.5</v>
      </c>
      <c r="I361" s="12">
        <f t="shared" si="18"/>
        <v>11982.253886010361</v>
      </c>
    </row>
    <row r="362" spans="1:9" ht="28.5">
      <c r="A362" s="109" t="s">
        <v>495</v>
      </c>
      <c r="B362" s="62"/>
      <c r="C362" s="524" t="s">
        <v>5</v>
      </c>
      <c r="D362" s="524" t="s">
        <v>462</v>
      </c>
      <c r="E362" s="524" t="s">
        <v>24</v>
      </c>
      <c r="F362" s="527" t="s">
        <v>496</v>
      </c>
      <c r="G362" s="137">
        <v>38680.7</v>
      </c>
      <c r="H362" s="137">
        <v>38680.7</v>
      </c>
      <c r="I362" s="12">
        <f t="shared" si="18"/>
        <v>4.967316215836513</v>
      </c>
    </row>
    <row r="363" spans="1:9" ht="15">
      <c r="A363" s="109" t="s">
        <v>500</v>
      </c>
      <c r="B363" s="62"/>
      <c r="C363" s="524" t="s">
        <v>5</v>
      </c>
      <c r="D363" s="524" t="s">
        <v>462</v>
      </c>
      <c r="E363" s="524" t="s">
        <v>24</v>
      </c>
      <c r="F363" s="527" t="s">
        <v>120</v>
      </c>
      <c r="G363" s="137">
        <v>7031.2</v>
      </c>
      <c r="H363" s="137">
        <v>7184.8</v>
      </c>
      <c r="I363" s="12" t="e">
        <f t="shared" si="18"/>
        <v>#DIV/0!</v>
      </c>
    </row>
    <row r="364" spans="1:9" ht="15">
      <c r="A364" s="109" t="s">
        <v>501</v>
      </c>
      <c r="B364" s="62"/>
      <c r="C364" s="524" t="s">
        <v>5</v>
      </c>
      <c r="D364" s="524" t="s">
        <v>462</v>
      </c>
      <c r="E364" s="524" t="s">
        <v>24</v>
      </c>
      <c r="F364" s="527" t="s">
        <v>176</v>
      </c>
      <c r="G364" s="137">
        <v>386</v>
      </c>
      <c r="H364" s="137">
        <v>386</v>
      </c>
      <c r="I364" s="12" t="e">
        <f t="shared" si="18"/>
        <v>#DIV/0!</v>
      </c>
    </row>
    <row r="365" spans="1:9" ht="15">
      <c r="A365" s="109" t="s">
        <v>25</v>
      </c>
      <c r="B365" s="62"/>
      <c r="C365" s="526" t="s">
        <v>5</v>
      </c>
      <c r="D365" s="526" t="s">
        <v>106</v>
      </c>
      <c r="E365" s="526"/>
      <c r="F365" s="527"/>
      <c r="G365" s="137">
        <f>SUM(G369+G426+G430)</f>
        <v>778704.2000000001</v>
      </c>
      <c r="H365" s="137">
        <f>SUM(H369+H426+H430)</f>
        <v>793106.2000000002</v>
      </c>
      <c r="I365" s="12" t="e">
        <f t="shared" si="18"/>
        <v>#DIV/0!</v>
      </c>
    </row>
    <row r="366" spans="1:9" ht="15" hidden="1">
      <c r="A366" s="109" t="s">
        <v>407</v>
      </c>
      <c r="B366" s="62"/>
      <c r="C366" s="526" t="s">
        <v>5</v>
      </c>
      <c r="D366" s="526" t="s">
        <v>106</v>
      </c>
      <c r="E366" s="526" t="s">
        <v>409</v>
      </c>
      <c r="F366" s="527"/>
      <c r="G366" s="137">
        <f>SUM(G368)</f>
        <v>0</v>
      </c>
      <c r="H366" s="137">
        <f>SUM(H368)</f>
        <v>0</v>
      </c>
      <c r="I366" s="12">
        <f t="shared" si="18"/>
        <v>0</v>
      </c>
    </row>
    <row r="367" spans="1:9" ht="15" hidden="1">
      <c r="A367" s="109" t="s">
        <v>387</v>
      </c>
      <c r="B367" s="62"/>
      <c r="C367" s="526" t="s">
        <v>5</v>
      </c>
      <c r="D367" s="526" t="s">
        <v>106</v>
      </c>
      <c r="E367" s="526" t="s">
        <v>388</v>
      </c>
      <c r="F367" s="527"/>
      <c r="G367" s="137">
        <f>SUM(G368)</f>
        <v>0</v>
      </c>
      <c r="H367" s="137">
        <f>SUM(H368)</f>
        <v>0</v>
      </c>
      <c r="I367" s="12">
        <f t="shared" si="18"/>
        <v>0</v>
      </c>
    </row>
    <row r="368" spans="1:9" ht="15" hidden="1">
      <c r="A368" s="109" t="s">
        <v>296</v>
      </c>
      <c r="B368" s="529"/>
      <c r="C368" s="526" t="s">
        <v>5</v>
      </c>
      <c r="D368" s="526" t="s">
        <v>106</v>
      </c>
      <c r="E368" s="526" t="s">
        <v>388</v>
      </c>
      <c r="F368" s="528" t="s">
        <v>297</v>
      </c>
      <c r="G368" s="137"/>
      <c r="H368" s="137"/>
      <c r="I368" s="12">
        <f>SUM(H368/G372*100)</f>
        <v>0</v>
      </c>
    </row>
    <row r="369" spans="1:9" ht="15">
      <c r="A369" s="109" t="s">
        <v>26</v>
      </c>
      <c r="B369" s="62"/>
      <c r="C369" s="526" t="s">
        <v>5</v>
      </c>
      <c r="D369" s="526" t="s">
        <v>106</v>
      </c>
      <c r="E369" s="526" t="s">
        <v>27</v>
      </c>
      <c r="F369" s="527"/>
      <c r="G369" s="137">
        <f>SUM(G370+G373+G376+G379+G382+G385)</f>
        <v>777916.4</v>
      </c>
      <c r="H369" s="137">
        <f>SUM(H370+H373+H376+H379+H382+H385)</f>
        <v>792318.4000000001</v>
      </c>
      <c r="I369" s="12">
        <f>SUM(H369/G373*100)</f>
        <v>480.6223256412093</v>
      </c>
    </row>
    <row r="370" spans="1:9" ht="28.5">
      <c r="A370" s="109" t="s">
        <v>286</v>
      </c>
      <c r="B370" s="62"/>
      <c r="C370" s="524" t="s">
        <v>5</v>
      </c>
      <c r="D370" s="524" t="s">
        <v>106</v>
      </c>
      <c r="E370" s="524" t="s">
        <v>287</v>
      </c>
      <c r="F370" s="528"/>
      <c r="G370" s="137">
        <f>SUM(G371:G372)</f>
        <v>86975.8</v>
      </c>
      <c r="H370" s="137">
        <f>SUM(H371:H372)</f>
        <v>84205.09999999999</v>
      </c>
      <c r="I370" s="12">
        <f>SUM(H370/G375*100)</f>
        <v>51.778024695761026</v>
      </c>
    </row>
    <row r="371" spans="1:9" ht="15">
      <c r="A371" s="109" t="s">
        <v>500</v>
      </c>
      <c r="B371" s="62"/>
      <c r="C371" s="524" t="s">
        <v>5</v>
      </c>
      <c r="D371" s="524" t="s">
        <v>106</v>
      </c>
      <c r="E371" s="524" t="s">
        <v>287</v>
      </c>
      <c r="F371" s="528" t="s">
        <v>120</v>
      </c>
      <c r="G371" s="137">
        <v>1322</v>
      </c>
      <c r="H371" s="137">
        <v>1279.9</v>
      </c>
      <c r="I371" s="12"/>
    </row>
    <row r="372" spans="1:9" ht="15">
      <c r="A372" s="109" t="s">
        <v>505</v>
      </c>
      <c r="B372" s="62"/>
      <c r="C372" s="524" t="s">
        <v>5</v>
      </c>
      <c r="D372" s="524" t="s">
        <v>106</v>
      </c>
      <c r="E372" s="524" t="s">
        <v>287</v>
      </c>
      <c r="F372" s="528" t="s">
        <v>506</v>
      </c>
      <c r="G372" s="137">
        <v>85653.8</v>
      </c>
      <c r="H372" s="137">
        <v>82925.2</v>
      </c>
      <c r="I372" s="12">
        <f>SUM(H372/G376*100)</f>
        <v>107555.38261997403</v>
      </c>
    </row>
    <row r="373" spans="1:9" ht="15">
      <c r="A373" s="109" t="s">
        <v>285</v>
      </c>
      <c r="B373" s="62"/>
      <c r="C373" s="524" t="s">
        <v>5</v>
      </c>
      <c r="D373" s="524" t="s">
        <v>106</v>
      </c>
      <c r="E373" s="524" t="s">
        <v>571</v>
      </c>
      <c r="F373" s="528"/>
      <c r="G373" s="137">
        <f>SUM(G374:G375)</f>
        <v>164852.6</v>
      </c>
      <c r="H373" s="137">
        <f>SUM(H374:H375)</f>
        <v>166500.9</v>
      </c>
      <c r="I373" s="12">
        <f>SUM(H373/G378*100)</f>
        <v>219368.7747035573</v>
      </c>
    </row>
    <row r="374" spans="1:9" ht="15">
      <c r="A374" s="109" t="s">
        <v>500</v>
      </c>
      <c r="B374" s="62"/>
      <c r="C374" s="524" t="s">
        <v>5</v>
      </c>
      <c r="D374" s="524" t="s">
        <v>106</v>
      </c>
      <c r="E374" s="524" t="s">
        <v>571</v>
      </c>
      <c r="F374" s="528" t="s">
        <v>120</v>
      </c>
      <c r="G374" s="137">
        <v>2225.5</v>
      </c>
      <c r="H374" s="137">
        <v>2247.8</v>
      </c>
      <c r="I374" s="12"/>
    </row>
    <row r="375" spans="1:9" ht="15">
      <c r="A375" s="109" t="s">
        <v>505</v>
      </c>
      <c r="B375" s="529"/>
      <c r="C375" s="524" t="s">
        <v>5</v>
      </c>
      <c r="D375" s="524" t="s">
        <v>106</v>
      </c>
      <c r="E375" s="524" t="s">
        <v>571</v>
      </c>
      <c r="F375" s="528" t="s">
        <v>506</v>
      </c>
      <c r="G375" s="137">
        <v>162627.1</v>
      </c>
      <c r="H375" s="137">
        <v>164253.1</v>
      </c>
      <c r="I375" s="12">
        <f>SUM(H375/G379*100)</f>
        <v>195.06196737509143</v>
      </c>
    </row>
    <row r="376" spans="1:9" ht="42.75">
      <c r="A376" s="110" t="s">
        <v>284</v>
      </c>
      <c r="B376" s="62"/>
      <c r="C376" s="524" t="s">
        <v>5</v>
      </c>
      <c r="D376" s="524" t="s">
        <v>106</v>
      </c>
      <c r="E376" s="524" t="s">
        <v>572</v>
      </c>
      <c r="F376" s="528"/>
      <c r="G376" s="137">
        <f>SUM(G377:G378)</f>
        <v>77.10000000000001</v>
      </c>
      <c r="H376" s="137">
        <f>SUM(H377:H378)</f>
        <v>77.10000000000001</v>
      </c>
      <c r="I376" s="12">
        <f>SUM(H376/G381*100)</f>
        <v>0.09295596346866807</v>
      </c>
    </row>
    <row r="377" spans="1:9" ht="15">
      <c r="A377" s="109" t="s">
        <v>500</v>
      </c>
      <c r="B377" s="62"/>
      <c r="C377" s="524" t="s">
        <v>5</v>
      </c>
      <c r="D377" s="524" t="s">
        <v>106</v>
      </c>
      <c r="E377" s="524" t="s">
        <v>572</v>
      </c>
      <c r="F377" s="528" t="s">
        <v>120</v>
      </c>
      <c r="G377" s="137">
        <v>1.2</v>
      </c>
      <c r="H377" s="137">
        <v>1.2</v>
      </c>
      <c r="I377" s="12"/>
    </row>
    <row r="378" spans="1:9" ht="15">
      <c r="A378" s="109" t="s">
        <v>505</v>
      </c>
      <c r="B378" s="62"/>
      <c r="C378" s="524" t="s">
        <v>5</v>
      </c>
      <c r="D378" s="524" t="s">
        <v>106</v>
      </c>
      <c r="E378" s="524" t="s">
        <v>572</v>
      </c>
      <c r="F378" s="528" t="s">
        <v>506</v>
      </c>
      <c r="G378" s="137">
        <v>75.9</v>
      </c>
      <c r="H378" s="137">
        <v>75.9</v>
      </c>
      <c r="I378" s="12">
        <f>SUM(H378/G382*100)</f>
        <v>3.731013124907831</v>
      </c>
    </row>
    <row r="379" spans="1:9" ht="71.25">
      <c r="A379" s="151" t="s">
        <v>574</v>
      </c>
      <c r="B379" s="133"/>
      <c r="C379" s="530" t="s">
        <v>5</v>
      </c>
      <c r="D379" s="530" t="s">
        <v>106</v>
      </c>
      <c r="E379" s="530" t="s">
        <v>573</v>
      </c>
      <c r="F379" s="531"/>
      <c r="G379" s="532">
        <f>SUM(G380:G381)</f>
        <v>84205.6</v>
      </c>
      <c r="H379" s="532">
        <f>SUM(H380:H381)</f>
        <v>88596.59999999999</v>
      </c>
      <c r="I379" s="12">
        <f>SUM(H379/G383*100)</f>
        <v>4355.139359976404</v>
      </c>
    </row>
    <row r="380" spans="1:9" ht="15">
      <c r="A380" s="109" t="s">
        <v>500</v>
      </c>
      <c r="B380" s="62"/>
      <c r="C380" s="524" t="s">
        <v>5</v>
      </c>
      <c r="D380" s="524" t="s">
        <v>106</v>
      </c>
      <c r="E380" s="530" t="s">
        <v>573</v>
      </c>
      <c r="F380" s="528" t="s">
        <v>120</v>
      </c>
      <c r="G380" s="532">
        <v>1263.1</v>
      </c>
      <c r="H380" s="532">
        <v>1328.9</v>
      </c>
      <c r="I380" s="12"/>
    </row>
    <row r="381" spans="1:9" ht="15">
      <c r="A381" s="114" t="s">
        <v>505</v>
      </c>
      <c r="B381" s="133"/>
      <c r="C381" s="530" t="s">
        <v>5</v>
      </c>
      <c r="D381" s="530" t="s">
        <v>106</v>
      </c>
      <c r="E381" s="530" t="s">
        <v>573</v>
      </c>
      <c r="F381" s="531" t="s">
        <v>506</v>
      </c>
      <c r="G381" s="532">
        <v>82942.5</v>
      </c>
      <c r="H381" s="532">
        <v>87267.7</v>
      </c>
      <c r="I381" s="12" t="e">
        <f t="shared" si="18"/>
        <v>#DIV/0!</v>
      </c>
    </row>
    <row r="382" spans="1:9" ht="15">
      <c r="A382" s="114" t="s">
        <v>221</v>
      </c>
      <c r="B382" s="133"/>
      <c r="C382" s="530" t="s">
        <v>5</v>
      </c>
      <c r="D382" s="530" t="s">
        <v>106</v>
      </c>
      <c r="E382" s="530" t="s">
        <v>575</v>
      </c>
      <c r="F382" s="531"/>
      <c r="G382" s="532">
        <f>G383+G384</f>
        <v>2034.3</v>
      </c>
      <c r="H382" s="532">
        <f>H383+H384</f>
        <v>2034.3</v>
      </c>
      <c r="I382" s="12">
        <f t="shared" si="18"/>
        <v>0.46258166181944693</v>
      </c>
    </row>
    <row r="383" spans="1:9" ht="15">
      <c r="A383" s="114" t="s">
        <v>505</v>
      </c>
      <c r="B383" s="133"/>
      <c r="C383" s="530" t="s">
        <v>5</v>
      </c>
      <c r="D383" s="530" t="s">
        <v>106</v>
      </c>
      <c r="E383" s="530" t="s">
        <v>575</v>
      </c>
      <c r="F383" s="531" t="s">
        <v>506</v>
      </c>
      <c r="G383" s="532">
        <v>2034.3</v>
      </c>
      <c r="H383" s="532">
        <v>2034.3</v>
      </c>
      <c r="I383" s="12">
        <f t="shared" si="18"/>
        <v>161.50365195300094</v>
      </c>
    </row>
    <row r="384" spans="1:9" ht="28.5">
      <c r="A384" s="114" t="s">
        <v>592</v>
      </c>
      <c r="B384" s="133"/>
      <c r="C384" s="530" t="s">
        <v>5</v>
      </c>
      <c r="D384" s="530" t="s">
        <v>106</v>
      </c>
      <c r="E384" s="530" t="s">
        <v>575</v>
      </c>
      <c r="F384" s="531" t="s">
        <v>513</v>
      </c>
      <c r="G384" s="532"/>
      <c r="H384" s="532"/>
      <c r="I384" s="12">
        <f>SUM(H384/G388*100)</f>
        <v>0</v>
      </c>
    </row>
    <row r="385" spans="1:9" ht="15">
      <c r="A385" s="114" t="s">
        <v>289</v>
      </c>
      <c r="B385" s="133"/>
      <c r="C385" s="530" t="s">
        <v>5</v>
      </c>
      <c r="D385" s="530" t="s">
        <v>106</v>
      </c>
      <c r="E385" s="530" t="s">
        <v>577</v>
      </c>
      <c r="F385" s="531"/>
      <c r="G385" s="532">
        <f>G386+G389+G392+G395+G398+G401+G404+G407+G410+G413+G416+G419+G423</f>
        <v>439771</v>
      </c>
      <c r="H385" s="532">
        <f>H386+H389+H392+H395+H398+H401+H404+H407+H410+H413+H416+H419+H423</f>
        <v>450904.4000000001</v>
      </c>
      <c r="I385" s="12">
        <f>SUM(H385/G389*100)</f>
        <v>757.365555908284</v>
      </c>
    </row>
    <row r="386" spans="1:9" ht="42.75">
      <c r="A386" s="114" t="s">
        <v>468</v>
      </c>
      <c r="B386" s="133"/>
      <c r="C386" s="530" t="s">
        <v>5</v>
      </c>
      <c r="D386" s="530" t="s">
        <v>106</v>
      </c>
      <c r="E386" s="530" t="s">
        <v>578</v>
      </c>
      <c r="F386" s="531"/>
      <c r="G386" s="532">
        <f>SUM(G387:G388)</f>
        <v>1259.6000000000001</v>
      </c>
      <c r="H386" s="532">
        <f>SUM(H387:H388)</f>
        <v>1259.6000000000001</v>
      </c>
      <c r="I386" s="12">
        <f>SUM(H386/G391*100)</f>
        <v>2.148791347515311</v>
      </c>
    </row>
    <row r="387" spans="1:9" ht="15">
      <c r="A387" s="109" t="s">
        <v>500</v>
      </c>
      <c r="B387" s="62"/>
      <c r="C387" s="524" t="s">
        <v>5</v>
      </c>
      <c r="D387" s="524" t="s">
        <v>106</v>
      </c>
      <c r="E387" s="530" t="s">
        <v>578</v>
      </c>
      <c r="F387" s="528" t="s">
        <v>120</v>
      </c>
      <c r="G387" s="532">
        <v>18.9</v>
      </c>
      <c r="H387" s="532">
        <v>18.9</v>
      </c>
      <c r="I387" s="12"/>
    </row>
    <row r="388" spans="1:9" ht="15">
      <c r="A388" s="114" t="s">
        <v>505</v>
      </c>
      <c r="B388" s="133"/>
      <c r="C388" s="530" t="s">
        <v>5</v>
      </c>
      <c r="D388" s="530" t="s">
        <v>106</v>
      </c>
      <c r="E388" s="530" t="s">
        <v>578</v>
      </c>
      <c r="F388" s="531" t="s">
        <v>506</v>
      </c>
      <c r="G388" s="532">
        <v>1240.7</v>
      </c>
      <c r="H388" s="532">
        <v>1240.7</v>
      </c>
      <c r="I388" s="12">
        <f>SUM(H388/G392*100)</f>
        <v>2.359817483609473</v>
      </c>
    </row>
    <row r="389" spans="1:9" ht="28.5">
      <c r="A389" s="120" t="s">
        <v>469</v>
      </c>
      <c r="B389" s="133"/>
      <c r="C389" s="530" t="s">
        <v>5</v>
      </c>
      <c r="D389" s="530" t="s">
        <v>106</v>
      </c>
      <c r="E389" s="530" t="s">
        <v>579</v>
      </c>
      <c r="F389" s="531"/>
      <c r="G389" s="532">
        <f>SUM(G390:G391)</f>
        <v>59535.9</v>
      </c>
      <c r="H389" s="532">
        <f>SUM(H390:H391)</f>
        <v>62477.899999999994</v>
      </c>
      <c r="I389" s="12">
        <f>SUM(H389/G394*100)</f>
        <v>120.6183636433839</v>
      </c>
    </row>
    <row r="390" spans="1:9" ht="15">
      <c r="A390" s="109" t="s">
        <v>500</v>
      </c>
      <c r="B390" s="62"/>
      <c r="C390" s="524" t="s">
        <v>5</v>
      </c>
      <c r="D390" s="524" t="s">
        <v>106</v>
      </c>
      <c r="E390" s="530" t="s">
        <v>579</v>
      </c>
      <c r="F390" s="528" t="s">
        <v>120</v>
      </c>
      <c r="G390" s="532">
        <v>916.9</v>
      </c>
      <c r="H390" s="532">
        <v>962.2</v>
      </c>
      <c r="I390" s="12"/>
    </row>
    <row r="391" spans="1:9" ht="15">
      <c r="A391" s="114" t="s">
        <v>505</v>
      </c>
      <c r="B391" s="133"/>
      <c r="C391" s="530" t="s">
        <v>5</v>
      </c>
      <c r="D391" s="530" t="s">
        <v>106</v>
      </c>
      <c r="E391" s="530" t="s">
        <v>579</v>
      </c>
      <c r="F391" s="531" t="s">
        <v>506</v>
      </c>
      <c r="G391" s="532">
        <v>58619</v>
      </c>
      <c r="H391" s="532">
        <v>61515.7</v>
      </c>
      <c r="I391" s="12">
        <f>SUM(H391/G395*100)</f>
        <v>35.3392071446257</v>
      </c>
    </row>
    <row r="392" spans="1:9" ht="57">
      <c r="A392" s="152" t="s">
        <v>470</v>
      </c>
      <c r="B392" s="133"/>
      <c r="C392" s="530" t="s">
        <v>5</v>
      </c>
      <c r="D392" s="530" t="s">
        <v>106</v>
      </c>
      <c r="E392" s="530" t="s">
        <v>580</v>
      </c>
      <c r="F392" s="531"/>
      <c r="G392" s="532">
        <f>SUM(G393:G394)</f>
        <v>52576.1</v>
      </c>
      <c r="H392" s="532">
        <f>SUM(H393:H394)</f>
        <v>50891.799999999996</v>
      </c>
      <c r="I392" s="12">
        <f>SUM(H392/G397*100)</f>
        <v>30.252635345883753</v>
      </c>
    </row>
    <row r="393" spans="1:9" ht="15">
      <c r="A393" s="109" t="s">
        <v>500</v>
      </c>
      <c r="B393" s="62"/>
      <c r="C393" s="524" t="s">
        <v>5</v>
      </c>
      <c r="D393" s="524" t="s">
        <v>106</v>
      </c>
      <c r="E393" s="530" t="s">
        <v>580</v>
      </c>
      <c r="F393" s="528" t="s">
        <v>120</v>
      </c>
      <c r="G393" s="532">
        <v>778.1</v>
      </c>
      <c r="H393" s="532">
        <v>753.2</v>
      </c>
      <c r="I393" s="12"/>
    </row>
    <row r="394" spans="1:9" ht="15">
      <c r="A394" s="114" t="s">
        <v>505</v>
      </c>
      <c r="B394" s="133"/>
      <c r="C394" s="530" t="s">
        <v>5</v>
      </c>
      <c r="D394" s="530" t="s">
        <v>106</v>
      </c>
      <c r="E394" s="530" t="s">
        <v>580</v>
      </c>
      <c r="F394" s="531" t="s">
        <v>506</v>
      </c>
      <c r="G394" s="532">
        <v>51798</v>
      </c>
      <c r="H394" s="532">
        <v>50138.6</v>
      </c>
      <c r="I394" s="12">
        <f>SUM(H394/G398*100)</f>
        <v>3263.594350061837</v>
      </c>
    </row>
    <row r="395" spans="1:9" ht="71.25">
      <c r="A395" s="152" t="s">
        <v>581</v>
      </c>
      <c r="B395" s="133"/>
      <c r="C395" s="530" t="s">
        <v>5</v>
      </c>
      <c r="D395" s="530" t="s">
        <v>106</v>
      </c>
      <c r="E395" s="530" t="s">
        <v>582</v>
      </c>
      <c r="F395" s="531"/>
      <c r="G395" s="532">
        <f>SUM(G396:G397)</f>
        <v>174072.1</v>
      </c>
      <c r="H395" s="532">
        <f>SUM(H396:H397)</f>
        <v>182775.4</v>
      </c>
      <c r="I395" s="12"/>
    </row>
    <row r="396" spans="1:9" ht="15">
      <c r="A396" s="109" t="s">
        <v>500</v>
      </c>
      <c r="B396" s="133"/>
      <c r="C396" s="530" t="s">
        <v>5</v>
      </c>
      <c r="D396" s="530" t="s">
        <v>106</v>
      </c>
      <c r="E396" s="530" t="s">
        <v>582</v>
      </c>
      <c r="F396" s="531" t="s">
        <v>120</v>
      </c>
      <c r="G396" s="532">
        <v>5849.4</v>
      </c>
      <c r="H396" s="532">
        <v>6141.6</v>
      </c>
      <c r="I396" s="12"/>
    </row>
    <row r="397" spans="1:9" ht="15">
      <c r="A397" s="114" t="s">
        <v>505</v>
      </c>
      <c r="B397" s="133"/>
      <c r="C397" s="530" t="s">
        <v>5</v>
      </c>
      <c r="D397" s="530" t="s">
        <v>106</v>
      </c>
      <c r="E397" s="530" t="s">
        <v>582</v>
      </c>
      <c r="F397" s="531" t="s">
        <v>506</v>
      </c>
      <c r="G397" s="532">
        <v>168222.7</v>
      </c>
      <c r="H397" s="532">
        <v>176633.8</v>
      </c>
      <c r="I397" s="12"/>
    </row>
    <row r="398" spans="1:9" ht="71.25">
      <c r="A398" s="120" t="s">
        <v>471</v>
      </c>
      <c r="B398" s="133"/>
      <c r="C398" s="530" t="s">
        <v>5</v>
      </c>
      <c r="D398" s="530" t="s">
        <v>106</v>
      </c>
      <c r="E398" s="530" t="s">
        <v>583</v>
      </c>
      <c r="F398" s="531"/>
      <c r="G398" s="532">
        <f>SUM(G399:G400)</f>
        <v>1536.3</v>
      </c>
      <c r="H398" s="532">
        <f>SUM(H399:H400)</f>
        <v>1536.3</v>
      </c>
      <c r="I398" s="12">
        <f>SUM(H398/G403*100)</f>
        <v>15.858580645161291</v>
      </c>
    </row>
    <row r="399" spans="1:9" ht="15">
      <c r="A399" s="109" t="s">
        <v>500</v>
      </c>
      <c r="B399" s="133"/>
      <c r="C399" s="530" t="s">
        <v>5</v>
      </c>
      <c r="D399" s="530" t="s">
        <v>106</v>
      </c>
      <c r="E399" s="530" t="s">
        <v>583</v>
      </c>
      <c r="F399" s="531" t="s">
        <v>120</v>
      </c>
      <c r="G399" s="532">
        <v>23</v>
      </c>
      <c r="H399" s="532">
        <v>23</v>
      </c>
      <c r="I399" s="12"/>
    </row>
    <row r="400" spans="1:9" ht="15">
      <c r="A400" s="114" t="s">
        <v>505</v>
      </c>
      <c r="B400" s="133"/>
      <c r="C400" s="530" t="s">
        <v>5</v>
      </c>
      <c r="D400" s="530" t="s">
        <v>106</v>
      </c>
      <c r="E400" s="530" t="s">
        <v>583</v>
      </c>
      <c r="F400" s="531" t="s">
        <v>506</v>
      </c>
      <c r="G400" s="532">
        <v>1513.3</v>
      </c>
      <c r="H400" s="532">
        <v>1513.3</v>
      </c>
      <c r="I400" s="12">
        <f>SUM(H400/G404*100)</f>
        <v>1.256459562144641</v>
      </c>
    </row>
    <row r="401" spans="1:9" ht="85.5">
      <c r="A401" s="120" t="s">
        <v>472</v>
      </c>
      <c r="B401" s="133"/>
      <c r="C401" s="530" t="s">
        <v>5</v>
      </c>
      <c r="D401" s="530" t="s">
        <v>106</v>
      </c>
      <c r="E401" s="530" t="s">
        <v>584</v>
      </c>
      <c r="F401" s="531"/>
      <c r="G401" s="532">
        <f>SUM(G402:G403)</f>
        <v>10018.1</v>
      </c>
      <c r="H401" s="532">
        <f>SUM(H402:H403)</f>
        <v>10518.9</v>
      </c>
      <c r="I401" s="12">
        <f>SUM(H401/G406*100)</f>
        <v>8.864814299800267</v>
      </c>
    </row>
    <row r="402" spans="1:9" ht="15">
      <c r="A402" s="109" t="s">
        <v>500</v>
      </c>
      <c r="B402" s="133"/>
      <c r="C402" s="530" t="s">
        <v>5</v>
      </c>
      <c r="D402" s="530" t="s">
        <v>106</v>
      </c>
      <c r="E402" s="530" t="s">
        <v>584</v>
      </c>
      <c r="F402" s="531" t="s">
        <v>120</v>
      </c>
      <c r="G402" s="532">
        <v>330.6</v>
      </c>
      <c r="H402" s="532">
        <v>347.1</v>
      </c>
      <c r="I402" s="12"/>
    </row>
    <row r="403" spans="1:9" ht="15">
      <c r="A403" s="114" t="s">
        <v>505</v>
      </c>
      <c r="B403" s="133"/>
      <c r="C403" s="530" t="s">
        <v>5</v>
      </c>
      <c r="D403" s="530" t="s">
        <v>106</v>
      </c>
      <c r="E403" s="530" t="s">
        <v>584</v>
      </c>
      <c r="F403" s="531" t="s">
        <v>506</v>
      </c>
      <c r="G403" s="532">
        <v>9687.5</v>
      </c>
      <c r="H403" s="532">
        <v>10171.8</v>
      </c>
      <c r="I403" s="12">
        <f>SUM(H403/G407*100)</f>
        <v>988.1290071886534</v>
      </c>
    </row>
    <row r="404" spans="1:9" ht="42.75">
      <c r="A404" s="114" t="s">
        <v>473</v>
      </c>
      <c r="B404" s="133"/>
      <c r="C404" s="530" t="s">
        <v>5</v>
      </c>
      <c r="D404" s="530" t="s">
        <v>106</v>
      </c>
      <c r="E404" s="530" t="s">
        <v>585</v>
      </c>
      <c r="F404" s="531"/>
      <c r="G404" s="532">
        <f>SUM(G405:G406)</f>
        <v>120441.6</v>
      </c>
      <c r="H404" s="532">
        <f>SUM(H405:H406)</f>
        <v>120441.6</v>
      </c>
      <c r="I404" s="12">
        <f>SUM(H404/G409*100)</f>
        <v>12553.846153846154</v>
      </c>
    </row>
    <row r="405" spans="1:9" ht="15">
      <c r="A405" s="109" t="s">
        <v>500</v>
      </c>
      <c r="B405" s="133"/>
      <c r="C405" s="530" t="s">
        <v>5</v>
      </c>
      <c r="D405" s="530" t="s">
        <v>106</v>
      </c>
      <c r="E405" s="530" t="s">
        <v>585</v>
      </c>
      <c r="F405" s="531" t="s">
        <v>120</v>
      </c>
      <c r="G405" s="532">
        <v>1782.6</v>
      </c>
      <c r="H405" s="532">
        <v>1782.6</v>
      </c>
      <c r="I405" s="12"/>
    </row>
    <row r="406" spans="1:9" ht="15">
      <c r="A406" s="114" t="s">
        <v>505</v>
      </c>
      <c r="B406" s="133"/>
      <c r="C406" s="530" t="s">
        <v>5</v>
      </c>
      <c r="D406" s="530" t="s">
        <v>106</v>
      </c>
      <c r="E406" s="530" t="s">
        <v>585</v>
      </c>
      <c r="F406" s="531" t="s">
        <v>506</v>
      </c>
      <c r="G406" s="532">
        <v>118659</v>
      </c>
      <c r="H406" s="532">
        <v>118659</v>
      </c>
      <c r="I406" s="12">
        <f>SUM(H406/G410*100)</f>
        <v>48750.6162695152</v>
      </c>
    </row>
    <row r="407" spans="1:9" s="21" customFormat="1" ht="71.25">
      <c r="A407" s="114" t="s">
        <v>474</v>
      </c>
      <c r="B407" s="133"/>
      <c r="C407" s="530" t="s">
        <v>5</v>
      </c>
      <c r="D407" s="530" t="s">
        <v>106</v>
      </c>
      <c r="E407" s="530" t="s">
        <v>586</v>
      </c>
      <c r="F407" s="531"/>
      <c r="G407" s="532">
        <f>SUM(G408:G409)</f>
        <v>1029.4</v>
      </c>
      <c r="H407" s="532">
        <f>SUM(H408:H409)</f>
        <v>1080.9</v>
      </c>
      <c r="I407" s="12">
        <f>SUM(H407/G412*100)</f>
        <v>450.7506255212677</v>
      </c>
    </row>
    <row r="408" spans="1:9" s="21" customFormat="1" ht="15">
      <c r="A408" s="109" t="s">
        <v>500</v>
      </c>
      <c r="B408" s="133"/>
      <c r="C408" s="530" t="s">
        <v>5</v>
      </c>
      <c r="D408" s="530" t="s">
        <v>106</v>
      </c>
      <c r="E408" s="530" t="s">
        <v>586</v>
      </c>
      <c r="F408" s="531" t="s">
        <v>120</v>
      </c>
      <c r="G408" s="532">
        <v>70</v>
      </c>
      <c r="H408" s="532">
        <v>73.5</v>
      </c>
      <c r="I408" s="12"/>
    </row>
    <row r="409" spans="1:9" s="21" customFormat="1" ht="15">
      <c r="A409" s="114" t="s">
        <v>505</v>
      </c>
      <c r="B409" s="133"/>
      <c r="C409" s="530" t="s">
        <v>5</v>
      </c>
      <c r="D409" s="530" t="s">
        <v>106</v>
      </c>
      <c r="E409" s="530" t="s">
        <v>586</v>
      </c>
      <c r="F409" s="531" t="s">
        <v>506</v>
      </c>
      <c r="G409" s="532">
        <v>959.4</v>
      </c>
      <c r="H409" s="532">
        <v>1007.4</v>
      </c>
      <c r="I409" s="12">
        <f>SUM(H409/G413*100)</f>
        <v>14.784701634917372</v>
      </c>
    </row>
    <row r="410" spans="1:9" s="21" customFormat="1" ht="71.25">
      <c r="A410" s="114" t="s">
        <v>587</v>
      </c>
      <c r="B410" s="133"/>
      <c r="C410" s="530" t="s">
        <v>5</v>
      </c>
      <c r="D410" s="530" t="s">
        <v>106</v>
      </c>
      <c r="E410" s="530" t="s">
        <v>588</v>
      </c>
      <c r="F410" s="531"/>
      <c r="G410" s="532">
        <f>SUM(G411:G412)</f>
        <v>243.4</v>
      </c>
      <c r="H410" s="532">
        <f>SUM(H411:H412)</f>
        <v>243.4</v>
      </c>
      <c r="I410" s="12">
        <f>SUM(H410/G415*100)</f>
        <v>3.690227114224203</v>
      </c>
    </row>
    <row r="411" spans="1:9" s="21" customFormat="1" ht="15">
      <c r="A411" s="109" t="s">
        <v>500</v>
      </c>
      <c r="B411" s="133"/>
      <c r="C411" s="530" t="s">
        <v>5</v>
      </c>
      <c r="D411" s="530" t="s">
        <v>106</v>
      </c>
      <c r="E411" s="530" t="s">
        <v>588</v>
      </c>
      <c r="F411" s="531" t="s">
        <v>120</v>
      </c>
      <c r="G411" s="532">
        <v>3.6</v>
      </c>
      <c r="H411" s="532">
        <v>3.6</v>
      </c>
      <c r="I411" s="12"/>
    </row>
    <row r="412" spans="1:9" s="21" customFormat="1" ht="15">
      <c r="A412" s="114" t="s">
        <v>505</v>
      </c>
      <c r="B412" s="133"/>
      <c r="C412" s="530" t="s">
        <v>5</v>
      </c>
      <c r="D412" s="530" t="s">
        <v>106</v>
      </c>
      <c r="E412" s="530" t="s">
        <v>588</v>
      </c>
      <c r="F412" s="531" t="s">
        <v>506</v>
      </c>
      <c r="G412" s="532">
        <v>239.8</v>
      </c>
      <c r="H412" s="532">
        <v>239.8</v>
      </c>
      <c r="I412" s="12">
        <f>SUM(H412/G416*100)</f>
        <v>4.476218920331517</v>
      </c>
    </row>
    <row r="413" spans="1:9" s="503" customFormat="1" ht="42.75">
      <c r="A413" s="114" t="s">
        <v>475</v>
      </c>
      <c r="B413" s="133"/>
      <c r="C413" s="530" t="s">
        <v>5</v>
      </c>
      <c r="D413" s="530" t="s">
        <v>106</v>
      </c>
      <c r="E413" s="530" t="s">
        <v>589</v>
      </c>
      <c r="F413" s="531"/>
      <c r="G413" s="532">
        <f>SUM(G414:G415)</f>
        <v>6813.8</v>
      </c>
      <c r="H413" s="532">
        <f>SUM(H414:H415)</f>
        <v>7154.4</v>
      </c>
      <c r="I413" s="16">
        <f>SUM(H413/G418*100)</f>
        <v>135.4435651811745</v>
      </c>
    </row>
    <row r="414" spans="1:9" s="503" customFormat="1" ht="15">
      <c r="A414" s="109" t="s">
        <v>500</v>
      </c>
      <c r="B414" s="133"/>
      <c r="C414" s="530" t="s">
        <v>5</v>
      </c>
      <c r="D414" s="530" t="s">
        <v>106</v>
      </c>
      <c r="E414" s="530" t="s">
        <v>589</v>
      </c>
      <c r="F414" s="531" t="s">
        <v>120</v>
      </c>
      <c r="G414" s="532">
        <v>218</v>
      </c>
      <c r="H414" s="532">
        <v>228.9</v>
      </c>
      <c r="I414" s="16"/>
    </row>
    <row r="415" spans="1:9" ht="15">
      <c r="A415" s="114" t="s">
        <v>505</v>
      </c>
      <c r="B415" s="133"/>
      <c r="C415" s="530" t="s">
        <v>5</v>
      </c>
      <c r="D415" s="530" t="s">
        <v>106</v>
      </c>
      <c r="E415" s="530" t="s">
        <v>589</v>
      </c>
      <c r="F415" s="531" t="s">
        <v>506</v>
      </c>
      <c r="G415" s="532">
        <v>6595.8</v>
      </c>
      <c r="H415" s="532">
        <v>6925.5</v>
      </c>
      <c r="I415" s="12">
        <f>SUM(H415/G419*100)</f>
        <v>386.66182792697225</v>
      </c>
    </row>
    <row r="416" spans="1:9" ht="28.5">
      <c r="A416" s="114" t="s">
        <v>476</v>
      </c>
      <c r="B416" s="133"/>
      <c r="C416" s="530" t="s">
        <v>5</v>
      </c>
      <c r="D416" s="530" t="s">
        <v>106</v>
      </c>
      <c r="E416" s="530" t="s">
        <v>590</v>
      </c>
      <c r="F416" s="531"/>
      <c r="G416" s="532">
        <f>SUM(G417:G418)</f>
        <v>5357.2</v>
      </c>
      <c r="H416" s="532">
        <f>SUM(H417:H418)</f>
        <v>5357.2</v>
      </c>
      <c r="I416" s="12">
        <f>SUM(H416/G421*100)</f>
        <v>362.58544839255495</v>
      </c>
    </row>
    <row r="417" spans="1:9" ht="15">
      <c r="A417" s="109" t="s">
        <v>500</v>
      </c>
      <c r="B417" s="133"/>
      <c r="C417" s="530" t="s">
        <v>5</v>
      </c>
      <c r="D417" s="530" t="s">
        <v>106</v>
      </c>
      <c r="E417" s="530" t="s">
        <v>590</v>
      </c>
      <c r="F417" s="531" t="s">
        <v>120</v>
      </c>
      <c r="G417" s="532">
        <v>75</v>
      </c>
      <c r="H417" s="532">
        <v>75</v>
      </c>
      <c r="I417" s="12"/>
    </row>
    <row r="418" spans="1:9" ht="15">
      <c r="A418" s="114" t="s">
        <v>505</v>
      </c>
      <c r="B418" s="133"/>
      <c r="C418" s="530" t="s">
        <v>5</v>
      </c>
      <c r="D418" s="530" t="s">
        <v>106</v>
      </c>
      <c r="E418" s="530" t="s">
        <v>590</v>
      </c>
      <c r="F418" s="531" t="s">
        <v>506</v>
      </c>
      <c r="G418" s="532">
        <v>5282.2</v>
      </c>
      <c r="H418" s="532">
        <v>5282.2</v>
      </c>
      <c r="I418" s="12">
        <f>SUM(H418/G422*100)</f>
        <v>1836.6481223922112</v>
      </c>
    </row>
    <row r="419" spans="1:9" ht="42.75">
      <c r="A419" s="120" t="s">
        <v>477</v>
      </c>
      <c r="B419" s="133"/>
      <c r="C419" s="530" t="s">
        <v>5</v>
      </c>
      <c r="D419" s="530" t="s">
        <v>106</v>
      </c>
      <c r="E419" s="530" t="s">
        <v>591</v>
      </c>
      <c r="F419" s="531"/>
      <c r="G419" s="532">
        <f>SUM(G420:G422)</f>
        <v>1791.1</v>
      </c>
      <c r="H419" s="532">
        <f>SUM(H420:H422)</f>
        <v>1815.8000000000002</v>
      </c>
      <c r="I419" s="12">
        <f>SUM(H419/G423*100)</f>
        <v>35.62907150145201</v>
      </c>
    </row>
    <row r="420" spans="1:9" ht="15">
      <c r="A420" s="109" t="s">
        <v>500</v>
      </c>
      <c r="B420" s="133"/>
      <c r="C420" s="530" t="s">
        <v>5</v>
      </c>
      <c r="D420" s="530" t="s">
        <v>106</v>
      </c>
      <c r="E420" s="530" t="s">
        <v>591</v>
      </c>
      <c r="F420" s="531" t="s">
        <v>120</v>
      </c>
      <c r="G420" s="532">
        <v>26</v>
      </c>
      <c r="H420" s="532">
        <v>26.4</v>
      </c>
      <c r="I420" s="12"/>
    </row>
    <row r="421" spans="1:9" ht="15">
      <c r="A421" s="114" t="s">
        <v>505</v>
      </c>
      <c r="B421" s="133"/>
      <c r="C421" s="530" t="s">
        <v>5</v>
      </c>
      <c r="D421" s="530" t="s">
        <v>106</v>
      </c>
      <c r="E421" s="530" t="s">
        <v>591</v>
      </c>
      <c r="F421" s="531" t="s">
        <v>506</v>
      </c>
      <c r="G421" s="532">
        <v>1477.5</v>
      </c>
      <c r="H421" s="532">
        <v>1501.8</v>
      </c>
      <c r="I421" s="12">
        <f>SUM(H421/G425*100)</f>
        <v>29.916334661354583</v>
      </c>
    </row>
    <row r="422" spans="1:9" ht="28.5">
      <c r="A422" s="114" t="s">
        <v>592</v>
      </c>
      <c r="B422" s="133"/>
      <c r="C422" s="530" t="s">
        <v>5</v>
      </c>
      <c r="D422" s="530" t="s">
        <v>106</v>
      </c>
      <c r="E422" s="530" t="s">
        <v>591</v>
      </c>
      <c r="F422" s="531" t="s">
        <v>513</v>
      </c>
      <c r="G422" s="532">
        <v>287.6</v>
      </c>
      <c r="H422" s="532">
        <v>287.6</v>
      </c>
      <c r="I422" s="12">
        <f>SUM(H422/G426*100)</f>
        <v>58.455284552845534</v>
      </c>
    </row>
    <row r="423" spans="1:9" ht="42.75">
      <c r="A423" s="114" t="s">
        <v>478</v>
      </c>
      <c r="B423" s="133"/>
      <c r="C423" s="530" t="s">
        <v>5</v>
      </c>
      <c r="D423" s="530" t="s">
        <v>106</v>
      </c>
      <c r="E423" s="530" t="s">
        <v>593</v>
      </c>
      <c r="F423" s="531"/>
      <c r="G423" s="532">
        <f>SUM(G424:G425)</f>
        <v>5096.4</v>
      </c>
      <c r="H423" s="532">
        <f>SUM(H424:H425)</f>
        <v>5351.2</v>
      </c>
      <c r="I423" s="12">
        <f>SUM(H423/G427*100)</f>
        <v>1087.6422764227643</v>
      </c>
    </row>
    <row r="424" spans="1:9" ht="15">
      <c r="A424" s="109" t="s">
        <v>500</v>
      </c>
      <c r="B424" s="133"/>
      <c r="C424" s="530" t="s">
        <v>5</v>
      </c>
      <c r="D424" s="530" t="s">
        <v>106</v>
      </c>
      <c r="E424" s="530" t="s">
        <v>593</v>
      </c>
      <c r="F424" s="531" t="s">
        <v>120</v>
      </c>
      <c r="G424" s="532">
        <v>76.4</v>
      </c>
      <c r="H424" s="532">
        <v>80.3</v>
      </c>
      <c r="I424" s="12"/>
    </row>
    <row r="425" spans="1:9" ht="15">
      <c r="A425" s="114" t="s">
        <v>505</v>
      </c>
      <c r="B425" s="133"/>
      <c r="C425" s="530" t="s">
        <v>5</v>
      </c>
      <c r="D425" s="530" t="s">
        <v>106</v>
      </c>
      <c r="E425" s="530" t="s">
        <v>593</v>
      </c>
      <c r="F425" s="531" t="s">
        <v>506</v>
      </c>
      <c r="G425" s="532">
        <v>5020</v>
      </c>
      <c r="H425" s="532">
        <v>5270.9</v>
      </c>
      <c r="I425" s="12">
        <f>SUM(H425/G429*100)</f>
        <v>1351.5128205128206</v>
      </c>
    </row>
    <row r="426" spans="1:9" ht="15">
      <c r="A426" s="114" t="s">
        <v>184</v>
      </c>
      <c r="B426" s="133"/>
      <c r="C426" s="530" t="s">
        <v>5</v>
      </c>
      <c r="D426" s="530" t="s">
        <v>106</v>
      </c>
      <c r="E426" s="530" t="s">
        <v>185</v>
      </c>
      <c r="F426" s="531"/>
      <c r="G426" s="532">
        <f>SUM(G427)</f>
        <v>492</v>
      </c>
      <c r="H426" s="532">
        <f>SUM(H427)</f>
        <v>787.8</v>
      </c>
      <c r="I426" s="12">
        <f>SUM(H426/G430*100)</f>
        <v>266.3286004056795</v>
      </c>
    </row>
    <row r="427" spans="1:9" ht="15">
      <c r="A427" s="114" t="s">
        <v>186</v>
      </c>
      <c r="B427" s="133"/>
      <c r="C427" s="530" t="s">
        <v>5</v>
      </c>
      <c r="D427" s="530" t="s">
        <v>106</v>
      </c>
      <c r="E427" s="530" t="s">
        <v>187</v>
      </c>
      <c r="F427" s="531"/>
      <c r="G427" s="532">
        <f>SUM(G428:G429)</f>
        <v>492</v>
      </c>
      <c r="H427" s="532">
        <f>SUM(H428:H429)</f>
        <v>787.8</v>
      </c>
      <c r="I427" s="12">
        <f>SUM(H427/G431*100)</f>
        <v>266.3286004056795</v>
      </c>
    </row>
    <row r="428" spans="1:9" ht="15">
      <c r="A428" s="109" t="s">
        <v>500</v>
      </c>
      <c r="B428" s="133"/>
      <c r="C428" s="530" t="s">
        <v>5</v>
      </c>
      <c r="D428" s="530" t="s">
        <v>106</v>
      </c>
      <c r="E428" s="530" t="s">
        <v>187</v>
      </c>
      <c r="F428" s="531" t="s">
        <v>120</v>
      </c>
      <c r="G428" s="532">
        <v>102</v>
      </c>
      <c r="H428" s="532">
        <v>397.8</v>
      </c>
      <c r="I428" s="12"/>
    </row>
    <row r="429" spans="1:9" ht="15">
      <c r="A429" s="114" t="s">
        <v>505</v>
      </c>
      <c r="B429" s="133"/>
      <c r="C429" s="530" t="s">
        <v>5</v>
      </c>
      <c r="D429" s="530" t="s">
        <v>106</v>
      </c>
      <c r="E429" s="530" t="s">
        <v>187</v>
      </c>
      <c r="F429" s="531" t="s">
        <v>506</v>
      </c>
      <c r="G429" s="532">
        <v>390</v>
      </c>
      <c r="H429" s="532">
        <v>390</v>
      </c>
      <c r="I429" s="12">
        <f aca="true" t="shared" si="20" ref="I429:I451">SUM(H429/G432*100)</f>
        <v>131.84584178498986</v>
      </c>
    </row>
    <row r="430" spans="1:9" ht="15">
      <c r="A430" s="114" t="s">
        <v>594</v>
      </c>
      <c r="B430" s="133"/>
      <c r="C430" s="530" t="s">
        <v>5</v>
      </c>
      <c r="D430" s="530" t="s">
        <v>106</v>
      </c>
      <c r="E430" s="530" t="s">
        <v>129</v>
      </c>
      <c r="F430" s="531"/>
      <c r="G430" s="532">
        <f>G431</f>
        <v>295.8</v>
      </c>
      <c r="H430" s="532">
        <f>H431</f>
        <v>0</v>
      </c>
      <c r="I430" s="12">
        <f t="shared" si="20"/>
        <v>0</v>
      </c>
    </row>
    <row r="431" spans="1:9" ht="15">
      <c r="A431" s="114" t="s">
        <v>685</v>
      </c>
      <c r="B431" s="133"/>
      <c r="C431" s="530" t="s">
        <v>5</v>
      </c>
      <c r="D431" s="530" t="s">
        <v>106</v>
      </c>
      <c r="E431" s="530" t="s">
        <v>595</v>
      </c>
      <c r="F431" s="531"/>
      <c r="G431" s="532">
        <f>G432</f>
        <v>295.8</v>
      </c>
      <c r="H431" s="532">
        <f>H432</f>
        <v>0</v>
      </c>
      <c r="I431" s="12">
        <f t="shared" si="20"/>
        <v>0</v>
      </c>
    </row>
    <row r="432" spans="1:9" ht="15">
      <c r="A432" s="109" t="s">
        <v>500</v>
      </c>
      <c r="B432" s="133"/>
      <c r="C432" s="530" t="s">
        <v>5</v>
      </c>
      <c r="D432" s="530" t="s">
        <v>106</v>
      </c>
      <c r="E432" s="530" t="s">
        <v>595</v>
      </c>
      <c r="F432" s="531" t="s">
        <v>120</v>
      </c>
      <c r="G432" s="532">
        <v>295.8</v>
      </c>
      <c r="H432" s="532"/>
      <c r="I432" s="12">
        <f t="shared" si="20"/>
        <v>0</v>
      </c>
    </row>
    <row r="433" spans="1:9" s="503" customFormat="1" ht="15">
      <c r="A433" s="120" t="s">
        <v>158</v>
      </c>
      <c r="B433" s="133"/>
      <c r="C433" s="530" t="s">
        <v>5</v>
      </c>
      <c r="D433" s="530" t="s">
        <v>122</v>
      </c>
      <c r="E433" s="530"/>
      <c r="F433" s="531"/>
      <c r="G433" s="532">
        <f>SUM(G434)</f>
        <v>31173.6</v>
      </c>
      <c r="H433" s="532">
        <f>SUM(H434)</f>
        <v>32205.5</v>
      </c>
      <c r="I433" s="16">
        <f t="shared" si="20"/>
        <v>1010.653988577167</v>
      </c>
    </row>
    <row r="434" spans="1:9" ht="15">
      <c r="A434" s="114" t="s">
        <v>159</v>
      </c>
      <c r="B434" s="133"/>
      <c r="C434" s="530" t="s">
        <v>5</v>
      </c>
      <c r="D434" s="530" t="s">
        <v>122</v>
      </c>
      <c r="E434" s="530" t="s">
        <v>222</v>
      </c>
      <c r="F434" s="531"/>
      <c r="G434" s="532">
        <f>SUM(G435)</f>
        <v>31173.6</v>
      </c>
      <c r="H434" s="532">
        <f>SUM(H435)</f>
        <v>32205.5</v>
      </c>
      <c r="I434" s="12">
        <f>SUM(H434/G438*100)</f>
        <v>1022.8514260306168</v>
      </c>
    </row>
    <row r="435" spans="1:9" ht="28.5">
      <c r="A435" s="114" t="s">
        <v>479</v>
      </c>
      <c r="B435" s="133"/>
      <c r="C435" s="530" t="s">
        <v>5</v>
      </c>
      <c r="D435" s="530" t="s">
        <v>122</v>
      </c>
      <c r="E435" s="530" t="s">
        <v>162</v>
      </c>
      <c r="F435" s="531"/>
      <c r="G435" s="532">
        <f>SUM(G442+G436+G439)</f>
        <v>31173.6</v>
      </c>
      <c r="H435" s="532">
        <f>SUM(H442+H436+H439)</f>
        <v>32205.5</v>
      </c>
      <c r="I435" s="12">
        <f>SUM(H435/G439*100)</f>
        <v>1110.8792383843263</v>
      </c>
    </row>
    <row r="436" spans="1:9" ht="15">
      <c r="A436" s="114" t="s">
        <v>163</v>
      </c>
      <c r="B436" s="133"/>
      <c r="C436" s="530" t="s">
        <v>5</v>
      </c>
      <c r="D436" s="530" t="s">
        <v>122</v>
      </c>
      <c r="E436" s="530" t="s">
        <v>164</v>
      </c>
      <c r="F436" s="531"/>
      <c r="G436" s="532">
        <f>SUM(G437:G438)</f>
        <v>3186.6</v>
      </c>
      <c r="H436" s="532">
        <f>SUM(H437:H438)</f>
        <v>3292</v>
      </c>
      <c r="I436" s="12">
        <f>SUM(H436/G441*100)</f>
        <v>114.73981387891673</v>
      </c>
    </row>
    <row r="437" spans="1:9" ht="15">
      <c r="A437" s="109" t="s">
        <v>500</v>
      </c>
      <c r="B437" s="133"/>
      <c r="C437" s="530" t="s">
        <v>5</v>
      </c>
      <c r="D437" s="530" t="s">
        <v>122</v>
      </c>
      <c r="E437" s="530" t="s">
        <v>164</v>
      </c>
      <c r="F437" s="531" t="s">
        <v>120</v>
      </c>
      <c r="G437" s="532">
        <v>38</v>
      </c>
      <c r="H437" s="532">
        <v>39.3</v>
      </c>
      <c r="I437" s="12"/>
    </row>
    <row r="438" spans="1:9" ht="15">
      <c r="A438" s="114" t="s">
        <v>505</v>
      </c>
      <c r="B438" s="133"/>
      <c r="C438" s="530" t="s">
        <v>5</v>
      </c>
      <c r="D438" s="530" t="s">
        <v>122</v>
      </c>
      <c r="E438" s="530" t="s">
        <v>164</v>
      </c>
      <c r="F438" s="531" t="s">
        <v>506</v>
      </c>
      <c r="G438" s="532">
        <v>3148.6</v>
      </c>
      <c r="H438" s="532">
        <v>3252.7</v>
      </c>
      <c r="I438" s="12">
        <f>SUM(H438/G442*100)</f>
        <v>12.965214306498352</v>
      </c>
    </row>
    <row r="439" spans="1:9" ht="15">
      <c r="A439" s="114" t="s">
        <v>480</v>
      </c>
      <c r="B439" s="133"/>
      <c r="C439" s="530" t="s">
        <v>5</v>
      </c>
      <c r="D439" s="530" t="s">
        <v>122</v>
      </c>
      <c r="E439" s="530" t="s">
        <v>165</v>
      </c>
      <c r="F439" s="531"/>
      <c r="G439" s="532">
        <f>SUM(G440:G441)</f>
        <v>2899.1</v>
      </c>
      <c r="H439" s="532">
        <f>SUM(H440:H441)</f>
        <v>2995.2</v>
      </c>
      <c r="I439" s="12">
        <f>SUM(H439/G444*100)</f>
        <v>12.104263487573247</v>
      </c>
    </row>
    <row r="440" spans="1:9" ht="15">
      <c r="A440" s="109" t="s">
        <v>500</v>
      </c>
      <c r="B440" s="133"/>
      <c r="C440" s="530" t="s">
        <v>5</v>
      </c>
      <c r="D440" s="530" t="s">
        <v>122</v>
      </c>
      <c r="E440" s="530" t="s">
        <v>165</v>
      </c>
      <c r="F440" s="531" t="s">
        <v>120</v>
      </c>
      <c r="G440" s="532">
        <v>30</v>
      </c>
      <c r="H440" s="532">
        <v>31.1</v>
      </c>
      <c r="I440" s="12"/>
    </row>
    <row r="441" spans="1:9" ht="15">
      <c r="A441" s="114" t="s">
        <v>505</v>
      </c>
      <c r="B441" s="133"/>
      <c r="C441" s="530" t="s">
        <v>5</v>
      </c>
      <c r="D441" s="530" t="s">
        <v>122</v>
      </c>
      <c r="E441" s="530" t="s">
        <v>165</v>
      </c>
      <c r="F441" s="531" t="s">
        <v>506</v>
      </c>
      <c r="G441" s="532">
        <v>2869.1</v>
      </c>
      <c r="H441" s="532">
        <v>2964.1</v>
      </c>
      <c r="I441" s="12">
        <f>SUM(H441/G445*100)</f>
        <v>9.858119703601218</v>
      </c>
    </row>
    <row r="442" spans="1:9" ht="15">
      <c r="A442" s="114" t="s">
        <v>481</v>
      </c>
      <c r="B442" s="133"/>
      <c r="C442" s="530" t="s">
        <v>5</v>
      </c>
      <c r="D442" s="530" t="s">
        <v>122</v>
      </c>
      <c r="E442" s="530" t="s">
        <v>482</v>
      </c>
      <c r="F442" s="531"/>
      <c r="G442" s="532">
        <f>SUM(G443:G444)</f>
        <v>25087.9</v>
      </c>
      <c r="H442" s="532">
        <f>SUM(H443:H444)</f>
        <v>25918.3</v>
      </c>
      <c r="I442" s="12">
        <f>SUM(H442/G446*100)</f>
        <v>94.44515299150594</v>
      </c>
    </row>
    <row r="443" spans="1:9" ht="15">
      <c r="A443" s="109" t="s">
        <v>500</v>
      </c>
      <c r="B443" s="133"/>
      <c r="C443" s="530" t="s">
        <v>5</v>
      </c>
      <c r="D443" s="530" t="s">
        <v>122</v>
      </c>
      <c r="E443" s="530" t="s">
        <v>482</v>
      </c>
      <c r="F443" s="531" t="s">
        <v>120</v>
      </c>
      <c r="G443" s="532">
        <v>342.9</v>
      </c>
      <c r="H443" s="532">
        <v>354.3</v>
      </c>
      <c r="I443" s="12"/>
    </row>
    <row r="444" spans="1:9" ht="15">
      <c r="A444" s="114" t="s">
        <v>505</v>
      </c>
      <c r="B444" s="133"/>
      <c r="C444" s="530" t="s">
        <v>5</v>
      </c>
      <c r="D444" s="530" t="s">
        <v>122</v>
      </c>
      <c r="E444" s="530" t="s">
        <v>482</v>
      </c>
      <c r="F444" s="531" t="s">
        <v>506</v>
      </c>
      <c r="G444" s="532">
        <v>24745</v>
      </c>
      <c r="H444" s="532">
        <v>25564</v>
      </c>
      <c r="I444" s="12">
        <f t="shared" si="20"/>
        <v>820.7005040290218</v>
      </c>
    </row>
    <row r="445" spans="1:9" ht="15">
      <c r="A445" s="114" t="s">
        <v>166</v>
      </c>
      <c r="B445" s="133"/>
      <c r="C445" s="530" t="s">
        <v>5</v>
      </c>
      <c r="D445" s="530" t="s">
        <v>391</v>
      </c>
      <c r="E445" s="530"/>
      <c r="F445" s="531"/>
      <c r="G445" s="532">
        <f>G446+G458+G466</f>
        <v>30067.6</v>
      </c>
      <c r="H445" s="532">
        <f>H446+H458+H466</f>
        <v>30067.6</v>
      </c>
      <c r="I445" s="12">
        <f t="shared" si="20"/>
        <v>969.203494181736</v>
      </c>
    </row>
    <row r="446" spans="1:9" ht="42.75">
      <c r="A446" s="114" t="s">
        <v>99</v>
      </c>
      <c r="B446" s="133"/>
      <c r="C446" s="530" t="s">
        <v>5</v>
      </c>
      <c r="D446" s="530" t="s">
        <v>391</v>
      </c>
      <c r="E446" s="530" t="s">
        <v>100</v>
      </c>
      <c r="F446" s="531"/>
      <c r="G446" s="532">
        <f>G447+G450+G453+G455</f>
        <v>27442.7</v>
      </c>
      <c r="H446" s="532">
        <f>H447+H450+H453+H455</f>
        <v>27442.7</v>
      </c>
      <c r="I446" s="12">
        <f t="shared" si="20"/>
        <v>217799.20634920636</v>
      </c>
    </row>
    <row r="447" spans="1:9" ht="15">
      <c r="A447" s="114" t="s">
        <v>107</v>
      </c>
      <c r="B447" s="133"/>
      <c r="C447" s="530" t="s">
        <v>5</v>
      </c>
      <c r="D447" s="530" t="s">
        <v>391</v>
      </c>
      <c r="E447" s="530" t="s">
        <v>109</v>
      </c>
      <c r="F447" s="531"/>
      <c r="G447" s="532">
        <f>G448+G449</f>
        <v>3114.9</v>
      </c>
      <c r="H447" s="532">
        <f>H448+H449</f>
        <v>3114.9</v>
      </c>
      <c r="I447" s="12">
        <f t="shared" si="20"/>
        <v>73.58263252385903</v>
      </c>
    </row>
    <row r="448" spans="1:9" ht="42.75">
      <c r="A448" s="114" t="s">
        <v>596</v>
      </c>
      <c r="B448" s="133"/>
      <c r="C448" s="530" t="s">
        <v>5</v>
      </c>
      <c r="D448" s="530" t="s">
        <v>391</v>
      </c>
      <c r="E448" s="530" t="s">
        <v>109</v>
      </c>
      <c r="F448" s="531" t="s">
        <v>496</v>
      </c>
      <c r="G448" s="532">
        <v>3102.3</v>
      </c>
      <c r="H448" s="532">
        <v>3102.3</v>
      </c>
      <c r="I448" s="12">
        <f t="shared" si="20"/>
        <v>86.11758827448368</v>
      </c>
    </row>
    <row r="449" spans="1:9" ht="15">
      <c r="A449" s="114" t="s">
        <v>500</v>
      </c>
      <c r="B449" s="133"/>
      <c r="C449" s="530" t="s">
        <v>5</v>
      </c>
      <c r="D449" s="530" t="s">
        <v>391</v>
      </c>
      <c r="E449" s="530" t="s">
        <v>109</v>
      </c>
      <c r="F449" s="531" t="s">
        <v>120</v>
      </c>
      <c r="G449" s="532">
        <v>12.6</v>
      </c>
      <c r="H449" s="532">
        <v>12.6</v>
      </c>
      <c r="I449" s="12">
        <f t="shared" si="20"/>
        <v>1.9974635383639823</v>
      </c>
    </row>
    <row r="450" spans="1:9" ht="42.75">
      <c r="A450" s="114" t="s">
        <v>597</v>
      </c>
      <c r="B450" s="133"/>
      <c r="C450" s="530" t="s">
        <v>5</v>
      </c>
      <c r="D450" s="530" t="s">
        <v>391</v>
      </c>
      <c r="E450" s="530" t="s">
        <v>169</v>
      </c>
      <c r="F450" s="531"/>
      <c r="G450" s="532">
        <f>G451+G452</f>
        <v>4233.2</v>
      </c>
      <c r="H450" s="532">
        <f>H451+H452</f>
        <v>4233.2</v>
      </c>
      <c r="I450" s="12">
        <f t="shared" si="20"/>
        <v>29.048439226234997</v>
      </c>
    </row>
    <row r="451" spans="1:9" ht="42.75">
      <c r="A451" s="114" t="s">
        <v>596</v>
      </c>
      <c r="B451" s="133"/>
      <c r="C451" s="530" t="s">
        <v>5</v>
      </c>
      <c r="D451" s="530" t="s">
        <v>391</v>
      </c>
      <c r="E451" s="530" t="s">
        <v>169</v>
      </c>
      <c r="F451" s="531" t="s">
        <v>496</v>
      </c>
      <c r="G451" s="532">
        <v>3602.4</v>
      </c>
      <c r="H451" s="532">
        <v>3602.4</v>
      </c>
      <c r="I451" s="12">
        <f t="shared" si="20"/>
        <v>24.719856720350787</v>
      </c>
    </row>
    <row r="452" spans="1:9" ht="15">
      <c r="A452" s="114" t="s">
        <v>500</v>
      </c>
      <c r="B452" s="587"/>
      <c r="C452" s="530" t="s">
        <v>5</v>
      </c>
      <c r="D452" s="530" t="s">
        <v>391</v>
      </c>
      <c r="E452" s="530" t="s">
        <v>169</v>
      </c>
      <c r="F452" s="531" t="s">
        <v>120</v>
      </c>
      <c r="G452" s="532">
        <v>630.8</v>
      </c>
      <c r="H452" s="532">
        <v>630.8</v>
      </c>
      <c r="I452" s="12" t="e">
        <f>SUM(H452/#REF!*100)</f>
        <v>#REF!</v>
      </c>
    </row>
    <row r="453" spans="1:9" ht="28.5">
      <c r="A453" s="114" t="s">
        <v>167</v>
      </c>
      <c r="B453" s="133"/>
      <c r="C453" s="530" t="s">
        <v>5</v>
      </c>
      <c r="D453" s="530" t="s">
        <v>391</v>
      </c>
      <c r="E453" s="530" t="s">
        <v>168</v>
      </c>
      <c r="F453" s="531"/>
      <c r="G453" s="532">
        <f>SUM(G454)</f>
        <v>14572.9</v>
      </c>
      <c r="H453" s="532">
        <f>SUM(H454)</f>
        <v>14572.9</v>
      </c>
      <c r="I453" s="12" t="e">
        <f>SUM(H453/#REF!*100)</f>
        <v>#REF!</v>
      </c>
    </row>
    <row r="454" spans="1:9" ht="42.75">
      <c r="A454" s="114" t="s">
        <v>596</v>
      </c>
      <c r="B454" s="133"/>
      <c r="C454" s="530" t="s">
        <v>5</v>
      </c>
      <c r="D454" s="530" t="s">
        <v>391</v>
      </c>
      <c r="E454" s="530" t="s">
        <v>168</v>
      </c>
      <c r="F454" s="531" t="s">
        <v>496</v>
      </c>
      <c r="G454" s="532">
        <v>14572.9</v>
      </c>
      <c r="H454" s="532">
        <v>14572.9</v>
      </c>
      <c r="I454" s="12" t="e">
        <f>SUM(H454/#REF!*100)</f>
        <v>#REF!</v>
      </c>
    </row>
    <row r="455" spans="1:9" ht="28.5">
      <c r="A455" s="114" t="s">
        <v>170</v>
      </c>
      <c r="B455" s="587"/>
      <c r="C455" s="530" t="s">
        <v>5</v>
      </c>
      <c r="D455" s="530" t="s">
        <v>391</v>
      </c>
      <c r="E455" s="530" t="s">
        <v>171</v>
      </c>
      <c r="F455" s="531"/>
      <c r="G455" s="532">
        <f>G456+G457</f>
        <v>5521.700000000001</v>
      </c>
      <c r="H455" s="532">
        <f>H456+H457</f>
        <v>5521.700000000001</v>
      </c>
      <c r="I455" s="12"/>
    </row>
    <row r="456" spans="1:9" ht="42.75">
      <c r="A456" s="114" t="s">
        <v>596</v>
      </c>
      <c r="B456" s="133"/>
      <c r="C456" s="530" t="s">
        <v>5</v>
      </c>
      <c r="D456" s="530" t="s">
        <v>391</v>
      </c>
      <c r="E456" s="530" t="s">
        <v>171</v>
      </c>
      <c r="F456" s="531" t="s">
        <v>496</v>
      </c>
      <c r="G456" s="532">
        <v>4948.6</v>
      </c>
      <c r="H456" s="532">
        <v>4948.6</v>
      </c>
      <c r="I456" s="12"/>
    </row>
    <row r="457" spans="1:9" ht="15">
      <c r="A457" s="114" t="s">
        <v>500</v>
      </c>
      <c r="B457" s="133"/>
      <c r="C457" s="530" t="s">
        <v>5</v>
      </c>
      <c r="D457" s="530" t="s">
        <v>391</v>
      </c>
      <c r="E457" s="530" t="s">
        <v>171</v>
      </c>
      <c r="F457" s="531" t="s">
        <v>120</v>
      </c>
      <c r="G457" s="532">
        <v>573.1</v>
      </c>
      <c r="H457" s="532">
        <v>573.1</v>
      </c>
      <c r="I457" s="12"/>
    </row>
    <row r="458" spans="1:9" ht="28.5">
      <c r="A458" s="114" t="s">
        <v>497</v>
      </c>
      <c r="B458" s="133"/>
      <c r="C458" s="530" t="s">
        <v>5</v>
      </c>
      <c r="D458" s="530" t="s">
        <v>391</v>
      </c>
      <c r="E458" s="530" t="s">
        <v>498</v>
      </c>
      <c r="F458" s="531"/>
      <c r="G458" s="532">
        <f>G459+G461+G463</f>
        <v>2624.8999999999996</v>
      </c>
      <c r="H458" s="532">
        <f>H459+H461+H463</f>
        <v>2624.8999999999996</v>
      </c>
      <c r="I458" s="12">
        <f aca="true" t="shared" si="21" ref="I458:I464">SUM(H458/G461*100)</f>
        <v>233.4074337542237</v>
      </c>
    </row>
    <row r="459" spans="1:9" ht="15">
      <c r="A459" s="114" t="s">
        <v>486</v>
      </c>
      <c r="B459" s="587"/>
      <c r="C459" s="530" t="s">
        <v>5</v>
      </c>
      <c r="D459" s="530" t="s">
        <v>391</v>
      </c>
      <c r="E459" s="530" t="s">
        <v>499</v>
      </c>
      <c r="F459" s="531"/>
      <c r="G459" s="532">
        <f>SUM(G460)</f>
        <v>230</v>
      </c>
      <c r="H459" s="532">
        <f>SUM(H460)</f>
        <v>230</v>
      </c>
      <c r="I459" s="12">
        <f t="shared" si="21"/>
        <v>20.451716165747825</v>
      </c>
    </row>
    <row r="460" spans="1:9" ht="15">
      <c r="A460" s="114" t="s">
        <v>500</v>
      </c>
      <c r="B460" s="133"/>
      <c r="C460" s="530" t="s">
        <v>5</v>
      </c>
      <c r="D460" s="530" t="s">
        <v>391</v>
      </c>
      <c r="E460" s="530" t="s">
        <v>499</v>
      </c>
      <c r="F460" s="531" t="s">
        <v>120</v>
      </c>
      <c r="G460" s="532">
        <v>230</v>
      </c>
      <c r="H460" s="532">
        <v>230</v>
      </c>
      <c r="I460" s="12">
        <f t="shared" si="21"/>
        <v>18.105959222230968</v>
      </c>
    </row>
    <row r="461" spans="1:9" ht="28.5">
      <c r="A461" s="114" t="s">
        <v>487</v>
      </c>
      <c r="B461" s="587"/>
      <c r="C461" s="530" t="s">
        <v>5</v>
      </c>
      <c r="D461" s="530" t="s">
        <v>391</v>
      </c>
      <c r="E461" s="530" t="s">
        <v>502</v>
      </c>
      <c r="F461" s="531"/>
      <c r="G461" s="532">
        <f>SUM(G462)</f>
        <v>1124.6</v>
      </c>
      <c r="H461" s="532">
        <f>SUM(H462)</f>
        <v>1124.6</v>
      </c>
      <c r="I461" s="12" t="e">
        <f t="shared" si="21"/>
        <v>#DIV/0!</v>
      </c>
    </row>
    <row r="462" spans="1:9" ht="15">
      <c r="A462" s="114" t="s">
        <v>500</v>
      </c>
      <c r="B462" s="133"/>
      <c r="C462" s="530" t="s">
        <v>5</v>
      </c>
      <c r="D462" s="530" t="s">
        <v>391</v>
      </c>
      <c r="E462" s="530" t="s">
        <v>502</v>
      </c>
      <c r="F462" s="531" t="s">
        <v>120</v>
      </c>
      <c r="G462" s="532">
        <v>1124.6</v>
      </c>
      <c r="H462" s="532">
        <v>1124.6</v>
      </c>
      <c r="I462" s="12">
        <f t="shared" si="21"/>
        <v>88.53026844052586</v>
      </c>
    </row>
    <row r="463" spans="1:9" ht="28.5">
      <c r="A463" s="114" t="s">
        <v>503</v>
      </c>
      <c r="B463" s="587"/>
      <c r="C463" s="530" t="s">
        <v>5</v>
      </c>
      <c r="D463" s="530" t="s">
        <v>391</v>
      </c>
      <c r="E463" s="530" t="s">
        <v>504</v>
      </c>
      <c r="F463" s="531"/>
      <c r="G463" s="532">
        <f>G464+G465</f>
        <v>1270.3</v>
      </c>
      <c r="H463" s="532">
        <f>H464+H465</f>
        <v>1270.3</v>
      </c>
      <c r="I463" s="12" t="e">
        <f t="shared" si="21"/>
        <v>#DIV/0!</v>
      </c>
    </row>
    <row r="464" spans="1:9" ht="0.75" customHeight="1" hidden="1">
      <c r="A464" s="114" t="s">
        <v>596</v>
      </c>
      <c r="B464" s="133"/>
      <c r="C464" s="530" t="s">
        <v>5</v>
      </c>
      <c r="D464" s="530" t="s">
        <v>391</v>
      </c>
      <c r="E464" s="530" t="s">
        <v>504</v>
      </c>
      <c r="F464" s="531" t="s">
        <v>496</v>
      </c>
      <c r="G464" s="532"/>
      <c r="H464" s="532"/>
      <c r="I464" s="12" t="e">
        <f t="shared" si="21"/>
        <v>#DIV/0!</v>
      </c>
    </row>
    <row r="465" spans="1:9" ht="15">
      <c r="A465" s="114" t="s">
        <v>500</v>
      </c>
      <c r="B465" s="133"/>
      <c r="C465" s="530" t="s">
        <v>5</v>
      </c>
      <c r="D465" s="530" t="s">
        <v>391</v>
      </c>
      <c r="E465" s="530" t="s">
        <v>504</v>
      </c>
      <c r="F465" s="531" t="s">
        <v>120</v>
      </c>
      <c r="G465" s="532">
        <v>1270.3</v>
      </c>
      <c r="H465" s="532">
        <v>1270.3</v>
      </c>
      <c r="I465" s="12"/>
    </row>
    <row r="466" spans="1:9" ht="15" hidden="1">
      <c r="A466" s="114" t="s">
        <v>594</v>
      </c>
      <c r="B466" s="133"/>
      <c r="C466" s="530" t="s">
        <v>5</v>
      </c>
      <c r="D466" s="530" t="s">
        <v>391</v>
      </c>
      <c r="E466" s="530" t="s">
        <v>129</v>
      </c>
      <c r="F466" s="531"/>
      <c r="G466" s="532">
        <f>G467</f>
        <v>0</v>
      </c>
      <c r="H466" s="532">
        <f>H467</f>
        <v>0</v>
      </c>
      <c r="I466" s="12"/>
    </row>
    <row r="467" spans="1:9" ht="42.75" hidden="1">
      <c r="A467" s="114" t="s">
        <v>598</v>
      </c>
      <c r="B467" s="133"/>
      <c r="C467" s="530" t="s">
        <v>5</v>
      </c>
      <c r="D467" s="530" t="s">
        <v>391</v>
      </c>
      <c r="E467" s="530" t="s">
        <v>365</v>
      </c>
      <c r="F467" s="531"/>
      <c r="G467" s="532">
        <f>G468</f>
        <v>0</v>
      </c>
      <c r="H467" s="532">
        <f>H468</f>
        <v>0</v>
      </c>
      <c r="I467" s="12"/>
    </row>
    <row r="468" spans="1:9" ht="42.75" hidden="1">
      <c r="A468" s="114" t="s">
        <v>576</v>
      </c>
      <c r="B468" s="133"/>
      <c r="C468" s="530" t="s">
        <v>5</v>
      </c>
      <c r="D468" s="530" t="s">
        <v>391</v>
      </c>
      <c r="E468" s="530" t="s">
        <v>365</v>
      </c>
      <c r="F468" s="531" t="s">
        <v>513</v>
      </c>
      <c r="G468" s="532"/>
      <c r="H468" s="532"/>
      <c r="I468" s="12"/>
    </row>
    <row r="469" spans="1:9" ht="42.75" hidden="1">
      <c r="A469" s="114" t="s">
        <v>596</v>
      </c>
      <c r="B469" s="133"/>
      <c r="C469" s="530" t="s">
        <v>5</v>
      </c>
      <c r="D469" s="530" t="s">
        <v>391</v>
      </c>
      <c r="E469" s="530" t="s">
        <v>171</v>
      </c>
      <c r="F469" s="531" t="s">
        <v>496</v>
      </c>
      <c r="G469" s="588"/>
      <c r="H469" s="589"/>
      <c r="I469" s="12"/>
    </row>
    <row r="470" spans="1:9" ht="15">
      <c r="A470" s="119" t="s">
        <v>1059</v>
      </c>
      <c r="B470" s="590" t="s">
        <v>203</v>
      </c>
      <c r="C470" s="591"/>
      <c r="D470" s="591"/>
      <c r="E470" s="591"/>
      <c r="F470" s="592"/>
      <c r="G470" s="593">
        <f>SUM(G471+G477)</f>
        <v>55159</v>
      </c>
      <c r="H470" s="593">
        <f>SUM(H471+H477)</f>
        <v>55159</v>
      </c>
      <c r="I470" s="12"/>
    </row>
    <row r="471" spans="1:9" ht="15">
      <c r="A471" s="109" t="s">
        <v>116</v>
      </c>
      <c r="B471" s="62"/>
      <c r="C471" s="524" t="s">
        <v>117</v>
      </c>
      <c r="D471" s="524"/>
      <c r="E471" s="524"/>
      <c r="F471" s="528"/>
      <c r="G471" s="137">
        <f aca="true" t="shared" si="22" ref="G471:H475">SUM(G472)</f>
        <v>51267</v>
      </c>
      <c r="H471" s="137">
        <f t="shared" si="22"/>
        <v>51267</v>
      </c>
      <c r="I471" s="12"/>
    </row>
    <row r="472" spans="1:9" ht="15">
      <c r="A472" s="109" t="s">
        <v>343</v>
      </c>
      <c r="B472" s="561"/>
      <c r="C472" s="524" t="s">
        <v>117</v>
      </c>
      <c r="D472" s="524" t="s">
        <v>462</v>
      </c>
      <c r="E472" s="524"/>
      <c r="F472" s="528"/>
      <c r="G472" s="137">
        <f t="shared" si="22"/>
        <v>51267</v>
      </c>
      <c r="H472" s="137">
        <f t="shared" si="22"/>
        <v>51267</v>
      </c>
      <c r="I472" s="12"/>
    </row>
    <row r="473" spans="1:9" ht="15">
      <c r="A473" s="109" t="s">
        <v>634</v>
      </c>
      <c r="B473" s="62"/>
      <c r="C473" s="524" t="s">
        <v>117</v>
      </c>
      <c r="D473" s="524" t="s">
        <v>462</v>
      </c>
      <c r="E473" s="524" t="s">
        <v>321</v>
      </c>
      <c r="F473" s="528"/>
      <c r="G473" s="137">
        <f t="shared" si="22"/>
        <v>51267</v>
      </c>
      <c r="H473" s="137">
        <f t="shared" si="22"/>
        <v>51267</v>
      </c>
      <c r="I473" s="12">
        <f aca="true" t="shared" si="23" ref="I473:I480">SUM(H473/G476*100)</f>
        <v>100</v>
      </c>
    </row>
    <row r="474" spans="1:9" ht="15">
      <c r="A474" s="109" t="s">
        <v>606</v>
      </c>
      <c r="B474" s="561"/>
      <c r="C474" s="524" t="s">
        <v>117</v>
      </c>
      <c r="D474" s="524" t="s">
        <v>462</v>
      </c>
      <c r="E474" s="524" t="s">
        <v>78</v>
      </c>
      <c r="F474" s="528"/>
      <c r="G474" s="137">
        <f t="shared" si="22"/>
        <v>51267</v>
      </c>
      <c r="H474" s="137">
        <f t="shared" si="22"/>
        <v>51267</v>
      </c>
      <c r="I474" s="12">
        <f t="shared" si="23"/>
        <v>1317.24049331963</v>
      </c>
    </row>
    <row r="475" spans="1:9" ht="28.5">
      <c r="A475" s="109" t="s">
        <v>94</v>
      </c>
      <c r="B475" s="561"/>
      <c r="C475" s="524" t="s">
        <v>117</v>
      </c>
      <c r="D475" s="524" t="s">
        <v>462</v>
      </c>
      <c r="E475" s="524" t="s">
        <v>79</v>
      </c>
      <c r="F475" s="528"/>
      <c r="G475" s="137">
        <f t="shared" si="22"/>
        <v>51267</v>
      </c>
      <c r="H475" s="137">
        <f t="shared" si="22"/>
        <v>51267</v>
      </c>
      <c r="I475" s="12">
        <f t="shared" si="23"/>
        <v>1317.24049331963</v>
      </c>
    </row>
    <row r="476" spans="1:9" ht="28.5">
      <c r="A476" s="114" t="s">
        <v>517</v>
      </c>
      <c r="B476" s="131"/>
      <c r="C476" s="524" t="s">
        <v>117</v>
      </c>
      <c r="D476" s="524" t="s">
        <v>462</v>
      </c>
      <c r="E476" s="524" t="s">
        <v>79</v>
      </c>
      <c r="F476" s="557" t="s">
        <v>513</v>
      </c>
      <c r="G476" s="137">
        <v>51267</v>
      </c>
      <c r="H476" s="137">
        <v>51267</v>
      </c>
      <c r="I476" s="12" t="e">
        <f t="shared" si="23"/>
        <v>#DIV/0!</v>
      </c>
    </row>
    <row r="477" spans="1:9" s="503" customFormat="1" ht="15">
      <c r="A477" s="109" t="s">
        <v>245</v>
      </c>
      <c r="B477" s="62"/>
      <c r="C477" s="524" t="s">
        <v>419</v>
      </c>
      <c r="D477" s="524"/>
      <c r="E477" s="524"/>
      <c r="F477" s="528"/>
      <c r="G477" s="137">
        <f>SUM(G478+G497+G493)</f>
        <v>3892</v>
      </c>
      <c r="H477" s="137">
        <f>SUM(H478+H497+H493)</f>
        <v>3892</v>
      </c>
      <c r="I477" s="16" t="e">
        <f t="shared" si="23"/>
        <v>#DIV/0!</v>
      </c>
    </row>
    <row r="478" spans="1:9" s="23" customFormat="1" ht="14.25" customHeight="1">
      <c r="A478" s="109" t="s">
        <v>238</v>
      </c>
      <c r="B478" s="62"/>
      <c r="C478" s="526" t="s">
        <v>419</v>
      </c>
      <c r="D478" s="526" t="s">
        <v>460</v>
      </c>
      <c r="E478" s="526"/>
      <c r="F478" s="527"/>
      <c r="G478" s="137">
        <f>SUM(G479,G481,G487)</f>
        <v>3892</v>
      </c>
      <c r="H478" s="137">
        <f>SUM(H479,H481,H487)</f>
        <v>3892</v>
      </c>
      <c r="I478" s="12">
        <f t="shared" si="23"/>
        <v>100</v>
      </c>
    </row>
    <row r="479" spans="1:9" ht="15" hidden="1">
      <c r="A479" s="114" t="s">
        <v>387</v>
      </c>
      <c r="B479" s="62"/>
      <c r="C479" s="526" t="s">
        <v>300</v>
      </c>
      <c r="D479" s="526" t="s">
        <v>124</v>
      </c>
      <c r="E479" s="524" t="s">
        <v>388</v>
      </c>
      <c r="F479" s="528"/>
      <c r="G479" s="137">
        <f>SUM(G480)</f>
        <v>0</v>
      </c>
      <c r="H479" s="137">
        <f>SUM(H480)</f>
        <v>0</v>
      </c>
      <c r="I479" s="12">
        <f t="shared" si="23"/>
        <v>0</v>
      </c>
    </row>
    <row r="480" spans="1:9" ht="15" hidden="1">
      <c r="A480" s="109" t="s">
        <v>103</v>
      </c>
      <c r="B480" s="62"/>
      <c r="C480" s="526" t="s">
        <v>300</v>
      </c>
      <c r="D480" s="526" t="s">
        <v>124</v>
      </c>
      <c r="E480" s="524" t="s">
        <v>388</v>
      </c>
      <c r="F480" s="528" t="s">
        <v>104</v>
      </c>
      <c r="G480" s="137">
        <f>50.3-50.3</f>
        <v>0</v>
      </c>
      <c r="H480" s="137">
        <f>50.3-50.3</f>
        <v>0</v>
      </c>
      <c r="I480" s="12">
        <f t="shared" si="23"/>
        <v>0</v>
      </c>
    </row>
    <row r="481" spans="1:9" ht="28.5">
      <c r="A481" s="109" t="s">
        <v>489</v>
      </c>
      <c r="B481" s="62"/>
      <c r="C481" s="526" t="s">
        <v>419</v>
      </c>
      <c r="D481" s="526" t="s">
        <v>460</v>
      </c>
      <c r="E481" s="526" t="s">
        <v>490</v>
      </c>
      <c r="F481" s="528"/>
      <c r="G481" s="137">
        <f>SUM(G482)</f>
        <v>3892</v>
      </c>
      <c r="H481" s="137">
        <f>SUM(H482)</f>
        <v>3892</v>
      </c>
      <c r="I481" s="12"/>
    </row>
    <row r="482" spans="1:9" ht="28.5">
      <c r="A482" s="109" t="s">
        <v>56</v>
      </c>
      <c r="B482" s="62"/>
      <c r="C482" s="526" t="s">
        <v>419</v>
      </c>
      <c r="D482" s="526" t="s">
        <v>460</v>
      </c>
      <c r="E482" s="526" t="s">
        <v>491</v>
      </c>
      <c r="F482" s="528"/>
      <c r="G482" s="137">
        <f>SUM(G483)</f>
        <v>3892</v>
      </c>
      <c r="H482" s="137">
        <f>SUM(H483)</f>
        <v>3892</v>
      </c>
      <c r="I482" s="12">
        <f>SUM(H482/G485*100)</f>
        <v>599.1379310344828</v>
      </c>
    </row>
    <row r="483" spans="1:9" ht="28.5">
      <c r="A483" s="109" t="s">
        <v>636</v>
      </c>
      <c r="B483" s="62"/>
      <c r="C483" s="526" t="s">
        <v>419</v>
      </c>
      <c r="D483" s="526" t="s">
        <v>460</v>
      </c>
      <c r="E483" s="526" t="s">
        <v>570</v>
      </c>
      <c r="F483" s="528"/>
      <c r="G483" s="137">
        <f>SUM(G484:G486)</f>
        <v>3892</v>
      </c>
      <c r="H483" s="137">
        <f>SUM(H484:H486)</f>
        <v>3892</v>
      </c>
      <c r="I483" s="12"/>
    </row>
    <row r="484" spans="1:9" ht="28.5">
      <c r="A484" s="109" t="s">
        <v>495</v>
      </c>
      <c r="B484" s="62"/>
      <c r="C484" s="526" t="s">
        <v>419</v>
      </c>
      <c r="D484" s="526" t="s">
        <v>460</v>
      </c>
      <c r="E484" s="526" t="s">
        <v>570</v>
      </c>
      <c r="F484" s="527" t="s">
        <v>496</v>
      </c>
      <c r="G484" s="137">
        <v>3228.9</v>
      </c>
      <c r="H484" s="137">
        <v>3228.9</v>
      </c>
      <c r="I484" s="12"/>
    </row>
    <row r="485" spans="1:9" ht="15">
      <c r="A485" s="109" t="s">
        <v>500</v>
      </c>
      <c r="B485" s="62"/>
      <c r="C485" s="526" t="s">
        <v>419</v>
      </c>
      <c r="D485" s="526" t="s">
        <v>460</v>
      </c>
      <c r="E485" s="526" t="s">
        <v>570</v>
      </c>
      <c r="F485" s="527" t="s">
        <v>120</v>
      </c>
      <c r="G485" s="138">
        <v>649.6</v>
      </c>
      <c r="H485" s="138">
        <v>649.6</v>
      </c>
      <c r="I485" s="12"/>
    </row>
    <row r="486" spans="1:9" ht="15">
      <c r="A486" s="109" t="s">
        <v>501</v>
      </c>
      <c r="B486" s="62"/>
      <c r="C486" s="526" t="s">
        <v>419</v>
      </c>
      <c r="D486" s="526" t="s">
        <v>460</v>
      </c>
      <c r="E486" s="526" t="s">
        <v>570</v>
      </c>
      <c r="F486" s="528" t="s">
        <v>176</v>
      </c>
      <c r="G486" s="137">
        <v>13.5</v>
      </c>
      <c r="H486" s="137">
        <v>13.5</v>
      </c>
      <c r="I486" s="12"/>
    </row>
    <row r="487" spans="1:9" ht="15" hidden="1">
      <c r="A487" s="114" t="s">
        <v>128</v>
      </c>
      <c r="B487" s="62"/>
      <c r="C487" s="526" t="s">
        <v>419</v>
      </c>
      <c r="D487" s="526" t="s">
        <v>460</v>
      </c>
      <c r="E487" s="562" t="s">
        <v>129</v>
      </c>
      <c r="F487" s="527"/>
      <c r="G487" s="137">
        <f>SUM(G488)</f>
        <v>0</v>
      </c>
      <c r="H487" s="137">
        <f>SUM(H488)</f>
        <v>0</v>
      </c>
      <c r="I487" s="12"/>
    </row>
    <row r="488" spans="1:9" ht="28.5" hidden="1">
      <c r="A488" s="109" t="s">
        <v>1052</v>
      </c>
      <c r="B488" s="62"/>
      <c r="C488" s="526" t="s">
        <v>419</v>
      </c>
      <c r="D488" s="526" t="s">
        <v>460</v>
      </c>
      <c r="E488" s="562" t="s">
        <v>98</v>
      </c>
      <c r="F488" s="527"/>
      <c r="G488" s="137">
        <f>SUM(G489:G490)</f>
        <v>0</v>
      </c>
      <c r="H488" s="137">
        <f>SUM(H489:H490)</f>
        <v>0</v>
      </c>
      <c r="I488" s="12" t="e">
        <f>SUM(H488/G491*100)</f>
        <v>#DIV/0!</v>
      </c>
    </row>
    <row r="489" spans="1:9" ht="15" hidden="1">
      <c r="A489" s="109" t="s">
        <v>500</v>
      </c>
      <c r="B489" s="62"/>
      <c r="C489" s="526" t="s">
        <v>419</v>
      </c>
      <c r="D489" s="526" t="s">
        <v>460</v>
      </c>
      <c r="E489" s="562" t="s">
        <v>98</v>
      </c>
      <c r="F489" s="527" t="s">
        <v>120</v>
      </c>
      <c r="G489" s="137"/>
      <c r="H489" s="137"/>
      <c r="I489" s="12"/>
    </row>
    <row r="490" spans="1:9" ht="28.5" hidden="1">
      <c r="A490" s="114" t="s">
        <v>517</v>
      </c>
      <c r="B490" s="62"/>
      <c r="C490" s="526" t="s">
        <v>419</v>
      </c>
      <c r="D490" s="526" t="s">
        <v>460</v>
      </c>
      <c r="E490" s="562" t="s">
        <v>98</v>
      </c>
      <c r="F490" s="527" t="s">
        <v>513</v>
      </c>
      <c r="G490" s="137"/>
      <c r="H490" s="137"/>
      <c r="I490" s="12"/>
    </row>
    <row r="491" spans="1:9" ht="42.75" hidden="1">
      <c r="A491" s="109" t="s">
        <v>152</v>
      </c>
      <c r="B491" s="62"/>
      <c r="C491" s="526" t="s">
        <v>419</v>
      </c>
      <c r="D491" s="526" t="s">
        <v>460</v>
      </c>
      <c r="E491" s="562" t="s">
        <v>412</v>
      </c>
      <c r="F491" s="527"/>
      <c r="G491" s="137">
        <f>SUM(G492)</f>
        <v>0</v>
      </c>
      <c r="H491" s="137">
        <f>SUM(H492)</f>
        <v>0</v>
      </c>
      <c r="I491" s="12" t="e">
        <f aca="true" t="shared" si="24" ref="I491:I500">SUM(H491/G494*100)</f>
        <v>#DIV/0!</v>
      </c>
    </row>
    <row r="492" spans="1:9" ht="15" hidden="1">
      <c r="A492" s="114" t="s">
        <v>143</v>
      </c>
      <c r="B492" s="62"/>
      <c r="C492" s="526" t="s">
        <v>419</v>
      </c>
      <c r="D492" s="526" t="s">
        <v>460</v>
      </c>
      <c r="E492" s="562" t="s">
        <v>412</v>
      </c>
      <c r="F492" s="527" t="s">
        <v>83</v>
      </c>
      <c r="G492" s="137"/>
      <c r="H492" s="137"/>
      <c r="I492" s="12" t="e">
        <f t="shared" si="24"/>
        <v>#DIV/0!</v>
      </c>
    </row>
    <row r="493" spans="1:9" ht="15" hidden="1">
      <c r="A493" s="109" t="s">
        <v>155</v>
      </c>
      <c r="B493" s="62"/>
      <c r="C493" s="526" t="s">
        <v>419</v>
      </c>
      <c r="D493" s="526" t="s">
        <v>462</v>
      </c>
      <c r="E493" s="524"/>
      <c r="F493" s="528"/>
      <c r="G493" s="137">
        <f aca="true" t="shared" si="25" ref="G493:H495">SUM(G494)</f>
        <v>0</v>
      </c>
      <c r="H493" s="137">
        <f t="shared" si="25"/>
        <v>0</v>
      </c>
      <c r="I493" s="12" t="e">
        <f t="shared" si="24"/>
        <v>#DIV/0!</v>
      </c>
    </row>
    <row r="494" spans="1:9" ht="15" hidden="1">
      <c r="A494" s="109" t="s">
        <v>3</v>
      </c>
      <c r="B494" s="62"/>
      <c r="C494" s="526" t="s">
        <v>419</v>
      </c>
      <c r="D494" s="526" t="s">
        <v>462</v>
      </c>
      <c r="E494" s="526" t="s">
        <v>4</v>
      </c>
      <c r="F494" s="528"/>
      <c r="G494" s="137">
        <f t="shared" si="25"/>
        <v>0</v>
      </c>
      <c r="H494" s="137">
        <f t="shared" si="25"/>
        <v>0</v>
      </c>
      <c r="I494" s="12" t="e">
        <f t="shared" si="24"/>
        <v>#DIV/0!</v>
      </c>
    </row>
    <row r="495" spans="1:9" ht="28.5" hidden="1">
      <c r="A495" s="109" t="s">
        <v>1053</v>
      </c>
      <c r="B495" s="62"/>
      <c r="C495" s="526" t="s">
        <v>419</v>
      </c>
      <c r="D495" s="526" t="s">
        <v>462</v>
      </c>
      <c r="E495" s="526" t="s">
        <v>1054</v>
      </c>
      <c r="F495" s="528"/>
      <c r="G495" s="137">
        <f t="shared" si="25"/>
        <v>0</v>
      </c>
      <c r="H495" s="137">
        <f t="shared" si="25"/>
        <v>0</v>
      </c>
      <c r="I495" s="12" t="e">
        <f t="shared" si="24"/>
        <v>#DIV/0!</v>
      </c>
    </row>
    <row r="496" spans="1:9" ht="15" hidden="1">
      <c r="A496" s="114" t="s">
        <v>143</v>
      </c>
      <c r="B496" s="62"/>
      <c r="C496" s="526" t="s">
        <v>419</v>
      </c>
      <c r="D496" s="526" t="s">
        <v>462</v>
      </c>
      <c r="E496" s="526" t="s">
        <v>1054</v>
      </c>
      <c r="F496" s="527" t="s">
        <v>83</v>
      </c>
      <c r="G496" s="137"/>
      <c r="H496" s="137"/>
      <c r="I496" s="12" t="e">
        <f t="shared" si="24"/>
        <v>#DIV/0!</v>
      </c>
    </row>
    <row r="497" spans="1:9" ht="15" hidden="1">
      <c r="A497" s="109" t="s">
        <v>239</v>
      </c>
      <c r="B497" s="62"/>
      <c r="C497" s="526" t="s">
        <v>419</v>
      </c>
      <c r="D497" s="526" t="s">
        <v>131</v>
      </c>
      <c r="E497" s="524"/>
      <c r="F497" s="528"/>
      <c r="G497" s="137">
        <f>SUM(G498+G504+G506)+G501</f>
        <v>0</v>
      </c>
      <c r="H497" s="137">
        <f>SUM(H498+H504+H506)+H501</f>
        <v>0</v>
      </c>
      <c r="I497" s="12" t="e">
        <f t="shared" si="24"/>
        <v>#DIV/0!</v>
      </c>
    </row>
    <row r="498" spans="1:9" ht="42.75" hidden="1">
      <c r="A498" s="109" t="s">
        <v>99</v>
      </c>
      <c r="B498" s="62"/>
      <c r="C498" s="526" t="s">
        <v>419</v>
      </c>
      <c r="D498" s="526" t="s">
        <v>131</v>
      </c>
      <c r="E498" s="526" t="s">
        <v>100</v>
      </c>
      <c r="F498" s="528"/>
      <c r="G498" s="137">
        <f>SUM(G499)</f>
        <v>0</v>
      </c>
      <c r="H498" s="137">
        <f>SUM(H499)</f>
        <v>0</v>
      </c>
      <c r="I498" s="12" t="e">
        <f t="shared" si="24"/>
        <v>#DIV/0!</v>
      </c>
    </row>
    <row r="499" spans="1:9" ht="15" hidden="1">
      <c r="A499" s="109" t="s">
        <v>107</v>
      </c>
      <c r="B499" s="62"/>
      <c r="C499" s="526" t="s">
        <v>419</v>
      </c>
      <c r="D499" s="526" t="s">
        <v>131</v>
      </c>
      <c r="E499" s="526" t="s">
        <v>109</v>
      </c>
      <c r="F499" s="528"/>
      <c r="G499" s="137">
        <f>SUM(G500)</f>
        <v>0</v>
      </c>
      <c r="H499" s="137">
        <f>SUM(H500)</f>
        <v>0</v>
      </c>
      <c r="I499" s="12" t="e">
        <f t="shared" si="24"/>
        <v>#DIV/0!</v>
      </c>
    </row>
    <row r="500" spans="1:9" ht="15" hidden="1">
      <c r="A500" s="109" t="s">
        <v>103</v>
      </c>
      <c r="B500" s="62"/>
      <c r="C500" s="526" t="s">
        <v>419</v>
      </c>
      <c r="D500" s="526" t="s">
        <v>131</v>
      </c>
      <c r="E500" s="526" t="s">
        <v>109</v>
      </c>
      <c r="F500" s="527" t="s">
        <v>104</v>
      </c>
      <c r="G500" s="137"/>
      <c r="H500" s="137"/>
      <c r="I500" s="12" t="e">
        <f t="shared" si="24"/>
        <v>#DIV/0!</v>
      </c>
    </row>
    <row r="501" spans="1:9" ht="15" hidden="1">
      <c r="A501" s="114" t="s">
        <v>128</v>
      </c>
      <c r="B501" s="62"/>
      <c r="C501" s="526" t="s">
        <v>419</v>
      </c>
      <c r="D501" s="526" t="s">
        <v>131</v>
      </c>
      <c r="E501" s="562" t="s">
        <v>129</v>
      </c>
      <c r="F501" s="527"/>
      <c r="G501" s="137">
        <f>SUM(G502)</f>
        <v>0</v>
      </c>
      <c r="H501" s="137">
        <f>SUM(H502)</f>
        <v>0</v>
      </c>
      <c r="I501" s="12"/>
    </row>
    <row r="502" spans="1:9" ht="42.75" hidden="1">
      <c r="A502" s="117" t="s">
        <v>208</v>
      </c>
      <c r="B502" s="62"/>
      <c r="C502" s="526" t="s">
        <v>419</v>
      </c>
      <c r="D502" s="526" t="s">
        <v>131</v>
      </c>
      <c r="E502" s="524" t="s">
        <v>298</v>
      </c>
      <c r="F502" s="527"/>
      <c r="G502" s="137">
        <f>SUM(G503)</f>
        <v>0</v>
      </c>
      <c r="H502" s="137">
        <f>SUM(H503)</f>
        <v>0</v>
      </c>
      <c r="I502" s="12"/>
    </row>
    <row r="503" spans="1:9" ht="15" hidden="1">
      <c r="A503" s="109" t="s">
        <v>103</v>
      </c>
      <c r="B503" s="62"/>
      <c r="C503" s="526" t="s">
        <v>419</v>
      </c>
      <c r="D503" s="526" t="s">
        <v>131</v>
      </c>
      <c r="E503" s="524" t="s">
        <v>298</v>
      </c>
      <c r="F503" s="527" t="s">
        <v>104</v>
      </c>
      <c r="G503" s="137"/>
      <c r="H503" s="137"/>
      <c r="I503" s="12" t="e">
        <f>SUM(H503/G506*100)</f>
        <v>#DIV/0!</v>
      </c>
    </row>
    <row r="504" spans="1:9" ht="15" hidden="1">
      <c r="A504" s="114" t="s">
        <v>387</v>
      </c>
      <c r="B504" s="62"/>
      <c r="C504" s="526" t="s">
        <v>419</v>
      </c>
      <c r="D504" s="526" t="s">
        <v>131</v>
      </c>
      <c r="E504" s="524" t="s">
        <v>388</v>
      </c>
      <c r="F504" s="528"/>
      <c r="G504" s="137">
        <f>SUM(G505)</f>
        <v>0</v>
      </c>
      <c r="H504" s="137">
        <f>SUM(H505)</f>
        <v>0</v>
      </c>
      <c r="I504" s="12" t="e">
        <f>SUM(H504/G507*100)</f>
        <v>#DIV/0!</v>
      </c>
    </row>
    <row r="505" spans="1:9" ht="15" hidden="1">
      <c r="A505" s="109" t="s">
        <v>103</v>
      </c>
      <c r="B505" s="62"/>
      <c r="C505" s="526" t="s">
        <v>419</v>
      </c>
      <c r="D505" s="526" t="s">
        <v>131</v>
      </c>
      <c r="E505" s="524" t="s">
        <v>388</v>
      </c>
      <c r="F505" s="528" t="s">
        <v>104</v>
      </c>
      <c r="G505" s="137"/>
      <c r="H505" s="137"/>
      <c r="I505" s="12" t="e">
        <f>SUM(H505/G508*100)</f>
        <v>#DIV/0!</v>
      </c>
    </row>
    <row r="506" spans="1:9" ht="28.5" hidden="1">
      <c r="A506" s="110" t="s">
        <v>113</v>
      </c>
      <c r="B506" s="62"/>
      <c r="C506" s="526" t="s">
        <v>419</v>
      </c>
      <c r="D506" s="526" t="s">
        <v>131</v>
      </c>
      <c r="E506" s="526" t="s">
        <v>114</v>
      </c>
      <c r="F506" s="557"/>
      <c r="G506" s="137">
        <f>SUM(G508)</f>
        <v>0</v>
      </c>
      <c r="H506" s="137">
        <f>SUM(H508)</f>
        <v>0</v>
      </c>
      <c r="I506" s="12" t="e">
        <f>SUM(H506/#REF!*100)</f>
        <v>#REF!</v>
      </c>
    </row>
    <row r="507" spans="1:9" ht="15" hidden="1">
      <c r="A507" s="110" t="s">
        <v>115</v>
      </c>
      <c r="B507" s="62"/>
      <c r="C507" s="526" t="s">
        <v>419</v>
      </c>
      <c r="D507" s="526" t="s">
        <v>131</v>
      </c>
      <c r="E507" s="526" t="s">
        <v>248</v>
      </c>
      <c r="F507" s="557"/>
      <c r="G507" s="137">
        <f>SUM(G508)</f>
        <v>0</v>
      </c>
      <c r="H507" s="137">
        <f>SUM(H508)</f>
        <v>0</v>
      </c>
      <c r="I507" s="12" t="e">
        <f>SUM(H507/#REF!*100)</f>
        <v>#REF!</v>
      </c>
    </row>
    <row r="508" spans="1:9" ht="15" hidden="1">
      <c r="A508" s="109" t="s">
        <v>103</v>
      </c>
      <c r="B508" s="62"/>
      <c r="C508" s="526" t="s">
        <v>419</v>
      </c>
      <c r="D508" s="526" t="s">
        <v>131</v>
      </c>
      <c r="E508" s="526" t="s">
        <v>248</v>
      </c>
      <c r="F508" s="557" t="s">
        <v>104</v>
      </c>
      <c r="G508" s="137"/>
      <c r="H508" s="137"/>
      <c r="I508" s="12" t="e">
        <f>SUM(H508/#REF!*100)</f>
        <v>#REF!</v>
      </c>
    </row>
    <row r="509" spans="1:9" ht="15">
      <c r="A509" s="112" t="s">
        <v>305</v>
      </c>
      <c r="B509" s="561" t="s">
        <v>263</v>
      </c>
      <c r="C509" s="594"/>
      <c r="D509" s="594"/>
      <c r="E509" s="594"/>
      <c r="F509" s="595"/>
      <c r="G509" s="142">
        <f>SUM(G510+G586)</f>
        <v>1508965.2</v>
      </c>
      <c r="H509" s="142">
        <f>SUM(H510+H586)</f>
        <v>1508965.2</v>
      </c>
      <c r="I509" s="12">
        <f>SUM(H509/G524*100)</f>
        <v>116666.55327044996</v>
      </c>
    </row>
    <row r="510" spans="1:9" ht="15">
      <c r="A510" s="114" t="s">
        <v>116</v>
      </c>
      <c r="B510" s="71"/>
      <c r="C510" s="579" t="s">
        <v>117</v>
      </c>
      <c r="D510" s="579"/>
      <c r="E510" s="579"/>
      <c r="F510" s="596"/>
      <c r="G510" s="140">
        <f>SUM(G511+G528+G560+G580)</f>
        <v>1472446</v>
      </c>
      <c r="H510" s="140">
        <f>SUM(H511+H528+H560+H580)</f>
        <v>1472446</v>
      </c>
      <c r="I510" s="12"/>
    </row>
    <row r="511" spans="1:9" ht="15">
      <c r="A511" s="114" t="s">
        <v>338</v>
      </c>
      <c r="B511" s="131"/>
      <c r="C511" s="579" t="s">
        <v>117</v>
      </c>
      <c r="D511" s="579" t="s">
        <v>460</v>
      </c>
      <c r="E511" s="579"/>
      <c r="F511" s="596"/>
      <c r="G511" s="140">
        <f>SUM(G512+G526)</f>
        <v>625369.2000000001</v>
      </c>
      <c r="H511" s="140">
        <f>SUM(H512+H526)</f>
        <v>625369.2000000001</v>
      </c>
      <c r="I511" s="12"/>
    </row>
    <row r="512" spans="1:9" ht="15">
      <c r="A512" s="114" t="s">
        <v>339</v>
      </c>
      <c r="B512" s="131"/>
      <c r="C512" s="579" t="s">
        <v>117</v>
      </c>
      <c r="D512" s="579" t="s">
        <v>460</v>
      </c>
      <c r="E512" s="579" t="s">
        <v>340</v>
      </c>
      <c r="F512" s="596"/>
      <c r="G512" s="140">
        <f>SUM(G513+G518+G522)</f>
        <v>625369.2000000001</v>
      </c>
      <c r="H512" s="140">
        <f>SUM(H513+H518+H522)</f>
        <v>625369.2000000001</v>
      </c>
      <c r="I512" s="12"/>
    </row>
    <row r="513" spans="1:9" ht="15">
      <c r="A513" s="114" t="s">
        <v>606</v>
      </c>
      <c r="B513" s="131"/>
      <c r="C513" s="579" t="s">
        <v>117</v>
      </c>
      <c r="D513" s="579" t="s">
        <v>460</v>
      </c>
      <c r="E513" s="579" t="s">
        <v>85</v>
      </c>
      <c r="F513" s="596"/>
      <c r="G513" s="140">
        <f>SUM(G514+G516)</f>
        <v>538531.5</v>
      </c>
      <c r="H513" s="140">
        <f>SUM(H514+H516)</f>
        <v>538531.5</v>
      </c>
      <c r="I513" s="12"/>
    </row>
    <row r="514" spans="1:9" ht="28.5">
      <c r="A514" s="114" t="s">
        <v>205</v>
      </c>
      <c r="B514" s="131"/>
      <c r="C514" s="579" t="s">
        <v>117</v>
      </c>
      <c r="D514" s="579" t="s">
        <v>460</v>
      </c>
      <c r="E514" s="579" t="s">
        <v>86</v>
      </c>
      <c r="F514" s="596"/>
      <c r="G514" s="140">
        <f>SUM(G515)</f>
        <v>140853</v>
      </c>
      <c r="H514" s="140">
        <f>SUM(H515)</f>
        <v>140853</v>
      </c>
      <c r="I514" s="12"/>
    </row>
    <row r="515" spans="1:9" ht="28.5">
      <c r="A515" s="114" t="s">
        <v>524</v>
      </c>
      <c r="B515" s="131"/>
      <c r="C515" s="579" t="s">
        <v>117</v>
      </c>
      <c r="D515" s="579" t="s">
        <v>460</v>
      </c>
      <c r="E515" s="579" t="s">
        <v>86</v>
      </c>
      <c r="F515" s="596" t="s">
        <v>513</v>
      </c>
      <c r="G515" s="140">
        <v>140853</v>
      </c>
      <c r="H515" s="140">
        <v>140853</v>
      </c>
      <c r="I515" s="12"/>
    </row>
    <row r="516" spans="1:9" ht="71.25">
      <c r="A516" s="114" t="s">
        <v>607</v>
      </c>
      <c r="B516" s="131"/>
      <c r="C516" s="579" t="s">
        <v>117</v>
      </c>
      <c r="D516" s="579" t="s">
        <v>460</v>
      </c>
      <c r="E516" s="579" t="s">
        <v>212</v>
      </c>
      <c r="F516" s="596"/>
      <c r="G516" s="140">
        <f>G517</f>
        <v>397678.5</v>
      </c>
      <c r="H516" s="140">
        <f>H517</f>
        <v>397678.5</v>
      </c>
      <c r="I516" s="12"/>
    </row>
    <row r="517" spans="1:9" ht="28.5">
      <c r="A517" s="114" t="s">
        <v>524</v>
      </c>
      <c r="B517" s="131"/>
      <c r="C517" s="579" t="s">
        <v>117</v>
      </c>
      <c r="D517" s="579" t="s">
        <v>460</v>
      </c>
      <c r="E517" s="579" t="s">
        <v>212</v>
      </c>
      <c r="F517" s="596" t="s">
        <v>513</v>
      </c>
      <c r="G517" s="140">
        <v>397678.5</v>
      </c>
      <c r="H517" s="140">
        <v>397678.5</v>
      </c>
      <c r="I517" s="12"/>
    </row>
    <row r="518" spans="1:9" ht="28.5">
      <c r="A518" s="114" t="s">
        <v>56</v>
      </c>
      <c r="B518" s="131"/>
      <c r="C518" s="579" t="s">
        <v>117</v>
      </c>
      <c r="D518" s="579" t="s">
        <v>460</v>
      </c>
      <c r="E518" s="579" t="s">
        <v>341</v>
      </c>
      <c r="F518" s="596"/>
      <c r="G518" s="140">
        <f>SUM(G519+G520+G521)</f>
        <v>28051.300000000003</v>
      </c>
      <c r="H518" s="140">
        <f>SUM(H519+H520+H521)</f>
        <v>28051.300000000003</v>
      </c>
      <c r="I518" s="12"/>
    </row>
    <row r="519" spans="1:9" ht="28.5">
      <c r="A519" s="114" t="s">
        <v>495</v>
      </c>
      <c r="B519" s="131"/>
      <c r="C519" s="579" t="s">
        <v>117</v>
      </c>
      <c r="D519" s="579" t="s">
        <v>460</v>
      </c>
      <c r="E519" s="579" t="s">
        <v>341</v>
      </c>
      <c r="F519" s="596" t="s">
        <v>496</v>
      </c>
      <c r="G519" s="140">
        <v>4486.7</v>
      </c>
      <c r="H519" s="140">
        <v>4486.7</v>
      </c>
      <c r="I519" s="12"/>
    </row>
    <row r="520" spans="1:9" ht="15">
      <c r="A520" s="114" t="s">
        <v>500</v>
      </c>
      <c r="B520" s="71"/>
      <c r="C520" s="579" t="s">
        <v>117</v>
      </c>
      <c r="D520" s="579" t="s">
        <v>460</v>
      </c>
      <c r="E520" s="579" t="s">
        <v>341</v>
      </c>
      <c r="F520" s="596" t="s">
        <v>120</v>
      </c>
      <c r="G520" s="140">
        <v>21261.2</v>
      </c>
      <c r="H520" s="140">
        <v>21261.2</v>
      </c>
      <c r="I520" s="12"/>
    </row>
    <row r="521" spans="1:9" ht="15">
      <c r="A521" s="114" t="s">
        <v>501</v>
      </c>
      <c r="B521" s="131"/>
      <c r="C521" s="579" t="s">
        <v>117</v>
      </c>
      <c r="D521" s="579" t="s">
        <v>460</v>
      </c>
      <c r="E521" s="579" t="s">
        <v>341</v>
      </c>
      <c r="F521" s="596" t="s">
        <v>176</v>
      </c>
      <c r="G521" s="140">
        <v>2303.4</v>
      </c>
      <c r="H521" s="140">
        <v>2303.4</v>
      </c>
      <c r="I521" s="12"/>
    </row>
    <row r="522" spans="1:9" ht="15">
      <c r="A522" s="153" t="s">
        <v>608</v>
      </c>
      <c r="B522" s="131"/>
      <c r="C522" s="579" t="s">
        <v>117</v>
      </c>
      <c r="D522" s="579" t="s">
        <v>460</v>
      </c>
      <c r="E522" s="579" t="s">
        <v>342</v>
      </c>
      <c r="F522" s="596"/>
      <c r="G522" s="140">
        <f>SUM(G523+G524)</f>
        <v>58786.4</v>
      </c>
      <c r="H522" s="140">
        <f>SUM(H523+H524)</f>
        <v>58786.4</v>
      </c>
      <c r="I522" s="12" t="e">
        <f>SUM(H522/G525*100)</f>
        <v>#DIV/0!</v>
      </c>
    </row>
    <row r="523" spans="1:9" ht="28.5">
      <c r="A523" s="114" t="s">
        <v>495</v>
      </c>
      <c r="B523" s="131"/>
      <c r="C523" s="579" t="s">
        <v>117</v>
      </c>
      <c r="D523" s="579" t="s">
        <v>460</v>
      </c>
      <c r="E523" s="579" t="s">
        <v>342</v>
      </c>
      <c r="F523" s="596" t="s">
        <v>496</v>
      </c>
      <c r="G523" s="140">
        <f>57481.3+11.7</f>
        <v>57493</v>
      </c>
      <c r="H523" s="140">
        <f>57481.3+11.7</f>
        <v>57493</v>
      </c>
      <c r="I523" s="12" t="e">
        <f>SUM(H523/G526*100)</f>
        <v>#DIV/0!</v>
      </c>
    </row>
    <row r="524" spans="1:9" ht="15">
      <c r="A524" s="114" t="s">
        <v>500</v>
      </c>
      <c r="B524" s="131"/>
      <c r="C524" s="579" t="s">
        <v>117</v>
      </c>
      <c r="D524" s="579" t="s">
        <v>460</v>
      </c>
      <c r="E524" s="579" t="s">
        <v>342</v>
      </c>
      <c r="F524" s="596" t="s">
        <v>120</v>
      </c>
      <c r="G524" s="140">
        <v>1293.4</v>
      </c>
      <c r="H524" s="140">
        <v>1293.4</v>
      </c>
      <c r="I524" s="12" t="e">
        <f>SUM(H524/G527*100)</f>
        <v>#DIV/0!</v>
      </c>
    </row>
    <row r="525" spans="1:9" ht="15" hidden="1">
      <c r="A525" s="114" t="s">
        <v>594</v>
      </c>
      <c r="B525" s="132"/>
      <c r="C525" s="579" t="s">
        <v>117</v>
      </c>
      <c r="D525" s="579" t="s">
        <v>460</v>
      </c>
      <c r="E525" s="579" t="s">
        <v>129</v>
      </c>
      <c r="F525" s="596"/>
      <c r="G525" s="140">
        <f>G526</f>
        <v>0</v>
      </c>
      <c r="H525" s="140">
        <f>H526</f>
        <v>0</v>
      </c>
      <c r="I525" s="12">
        <f>SUM(H525/G528*100)</f>
        <v>0</v>
      </c>
    </row>
    <row r="526" spans="1:9" ht="28.5" hidden="1">
      <c r="A526" s="114" t="s">
        <v>609</v>
      </c>
      <c r="B526" s="131"/>
      <c r="C526" s="579" t="s">
        <v>117</v>
      </c>
      <c r="D526" s="579" t="s">
        <v>460</v>
      </c>
      <c r="E526" s="579" t="s">
        <v>366</v>
      </c>
      <c r="F526" s="596"/>
      <c r="G526" s="140">
        <f>G527</f>
        <v>0</v>
      </c>
      <c r="H526" s="140">
        <f>H527</f>
        <v>0</v>
      </c>
      <c r="I526" s="12">
        <f>SUM(H526/G529*100)</f>
        <v>0</v>
      </c>
    </row>
    <row r="527" spans="1:9" ht="15" hidden="1">
      <c r="A527" s="116" t="s">
        <v>505</v>
      </c>
      <c r="B527" s="154"/>
      <c r="C527" s="579" t="s">
        <v>117</v>
      </c>
      <c r="D527" s="579" t="s">
        <v>460</v>
      </c>
      <c r="E527" s="579" t="s">
        <v>366</v>
      </c>
      <c r="F527" s="596" t="s">
        <v>506</v>
      </c>
      <c r="G527" s="140"/>
      <c r="H527" s="140"/>
      <c r="I527" s="12"/>
    </row>
    <row r="528" spans="1:9" ht="15">
      <c r="A528" s="114" t="s">
        <v>343</v>
      </c>
      <c r="B528" s="131"/>
      <c r="C528" s="579" t="s">
        <v>117</v>
      </c>
      <c r="D528" s="579" t="s">
        <v>462</v>
      </c>
      <c r="E528" s="579"/>
      <c r="F528" s="596"/>
      <c r="G528" s="140">
        <f>SUM(G529+G542+G548+G556)</f>
        <v>822556.5</v>
      </c>
      <c r="H528" s="140">
        <f>SUM(H529+H542+H548+H556)</f>
        <v>822556.5</v>
      </c>
      <c r="I528" s="12"/>
    </row>
    <row r="529" spans="1:9" ht="15">
      <c r="A529" s="114" t="s">
        <v>344</v>
      </c>
      <c r="B529" s="131"/>
      <c r="C529" s="579" t="s">
        <v>117</v>
      </c>
      <c r="D529" s="579" t="s">
        <v>462</v>
      </c>
      <c r="E529" s="579" t="s">
        <v>345</v>
      </c>
      <c r="F529" s="596"/>
      <c r="G529" s="140">
        <f>G530+G535</f>
        <v>735918.5</v>
      </c>
      <c r="H529" s="140">
        <f>H530+H535</f>
        <v>735918.5</v>
      </c>
      <c r="I529" s="12"/>
    </row>
    <row r="530" spans="1:9" ht="15">
      <c r="A530" s="114" t="s">
        <v>15</v>
      </c>
      <c r="B530" s="131"/>
      <c r="C530" s="579" t="s">
        <v>117</v>
      </c>
      <c r="D530" s="579" t="s">
        <v>462</v>
      </c>
      <c r="E530" s="579" t="s">
        <v>87</v>
      </c>
      <c r="F530" s="596"/>
      <c r="G530" s="140">
        <f>G531+G533</f>
        <v>347011.4</v>
      </c>
      <c r="H530" s="140">
        <f>H531+H533</f>
        <v>347011.4</v>
      </c>
      <c r="I530" s="12">
        <f>SUM(H530/G533*100)</f>
        <v>128.00182073841714</v>
      </c>
    </row>
    <row r="531" spans="1:9" ht="28.5">
      <c r="A531" s="114" t="s">
        <v>205</v>
      </c>
      <c r="B531" s="131"/>
      <c r="C531" s="579" t="s">
        <v>117</v>
      </c>
      <c r="D531" s="579" t="s">
        <v>462</v>
      </c>
      <c r="E531" s="579" t="s">
        <v>88</v>
      </c>
      <c r="F531" s="596"/>
      <c r="G531" s="140">
        <f>SUM(G532)</f>
        <v>75912.6</v>
      </c>
      <c r="H531" s="140">
        <f>SUM(H532)</f>
        <v>75912.6</v>
      </c>
      <c r="I531" s="12"/>
    </row>
    <row r="532" spans="1:9" ht="28.5">
      <c r="A532" s="114" t="s">
        <v>517</v>
      </c>
      <c r="B532" s="131"/>
      <c r="C532" s="579" t="s">
        <v>117</v>
      </c>
      <c r="D532" s="579" t="s">
        <v>462</v>
      </c>
      <c r="E532" s="579" t="s">
        <v>88</v>
      </c>
      <c r="F532" s="596" t="s">
        <v>513</v>
      </c>
      <c r="G532" s="140">
        <v>75912.6</v>
      </c>
      <c r="H532" s="140">
        <v>75912.6</v>
      </c>
      <c r="I532" s="12"/>
    </row>
    <row r="533" spans="1:9" ht="85.5">
      <c r="A533" s="114" t="s">
        <v>610</v>
      </c>
      <c r="B533" s="131"/>
      <c r="C533" s="579" t="s">
        <v>117</v>
      </c>
      <c r="D533" s="579" t="s">
        <v>462</v>
      </c>
      <c r="E533" s="579" t="s">
        <v>89</v>
      </c>
      <c r="F533" s="596"/>
      <c r="G533" s="140">
        <f>SUM(G534)</f>
        <v>271098.8</v>
      </c>
      <c r="H533" s="140">
        <f>SUM(H534)</f>
        <v>271098.8</v>
      </c>
      <c r="I533" s="12"/>
    </row>
    <row r="534" spans="1:9" ht="28.5">
      <c r="A534" s="114" t="s">
        <v>517</v>
      </c>
      <c r="B534" s="131"/>
      <c r="C534" s="579" t="s">
        <v>117</v>
      </c>
      <c r="D534" s="579" t="s">
        <v>462</v>
      </c>
      <c r="E534" s="579" t="s">
        <v>89</v>
      </c>
      <c r="F534" s="596" t="s">
        <v>513</v>
      </c>
      <c r="G534" s="140">
        <v>271098.8</v>
      </c>
      <c r="H534" s="140">
        <v>271098.8</v>
      </c>
      <c r="I534" s="12"/>
    </row>
    <row r="535" spans="1:9" ht="28.5">
      <c r="A535" s="114" t="s">
        <v>56</v>
      </c>
      <c r="B535" s="131"/>
      <c r="C535" s="579" t="s">
        <v>117</v>
      </c>
      <c r="D535" s="579" t="s">
        <v>462</v>
      </c>
      <c r="E535" s="579" t="s">
        <v>346</v>
      </c>
      <c r="F535" s="596"/>
      <c r="G535" s="140">
        <f>SUM(G536+G537+G538+G539)</f>
        <v>388907.1</v>
      </c>
      <c r="H535" s="140">
        <f>SUM(H536+H537+H538+H539)</f>
        <v>388907.1</v>
      </c>
      <c r="I535" s="12"/>
    </row>
    <row r="536" spans="1:9" ht="28.5">
      <c r="A536" s="114" t="s">
        <v>495</v>
      </c>
      <c r="B536" s="131"/>
      <c r="C536" s="579" t="s">
        <v>117</v>
      </c>
      <c r="D536" s="579" t="s">
        <v>462</v>
      </c>
      <c r="E536" s="579" t="s">
        <v>346</v>
      </c>
      <c r="F536" s="596" t="s">
        <v>496</v>
      </c>
      <c r="G536" s="140">
        <f>23383.4+11.7</f>
        <v>23395.100000000002</v>
      </c>
      <c r="H536" s="140">
        <f>23383.4+11.7</f>
        <v>23395.100000000002</v>
      </c>
      <c r="I536" s="12"/>
    </row>
    <row r="537" spans="1:9" ht="15">
      <c r="A537" s="114" t="s">
        <v>500</v>
      </c>
      <c r="B537" s="131"/>
      <c r="C537" s="579" t="s">
        <v>117</v>
      </c>
      <c r="D537" s="579" t="s">
        <v>462</v>
      </c>
      <c r="E537" s="579" t="s">
        <v>346</v>
      </c>
      <c r="F537" s="596" t="s">
        <v>120</v>
      </c>
      <c r="G537" s="140">
        <v>44954.4</v>
      </c>
      <c r="H537" s="140">
        <v>44954.4</v>
      </c>
      <c r="I537" s="12"/>
    </row>
    <row r="538" spans="1:9" ht="15">
      <c r="A538" s="114" t="s">
        <v>501</v>
      </c>
      <c r="B538" s="154"/>
      <c r="C538" s="579" t="s">
        <v>117</v>
      </c>
      <c r="D538" s="579" t="s">
        <v>462</v>
      </c>
      <c r="E538" s="579" t="s">
        <v>346</v>
      </c>
      <c r="F538" s="597">
        <v>800</v>
      </c>
      <c r="G538" s="140">
        <v>15533.3</v>
      </c>
      <c r="H538" s="140">
        <v>15533.3</v>
      </c>
      <c r="I538" s="12"/>
    </row>
    <row r="539" spans="1:9" ht="85.5">
      <c r="A539" s="121" t="s">
        <v>610</v>
      </c>
      <c r="B539" s="131"/>
      <c r="C539" s="579" t="s">
        <v>117</v>
      </c>
      <c r="D539" s="579" t="s">
        <v>462</v>
      </c>
      <c r="E539" s="579" t="s">
        <v>319</v>
      </c>
      <c r="F539" s="596"/>
      <c r="G539" s="140">
        <f>SUM(G540+G541)</f>
        <v>305024.3</v>
      </c>
      <c r="H539" s="140">
        <f>SUM(H540+H541)</f>
        <v>305024.3</v>
      </c>
      <c r="I539" s="12">
        <f>SUM(H539/G542*100)</f>
        <v>1038.6740764198905</v>
      </c>
    </row>
    <row r="540" spans="1:9" ht="28.5">
      <c r="A540" s="114" t="s">
        <v>495</v>
      </c>
      <c r="B540" s="131"/>
      <c r="C540" s="579" t="s">
        <v>117</v>
      </c>
      <c r="D540" s="579" t="s">
        <v>462</v>
      </c>
      <c r="E540" s="579" t="s">
        <v>319</v>
      </c>
      <c r="F540" s="596" t="s">
        <v>496</v>
      </c>
      <c r="G540" s="140">
        <v>301204.5</v>
      </c>
      <c r="H540" s="140">
        <v>301204.5</v>
      </c>
      <c r="I540" s="12">
        <f>SUM(H540/G543*100)</f>
        <v>1025.666826711888</v>
      </c>
    </row>
    <row r="541" spans="1:9" ht="15">
      <c r="A541" s="114" t="s">
        <v>500</v>
      </c>
      <c r="B541" s="131"/>
      <c r="C541" s="579" t="s">
        <v>117</v>
      </c>
      <c r="D541" s="579" t="s">
        <v>462</v>
      </c>
      <c r="E541" s="579" t="s">
        <v>319</v>
      </c>
      <c r="F541" s="596" t="s">
        <v>120</v>
      </c>
      <c r="G541" s="140">
        <v>3819.8</v>
      </c>
      <c r="H541" s="140">
        <v>3819.8</v>
      </c>
      <c r="I541" s="12" t="e">
        <f>SUM(H541/G544*100)</f>
        <v>#DIV/0!</v>
      </c>
    </row>
    <row r="542" spans="1:9" ht="15">
      <c r="A542" s="114" t="s">
        <v>1060</v>
      </c>
      <c r="B542" s="71"/>
      <c r="C542" s="579" t="s">
        <v>117</v>
      </c>
      <c r="D542" s="579" t="s">
        <v>462</v>
      </c>
      <c r="E542" s="579" t="s">
        <v>321</v>
      </c>
      <c r="F542" s="596"/>
      <c r="G542" s="140">
        <f>SUM(G543)</f>
        <v>29366.7</v>
      </c>
      <c r="H542" s="140">
        <f>SUM(H543)</f>
        <v>29366.7</v>
      </c>
      <c r="I542" s="12"/>
    </row>
    <row r="543" spans="1:9" ht="15">
      <c r="A543" s="114" t="s">
        <v>606</v>
      </c>
      <c r="B543" s="131"/>
      <c r="C543" s="579" t="s">
        <v>117</v>
      </c>
      <c r="D543" s="579" t="s">
        <v>462</v>
      </c>
      <c r="E543" s="579" t="s">
        <v>78</v>
      </c>
      <c r="F543" s="596"/>
      <c r="G543" s="140">
        <f>SUM(G546)</f>
        <v>29366.7</v>
      </c>
      <c r="H543" s="140">
        <f>SUM(H546)</f>
        <v>29366.7</v>
      </c>
      <c r="I543" s="12">
        <f>SUM(H543/G546*100)</f>
        <v>100</v>
      </c>
    </row>
    <row r="544" spans="1:9" s="14" customFormat="1" ht="57" hidden="1">
      <c r="A544" s="114" t="s">
        <v>211</v>
      </c>
      <c r="B544" s="131"/>
      <c r="C544" s="579" t="s">
        <v>117</v>
      </c>
      <c r="D544" s="579" t="s">
        <v>462</v>
      </c>
      <c r="E544" s="579" t="s">
        <v>213</v>
      </c>
      <c r="F544" s="596"/>
      <c r="G544" s="140">
        <f>SUM(G545)</f>
        <v>0</v>
      </c>
      <c r="H544" s="140">
        <f>SUM(H545)</f>
        <v>0</v>
      </c>
      <c r="I544" s="12"/>
    </row>
    <row r="545" spans="1:9" s="14" customFormat="1" ht="15" hidden="1">
      <c r="A545" s="114" t="s">
        <v>157</v>
      </c>
      <c r="B545" s="131"/>
      <c r="C545" s="579" t="s">
        <v>117</v>
      </c>
      <c r="D545" s="579" t="s">
        <v>462</v>
      </c>
      <c r="E545" s="579" t="s">
        <v>213</v>
      </c>
      <c r="F545" s="596" t="s">
        <v>83</v>
      </c>
      <c r="G545" s="140"/>
      <c r="H545" s="140"/>
      <c r="I545" s="12">
        <f>SUM(H545/G548*100)</f>
        <v>0</v>
      </c>
    </row>
    <row r="546" spans="1:9" s="14" customFormat="1" ht="28.5">
      <c r="A546" s="114" t="s">
        <v>94</v>
      </c>
      <c r="B546" s="131"/>
      <c r="C546" s="579" t="s">
        <v>117</v>
      </c>
      <c r="D546" s="579" t="s">
        <v>462</v>
      </c>
      <c r="E546" s="579" t="s">
        <v>79</v>
      </c>
      <c r="F546" s="596"/>
      <c r="G546" s="140">
        <f>SUM(G547)</f>
        <v>29366.7</v>
      </c>
      <c r="H546" s="140">
        <f>SUM(H547)</f>
        <v>29366.7</v>
      </c>
      <c r="I546" s="12"/>
    </row>
    <row r="547" spans="1:9" ht="28.5">
      <c r="A547" s="114" t="s">
        <v>517</v>
      </c>
      <c r="B547" s="131"/>
      <c r="C547" s="579" t="s">
        <v>117</v>
      </c>
      <c r="D547" s="579" t="s">
        <v>462</v>
      </c>
      <c r="E547" s="579" t="s">
        <v>79</v>
      </c>
      <c r="F547" s="596" t="s">
        <v>513</v>
      </c>
      <c r="G547" s="140">
        <v>29366.7</v>
      </c>
      <c r="H547" s="140">
        <v>29366.7</v>
      </c>
      <c r="I547" s="12"/>
    </row>
    <row r="548" spans="1:9" ht="15">
      <c r="A548" s="114" t="s">
        <v>330</v>
      </c>
      <c r="B548" s="71"/>
      <c r="C548" s="579" t="s">
        <v>117</v>
      </c>
      <c r="D548" s="579" t="s">
        <v>462</v>
      </c>
      <c r="E548" s="579" t="s">
        <v>331</v>
      </c>
      <c r="F548" s="596"/>
      <c r="G548" s="140">
        <f>SUM(G549)</f>
        <v>51090</v>
      </c>
      <c r="H548" s="140">
        <f>SUM(H549)</f>
        <v>51090</v>
      </c>
      <c r="I548" s="12">
        <f>SUM(H548/G551*100)</f>
        <v>2102.9018316526035</v>
      </c>
    </row>
    <row r="549" spans="1:9" ht="28.5">
      <c r="A549" s="114" t="s">
        <v>56</v>
      </c>
      <c r="B549" s="131"/>
      <c r="C549" s="579" t="s">
        <v>117</v>
      </c>
      <c r="D549" s="579" t="s">
        <v>462</v>
      </c>
      <c r="E549" s="579" t="s">
        <v>332</v>
      </c>
      <c r="F549" s="596"/>
      <c r="G549" s="140">
        <f>SUM(G550+G551+G552+G553)</f>
        <v>51090</v>
      </c>
      <c r="H549" s="140">
        <f>SUM(H550+H551+H552+H553)</f>
        <v>51090</v>
      </c>
      <c r="I549" s="12"/>
    </row>
    <row r="550" spans="1:9" ht="28.5">
      <c r="A550" s="114" t="s">
        <v>495</v>
      </c>
      <c r="B550" s="131"/>
      <c r="C550" s="579" t="s">
        <v>117</v>
      </c>
      <c r="D550" s="579" t="s">
        <v>462</v>
      </c>
      <c r="E550" s="579" t="s">
        <v>611</v>
      </c>
      <c r="F550" s="596" t="s">
        <v>496</v>
      </c>
      <c r="G550" s="140">
        <v>1915.1</v>
      </c>
      <c r="H550" s="140">
        <v>1915.1</v>
      </c>
      <c r="I550" s="12">
        <f>SUM(H550/G553*100)</f>
        <v>4.206477857290334</v>
      </c>
    </row>
    <row r="551" spans="1:9" ht="15">
      <c r="A551" s="114" t="s">
        <v>500</v>
      </c>
      <c r="B551" s="131"/>
      <c r="C551" s="579" t="s">
        <v>117</v>
      </c>
      <c r="D551" s="579" t="s">
        <v>462</v>
      </c>
      <c r="E551" s="579" t="s">
        <v>264</v>
      </c>
      <c r="F551" s="596" t="s">
        <v>120</v>
      </c>
      <c r="G551" s="140">
        <v>2429.5</v>
      </c>
      <c r="H551" s="140">
        <v>2429.5</v>
      </c>
      <c r="I551" s="12">
        <f>SUM(H551/G554*100)</f>
        <v>7.234099571224392</v>
      </c>
    </row>
    <row r="552" spans="1:9" ht="15">
      <c r="A552" s="114" t="s">
        <v>501</v>
      </c>
      <c r="B552" s="131"/>
      <c r="C552" s="579" t="s">
        <v>117</v>
      </c>
      <c r="D552" s="579" t="s">
        <v>462</v>
      </c>
      <c r="E552" s="579" t="s">
        <v>264</v>
      </c>
      <c r="F552" s="596" t="s">
        <v>176</v>
      </c>
      <c r="G552" s="140">
        <v>1218</v>
      </c>
      <c r="H552" s="140">
        <v>1218</v>
      </c>
      <c r="I552" s="12">
        <f>SUM(H552/G555*100)</f>
        <v>10.198101043254015</v>
      </c>
    </row>
    <row r="553" spans="1:9" ht="85.5">
      <c r="A553" s="114" t="s">
        <v>612</v>
      </c>
      <c r="B553" s="131"/>
      <c r="C553" s="579" t="s">
        <v>117</v>
      </c>
      <c r="D553" s="579" t="s">
        <v>462</v>
      </c>
      <c r="E553" s="579" t="s">
        <v>333</v>
      </c>
      <c r="F553" s="596"/>
      <c r="G553" s="140">
        <f>SUM(G554+G555)</f>
        <v>45527.4</v>
      </c>
      <c r="H553" s="140">
        <f>SUM(H554+H555)</f>
        <v>45527.4</v>
      </c>
      <c r="I553" s="12">
        <f>SUM(H553/G556*100)</f>
        <v>736.5343859705887</v>
      </c>
    </row>
    <row r="554" spans="1:9" ht="28.5">
      <c r="A554" s="114" t="s">
        <v>495</v>
      </c>
      <c r="B554" s="131"/>
      <c r="C554" s="579" t="s">
        <v>117</v>
      </c>
      <c r="D554" s="579" t="s">
        <v>462</v>
      </c>
      <c r="E554" s="579" t="s">
        <v>333</v>
      </c>
      <c r="F554" s="596" t="s">
        <v>496</v>
      </c>
      <c r="G554" s="140">
        <f>33581.2+2.8</f>
        <v>33584</v>
      </c>
      <c r="H554" s="140">
        <f>33581.2+2.8</f>
        <v>33584</v>
      </c>
      <c r="I554" s="12">
        <f>SUM(H554/G557*100)</f>
        <v>543.3161309109735</v>
      </c>
    </row>
    <row r="555" spans="1:9" ht="15">
      <c r="A555" s="114" t="s">
        <v>500</v>
      </c>
      <c r="B555" s="131"/>
      <c r="C555" s="579" t="s">
        <v>117</v>
      </c>
      <c r="D555" s="579" t="s">
        <v>462</v>
      </c>
      <c r="E555" s="579" t="s">
        <v>333</v>
      </c>
      <c r="F555" s="596" t="s">
        <v>120</v>
      </c>
      <c r="G555" s="140">
        <v>11943.4</v>
      </c>
      <c r="H555" s="140">
        <v>11943.4</v>
      </c>
      <c r="I555" s="12"/>
    </row>
    <row r="556" spans="1:9" ht="15">
      <c r="A556" s="114" t="s">
        <v>334</v>
      </c>
      <c r="B556" s="71"/>
      <c r="C556" s="579" t="s">
        <v>117</v>
      </c>
      <c r="D556" s="579" t="s">
        <v>462</v>
      </c>
      <c r="E556" s="579" t="s">
        <v>335</v>
      </c>
      <c r="F556" s="596"/>
      <c r="G556" s="140">
        <f aca="true" t="shared" si="26" ref="G556:H558">G557</f>
        <v>6181.3</v>
      </c>
      <c r="H556" s="140">
        <f t="shared" si="26"/>
        <v>6181.3</v>
      </c>
      <c r="I556" s="12"/>
    </row>
    <row r="557" spans="1:9" ht="15">
      <c r="A557" s="114" t="s">
        <v>232</v>
      </c>
      <c r="B557" s="71"/>
      <c r="C557" s="579" t="s">
        <v>117</v>
      </c>
      <c r="D557" s="579" t="s">
        <v>462</v>
      </c>
      <c r="E557" s="579" t="s">
        <v>294</v>
      </c>
      <c r="F557" s="596"/>
      <c r="G557" s="140">
        <f t="shared" si="26"/>
        <v>6181.3</v>
      </c>
      <c r="H557" s="140">
        <f t="shared" si="26"/>
        <v>6181.3</v>
      </c>
      <c r="I557" s="12">
        <f>SUM(H557/G560*100)</f>
        <v>513.4396544563502</v>
      </c>
    </row>
    <row r="558" spans="1:9" ht="57">
      <c r="A558" s="114" t="s">
        <v>613</v>
      </c>
      <c r="B558" s="71"/>
      <c r="C558" s="579" t="s">
        <v>117</v>
      </c>
      <c r="D558" s="579" t="s">
        <v>462</v>
      </c>
      <c r="E558" s="579" t="s">
        <v>290</v>
      </c>
      <c r="F558" s="596"/>
      <c r="G558" s="140">
        <f t="shared" si="26"/>
        <v>6181.3</v>
      </c>
      <c r="H558" s="140">
        <f t="shared" si="26"/>
        <v>6181.3</v>
      </c>
      <c r="I558" s="12"/>
    </row>
    <row r="559" spans="1:9" ht="28.5">
      <c r="A559" s="114" t="s">
        <v>517</v>
      </c>
      <c r="B559" s="71"/>
      <c r="C559" s="579" t="s">
        <v>117</v>
      </c>
      <c r="D559" s="579" t="s">
        <v>462</v>
      </c>
      <c r="E559" s="579" t="s">
        <v>290</v>
      </c>
      <c r="F559" s="596" t="s">
        <v>513</v>
      </c>
      <c r="G559" s="140">
        <v>6181.3</v>
      </c>
      <c r="H559" s="140">
        <v>6181.3</v>
      </c>
      <c r="I559" s="12" t="e">
        <f aca="true" t="shared" si="27" ref="I559:I567">SUM(H559/G562*100)</f>
        <v>#DIV/0!</v>
      </c>
    </row>
    <row r="560" spans="1:9" ht="15">
      <c r="A560" s="114" t="s">
        <v>118</v>
      </c>
      <c r="B560" s="71"/>
      <c r="C560" s="579" t="s">
        <v>117</v>
      </c>
      <c r="D560" s="579" t="s">
        <v>117</v>
      </c>
      <c r="E560" s="579"/>
      <c r="F560" s="596"/>
      <c r="G560" s="140">
        <f>SUM(G565+G572+G561+G577)</f>
        <v>1203.8999999999999</v>
      </c>
      <c r="H560" s="140">
        <f>SUM(H565+H572+H561+H577)</f>
        <v>1203.8999999999999</v>
      </c>
      <c r="I560" s="12" t="e">
        <f t="shared" si="27"/>
        <v>#DIV/0!</v>
      </c>
    </row>
    <row r="561" spans="1:9" ht="15" hidden="1">
      <c r="A561" s="114" t="s">
        <v>407</v>
      </c>
      <c r="B561" s="71"/>
      <c r="C561" s="579" t="s">
        <v>117</v>
      </c>
      <c r="D561" s="579" t="s">
        <v>117</v>
      </c>
      <c r="E561" s="579" t="s">
        <v>409</v>
      </c>
      <c r="F561" s="596"/>
      <c r="G561" s="140">
        <f>SUM(G562)</f>
        <v>0</v>
      </c>
      <c r="H561" s="140">
        <f>SUM(H562)</f>
        <v>0</v>
      </c>
      <c r="I561" s="12" t="e">
        <f t="shared" si="27"/>
        <v>#DIV/0!</v>
      </c>
    </row>
    <row r="562" spans="1:9" ht="15" hidden="1">
      <c r="A562" s="114" t="s">
        <v>387</v>
      </c>
      <c r="B562" s="71"/>
      <c r="C562" s="579" t="s">
        <v>117</v>
      </c>
      <c r="D562" s="579" t="s">
        <v>117</v>
      </c>
      <c r="E562" s="579" t="s">
        <v>388</v>
      </c>
      <c r="F562" s="596"/>
      <c r="G562" s="140">
        <f>SUM(G563+G564)</f>
        <v>0</v>
      </c>
      <c r="H562" s="140">
        <f>SUM(H563+H564)</f>
        <v>0</v>
      </c>
      <c r="I562" s="12">
        <f t="shared" si="27"/>
        <v>0</v>
      </c>
    </row>
    <row r="563" spans="1:9" ht="15" hidden="1">
      <c r="A563" s="114" t="s">
        <v>246</v>
      </c>
      <c r="B563" s="71"/>
      <c r="C563" s="579" t="s">
        <v>117</v>
      </c>
      <c r="D563" s="579" t="s">
        <v>117</v>
      </c>
      <c r="E563" s="579" t="s">
        <v>388</v>
      </c>
      <c r="F563" s="596" t="s">
        <v>247</v>
      </c>
      <c r="G563" s="140"/>
      <c r="H563" s="140"/>
      <c r="I563" s="12" t="e">
        <f t="shared" si="27"/>
        <v>#DIV/0!</v>
      </c>
    </row>
    <row r="564" spans="1:9" ht="15" hidden="1">
      <c r="A564" s="114" t="s">
        <v>223</v>
      </c>
      <c r="B564" s="71"/>
      <c r="C564" s="579" t="s">
        <v>117</v>
      </c>
      <c r="D564" s="579" t="s">
        <v>117</v>
      </c>
      <c r="E564" s="579" t="s">
        <v>388</v>
      </c>
      <c r="F564" s="596" t="s">
        <v>224</v>
      </c>
      <c r="G564" s="140"/>
      <c r="H564" s="140"/>
      <c r="I564" s="12" t="e">
        <f t="shared" si="27"/>
        <v>#DIV/0!</v>
      </c>
    </row>
    <row r="565" spans="1:9" ht="15">
      <c r="A565" s="114" t="s">
        <v>225</v>
      </c>
      <c r="B565" s="71"/>
      <c r="C565" s="579" t="s">
        <v>117</v>
      </c>
      <c r="D565" s="579" t="s">
        <v>117</v>
      </c>
      <c r="E565" s="579" t="s">
        <v>226</v>
      </c>
      <c r="F565" s="596"/>
      <c r="G565" s="140">
        <f>SUM(G568+G566)</f>
        <v>1203.8999999999999</v>
      </c>
      <c r="H565" s="140">
        <f>SUM(H568+H566)</f>
        <v>1203.8999999999999</v>
      </c>
      <c r="I565" s="12">
        <f t="shared" si="27"/>
        <v>100</v>
      </c>
    </row>
    <row r="566" spans="1:9" ht="28.5" hidden="1">
      <c r="A566" s="114" t="s">
        <v>257</v>
      </c>
      <c r="B566" s="71"/>
      <c r="C566" s="579" t="s">
        <v>117</v>
      </c>
      <c r="D566" s="579" t="s">
        <v>117</v>
      </c>
      <c r="E566" s="579" t="s">
        <v>214</v>
      </c>
      <c r="F566" s="596"/>
      <c r="G566" s="140"/>
      <c r="H566" s="140"/>
      <c r="I566" s="12">
        <f t="shared" si="27"/>
        <v>0</v>
      </c>
    </row>
    <row r="567" spans="1:9" ht="15" hidden="1">
      <c r="A567" s="114" t="s">
        <v>57</v>
      </c>
      <c r="B567" s="71"/>
      <c r="C567" s="579" t="s">
        <v>117</v>
      </c>
      <c r="D567" s="579" t="s">
        <v>117</v>
      </c>
      <c r="E567" s="579" t="s">
        <v>214</v>
      </c>
      <c r="F567" s="596"/>
      <c r="G567" s="140"/>
      <c r="H567" s="140"/>
      <c r="I567" s="12">
        <f t="shared" si="27"/>
        <v>0</v>
      </c>
    </row>
    <row r="568" spans="1:9" ht="28.5">
      <c r="A568" s="114" t="s">
        <v>56</v>
      </c>
      <c r="B568" s="71"/>
      <c r="C568" s="579" t="s">
        <v>117</v>
      </c>
      <c r="D568" s="579" t="s">
        <v>117</v>
      </c>
      <c r="E568" s="579" t="s">
        <v>229</v>
      </c>
      <c r="F568" s="596"/>
      <c r="G568" s="140">
        <f>SUM(G569+G570+G571)</f>
        <v>1203.8999999999999</v>
      </c>
      <c r="H568" s="140">
        <f>SUM(H569+H570+H571)</f>
        <v>1203.8999999999999</v>
      </c>
      <c r="I568" s="12"/>
    </row>
    <row r="569" spans="1:9" s="14" customFormat="1" ht="28.5">
      <c r="A569" s="114" t="s">
        <v>495</v>
      </c>
      <c r="B569" s="71"/>
      <c r="C569" s="579" t="s">
        <v>117</v>
      </c>
      <c r="D569" s="579" t="s">
        <v>117</v>
      </c>
      <c r="E569" s="579" t="s">
        <v>229</v>
      </c>
      <c r="F569" s="596" t="s">
        <v>496</v>
      </c>
      <c r="G569" s="140">
        <v>1089.6</v>
      </c>
      <c r="H569" s="140">
        <v>1089.6</v>
      </c>
      <c r="I569" s="12"/>
    </row>
    <row r="570" spans="1:9" s="14" customFormat="1" ht="15">
      <c r="A570" s="114" t="s">
        <v>500</v>
      </c>
      <c r="B570" s="71"/>
      <c r="C570" s="579" t="s">
        <v>117</v>
      </c>
      <c r="D570" s="579" t="s">
        <v>117</v>
      </c>
      <c r="E570" s="579" t="s">
        <v>229</v>
      </c>
      <c r="F570" s="596" t="s">
        <v>120</v>
      </c>
      <c r="G570" s="140">
        <v>102.5</v>
      </c>
      <c r="H570" s="140">
        <v>102.5</v>
      </c>
      <c r="I570" s="12"/>
    </row>
    <row r="571" spans="1:9" s="14" customFormat="1" ht="15">
      <c r="A571" s="114" t="s">
        <v>501</v>
      </c>
      <c r="B571" s="71"/>
      <c r="C571" s="579" t="s">
        <v>117</v>
      </c>
      <c r="D571" s="579" t="s">
        <v>117</v>
      </c>
      <c r="E571" s="579" t="s">
        <v>229</v>
      </c>
      <c r="F571" s="596" t="s">
        <v>176</v>
      </c>
      <c r="G571" s="140">
        <v>11.8</v>
      </c>
      <c r="H571" s="140">
        <v>11.8</v>
      </c>
      <c r="I571" s="12"/>
    </row>
    <row r="572" spans="1:9" ht="15" hidden="1">
      <c r="A572" s="120" t="s">
        <v>230</v>
      </c>
      <c r="B572" s="71"/>
      <c r="C572" s="579" t="s">
        <v>117</v>
      </c>
      <c r="D572" s="579" t="s">
        <v>117</v>
      </c>
      <c r="E572" s="579" t="s">
        <v>119</v>
      </c>
      <c r="F572" s="596"/>
      <c r="G572" s="140">
        <f>SUM(G573)</f>
        <v>0</v>
      </c>
      <c r="H572" s="140">
        <f>SUM(H573)</f>
        <v>0</v>
      </c>
      <c r="I572" s="12"/>
    </row>
    <row r="573" spans="1:9" ht="28.5" hidden="1">
      <c r="A573" s="120" t="s">
        <v>90</v>
      </c>
      <c r="B573" s="71"/>
      <c r="C573" s="579" t="s">
        <v>117</v>
      </c>
      <c r="D573" s="579" t="s">
        <v>117</v>
      </c>
      <c r="E573" s="579" t="s">
        <v>91</v>
      </c>
      <c r="F573" s="596"/>
      <c r="G573" s="140">
        <f>SUM(G574)</f>
        <v>0</v>
      </c>
      <c r="H573" s="140">
        <f>SUM(H574)</f>
        <v>0</v>
      </c>
      <c r="I573" s="12"/>
    </row>
    <row r="574" spans="1:9" ht="42.75" hidden="1">
      <c r="A574" s="120" t="s">
        <v>92</v>
      </c>
      <c r="B574" s="71"/>
      <c r="C574" s="579" t="s">
        <v>117</v>
      </c>
      <c r="D574" s="579" t="s">
        <v>117</v>
      </c>
      <c r="E574" s="579" t="s">
        <v>93</v>
      </c>
      <c r="F574" s="596"/>
      <c r="G574" s="140">
        <f>SUM(G575:G576)</f>
        <v>0</v>
      </c>
      <c r="H574" s="140">
        <f>SUM(H575:H576)</f>
        <v>0</v>
      </c>
      <c r="I574" s="12" t="e">
        <f>SUM(H574/G577*100)</f>
        <v>#DIV/0!</v>
      </c>
    </row>
    <row r="575" spans="1:9" ht="15" hidden="1">
      <c r="A575" s="114" t="s">
        <v>57</v>
      </c>
      <c r="B575" s="71"/>
      <c r="C575" s="579" t="s">
        <v>117</v>
      </c>
      <c r="D575" s="579" t="s">
        <v>117</v>
      </c>
      <c r="E575" s="579" t="s">
        <v>93</v>
      </c>
      <c r="F575" s="596"/>
      <c r="G575" s="140"/>
      <c r="H575" s="140"/>
      <c r="I575" s="12"/>
    </row>
    <row r="576" spans="1:9" ht="15" hidden="1">
      <c r="A576" s="114" t="s">
        <v>500</v>
      </c>
      <c r="B576" s="71"/>
      <c r="C576" s="579" t="s">
        <v>117</v>
      </c>
      <c r="D576" s="579" t="s">
        <v>117</v>
      </c>
      <c r="E576" s="579" t="s">
        <v>93</v>
      </c>
      <c r="F576" s="596" t="s">
        <v>120</v>
      </c>
      <c r="G576" s="140"/>
      <c r="H576" s="140"/>
      <c r="I576" s="12" t="e">
        <f aca="true" t="shared" si="28" ref="I576:I583">SUM(H576/G579*100)</f>
        <v>#DIV/0!</v>
      </c>
    </row>
    <row r="577" spans="1:9" ht="15" hidden="1">
      <c r="A577" s="114" t="s">
        <v>594</v>
      </c>
      <c r="B577" s="132"/>
      <c r="C577" s="579" t="s">
        <v>117</v>
      </c>
      <c r="D577" s="579" t="s">
        <v>117</v>
      </c>
      <c r="E577" s="579" t="s">
        <v>129</v>
      </c>
      <c r="F577" s="596"/>
      <c r="G577" s="140">
        <f>SUM(G578)</f>
        <v>0</v>
      </c>
      <c r="H577" s="140">
        <f>SUM(H578)</f>
        <v>0</v>
      </c>
      <c r="I577" s="12">
        <f t="shared" si="28"/>
        <v>0</v>
      </c>
    </row>
    <row r="578" spans="1:9" ht="15" hidden="1">
      <c r="A578" s="153" t="s">
        <v>614</v>
      </c>
      <c r="B578" s="132"/>
      <c r="C578" s="579" t="s">
        <v>117</v>
      </c>
      <c r="D578" s="579" t="s">
        <v>117</v>
      </c>
      <c r="E578" s="579" t="s">
        <v>97</v>
      </c>
      <c r="F578" s="596"/>
      <c r="G578" s="141">
        <f>SUM(G579)</f>
        <v>0</v>
      </c>
      <c r="H578" s="141">
        <f>SUM(H579)</f>
        <v>0</v>
      </c>
      <c r="I578" s="12">
        <f t="shared" si="28"/>
        <v>0</v>
      </c>
    </row>
    <row r="579" spans="1:9" ht="15" hidden="1">
      <c r="A579" s="114" t="s">
        <v>500</v>
      </c>
      <c r="B579" s="132"/>
      <c r="C579" s="579" t="s">
        <v>117</v>
      </c>
      <c r="D579" s="579" t="s">
        <v>117</v>
      </c>
      <c r="E579" s="579" t="s">
        <v>97</v>
      </c>
      <c r="F579" s="596" t="s">
        <v>120</v>
      </c>
      <c r="G579" s="141"/>
      <c r="H579" s="141"/>
      <c r="I579" s="12">
        <f t="shared" si="28"/>
        <v>0</v>
      </c>
    </row>
    <row r="580" spans="1:9" ht="15">
      <c r="A580" s="114" t="s">
        <v>231</v>
      </c>
      <c r="B580" s="71"/>
      <c r="C580" s="579" t="s">
        <v>117</v>
      </c>
      <c r="D580" s="579" t="s">
        <v>300</v>
      </c>
      <c r="E580" s="579"/>
      <c r="F580" s="596"/>
      <c r="G580" s="140">
        <f>G581</f>
        <v>23316.4</v>
      </c>
      <c r="H580" s="140">
        <f>H581</f>
        <v>23316.4</v>
      </c>
      <c r="I580" s="12">
        <f t="shared" si="28"/>
        <v>110.34006265557417</v>
      </c>
    </row>
    <row r="581" spans="1:9" ht="42.75">
      <c r="A581" s="120" t="s">
        <v>291</v>
      </c>
      <c r="B581" s="71"/>
      <c r="C581" s="579" t="s">
        <v>117</v>
      </c>
      <c r="D581" s="579" t="s">
        <v>300</v>
      </c>
      <c r="E581" s="579" t="s">
        <v>292</v>
      </c>
      <c r="F581" s="596"/>
      <c r="G581" s="140">
        <f>SUM(G582)</f>
        <v>23316.4</v>
      </c>
      <c r="H581" s="140">
        <f>SUM(H582)</f>
        <v>23316.4</v>
      </c>
      <c r="I581" s="12">
        <f t="shared" si="28"/>
        <v>1308.7337224966325</v>
      </c>
    </row>
    <row r="582" spans="1:9" ht="28.5">
      <c r="A582" s="114" t="s">
        <v>56</v>
      </c>
      <c r="B582" s="71"/>
      <c r="C582" s="579" t="s">
        <v>117</v>
      </c>
      <c r="D582" s="579" t="s">
        <v>300</v>
      </c>
      <c r="E582" s="579" t="s">
        <v>293</v>
      </c>
      <c r="F582" s="596"/>
      <c r="G582" s="140">
        <f>SUM(G583+G584+G585)</f>
        <v>23316.4</v>
      </c>
      <c r="H582" s="140">
        <f>SUM(H583+H584+H585)</f>
        <v>23316.4</v>
      </c>
      <c r="I582" s="12">
        <f t="shared" si="28"/>
        <v>5779.97025285077</v>
      </c>
    </row>
    <row r="583" spans="1:9" ht="28.5">
      <c r="A583" s="114" t="s">
        <v>495</v>
      </c>
      <c r="B583" s="71"/>
      <c r="C583" s="579" t="s">
        <v>117</v>
      </c>
      <c r="D583" s="579" t="s">
        <v>300</v>
      </c>
      <c r="E583" s="579" t="s">
        <v>293</v>
      </c>
      <c r="F583" s="596" t="s">
        <v>496</v>
      </c>
      <c r="G583" s="140">
        <f>21119.7+11.7</f>
        <v>21131.4</v>
      </c>
      <c r="H583" s="140">
        <f>21119.7+11.7</f>
        <v>21131.4</v>
      </c>
      <c r="I583" s="12">
        <f t="shared" si="28"/>
        <v>57.86380862669501</v>
      </c>
    </row>
    <row r="584" spans="1:9" ht="15">
      <c r="A584" s="114" t="s">
        <v>500</v>
      </c>
      <c r="B584" s="132"/>
      <c r="C584" s="579" t="s">
        <v>117</v>
      </c>
      <c r="D584" s="579" t="s">
        <v>300</v>
      </c>
      <c r="E584" s="579" t="s">
        <v>293</v>
      </c>
      <c r="F584" s="596" t="s">
        <v>120</v>
      </c>
      <c r="G584" s="140">
        <v>1781.6</v>
      </c>
      <c r="H584" s="140">
        <v>1781.6</v>
      </c>
      <c r="I584" s="12"/>
    </row>
    <row r="585" spans="1:9" ht="15">
      <c r="A585" s="114" t="s">
        <v>501</v>
      </c>
      <c r="B585" s="71"/>
      <c r="C585" s="579" t="s">
        <v>117</v>
      </c>
      <c r="D585" s="579" t="s">
        <v>300</v>
      </c>
      <c r="E585" s="579" t="s">
        <v>293</v>
      </c>
      <c r="F585" s="596" t="s">
        <v>176</v>
      </c>
      <c r="G585" s="140">
        <v>403.4</v>
      </c>
      <c r="H585" s="140">
        <v>403.4</v>
      </c>
      <c r="I585" s="12"/>
    </row>
    <row r="586" spans="1:9" ht="15">
      <c r="A586" s="114" t="s">
        <v>188</v>
      </c>
      <c r="B586" s="71"/>
      <c r="C586" s="579" t="s">
        <v>5</v>
      </c>
      <c r="D586" s="579"/>
      <c r="E586" s="579"/>
      <c r="F586" s="596"/>
      <c r="G586" s="140">
        <f>SUM(G591)+G587</f>
        <v>36519.2</v>
      </c>
      <c r="H586" s="140">
        <f>SUM(H591)+H587</f>
        <v>36519.2</v>
      </c>
      <c r="I586" s="12"/>
    </row>
    <row r="587" spans="1:9" ht="15">
      <c r="A587" s="120" t="s">
        <v>25</v>
      </c>
      <c r="B587" s="71"/>
      <c r="C587" s="579" t="s">
        <v>5</v>
      </c>
      <c r="D587" s="579" t="s">
        <v>106</v>
      </c>
      <c r="E587" s="579"/>
      <c r="F587" s="596"/>
      <c r="G587" s="140">
        <f aca="true" t="shared" si="29" ref="G587:H589">SUM(G588)</f>
        <v>9455.7</v>
      </c>
      <c r="H587" s="140">
        <f t="shared" si="29"/>
        <v>9455.7</v>
      </c>
      <c r="I587" s="12">
        <f>SUM(H587/G590*100)</f>
        <v>100</v>
      </c>
    </row>
    <row r="588" spans="1:9" ht="15">
      <c r="A588" s="116" t="s">
        <v>26</v>
      </c>
      <c r="B588" s="71"/>
      <c r="C588" s="579" t="s">
        <v>5</v>
      </c>
      <c r="D588" s="579" t="s">
        <v>106</v>
      </c>
      <c r="E588" s="579" t="s">
        <v>27</v>
      </c>
      <c r="F588" s="596"/>
      <c r="G588" s="140">
        <f t="shared" si="29"/>
        <v>9455.7</v>
      </c>
      <c r="H588" s="140">
        <f t="shared" si="29"/>
        <v>9455.7</v>
      </c>
      <c r="I588" s="12"/>
    </row>
    <row r="589" spans="1:9" ht="42.75">
      <c r="A589" s="116" t="s">
        <v>615</v>
      </c>
      <c r="B589" s="71"/>
      <c r="C589" s="579" t="s">
        <v>5</v>
      </c>
      <c r="D589" s="579" t="s">
        <v>106</v>
      </c>
      <c r="E589" s="579" t="s">
        <v>183</v>
      </c>
      <c r="F589" s="596"/>
      <c r="G589" s="140">
        <f t="shared" si="29"/>
        <v>9455.7</v>
      </c>
      <c r="H589" s="140">
        <f t="shared" si="29"/>
        <v>9455.7</v>
      </c>
      <c r="I589" s="12"/>
    </row>
    <row r="590" spans="1:9" ht="15">
      <c r="A590" s="116" t="s">
        <v>505</v>
      </c>
      <c r="B590" s="71"/>
      <c r="C590" s="579" t="s">
        <v>5</v>
      </c>
      <c r="D590" s="579" t="s">
        <v>106</v>
      </c>
      <c r="E590" s="579" t="s">
        <v>183</v>
      </c>
      <c r="F590" s="596" t="s">
        <v>506</v>
      </c>
      <c r="G590" s="140">
        <v>9455.7</v>
      </c>
      <c r="H590" s="140">
        <v>9455.7</v>
      </c>
      <c r="I590" s="12"/>
    </row>
    <row r="591" spans="1:9" ht="15">
      <c r="A591" s="120" t="s">
        <v>158</v>
      </c>
      <c r="B591" s="71"/>
      <c r="C591" s="579" t="s">
        <v>5</v>
      </c>
      <c r="D591" s="579" t="s">
        <v>122</v>
      </c>
      <c r="E591" s="579"/>
      <c r="F591" s="596"/>
      <c r="G591" s="140">
        <f aca="true" t="shared" si="30" ref="G591:H593">SUM(G592)</f>
        <v>27063.5</v>
      </c>
      <c r="H591" s="140">
        <f t="shared" si="30"/>
        <v>27063.5</v>
      </c>
      <c r="I591" s="12"/>
    </row>
    <row r="592" spans="1:9" ht="15">
      <c r="A592" s="116" t="s">
        <v>336</v>
      </c>
      <c r="B592" s="71"/>
      <c r="C592" s="579" t="s">
        <v>5</v>
      </c>
      <c r="D592" s="579" t="s">
        <v>122</v>
      </c>
      <c r="E592" s="579" t="s">
        <v>337</v>
      </c>
      <c r="F592" s="596"/>
      <c r="G592" s="140">
        <f t="shared" si="30"/>
        <v>27063.5</v>
      </c>
      <c r="H592" s="140">
        <f t="shared" si="30"/>
        <v>27063.5</v>
      </c>
      <c r="I592" s="12"/>
    </row>
    <row r="593" spans="1:9" ht="42.75">
      <c r="A593" s="116" t="s">
        <v>160</v>
      </c>
      <c r="B593" s="71"/>
      <c r="C593" s="579" t="s">
        <v>5</v>
      </c>
      <c r="D593" s="579" t="s">
        <v>122</v>
      </c>
      <c r="E593" s="579" t="s">
        <v>161</v>
      </c>
      <c r="F593" s="596"/>
      <c r="G593" s="140">
        <f t="shared" si="30"/>
        <v>27063.5</v>
      </c>
      <c r="H593" s="140">
        <f t="shared" si="30"/>
        <v>27063.5</v>
      </c>
      <c r="I593" s="12"/>
    </row>
    <row r="594" spans="1:9" ht="15">
      <c r="A594" s="116" t="s">
        <v>505</v>
      </c>
      <c r="B594" s="71"/>
      <c r="C594" s="579" t="s">
        <v>5</v>
      </c>
      <c r="D594" s="579" t="s">
        <v>122</v>
      </c>
      <c r="E594" s="579" t="s">
        <v>161</v>
      </c>
      <c r="F594" s="596" t="s">
        <v>506</v>
      </c>
      <c r="G594" s="140">
        <v>27063.5</v>
      </c>
      <c r="H594" s="140">
        <v>27063.5</v>
      </c>
      <c r="I594" s="12"/>
    </row>
    <row r="595" spans="1:9" ht="15">
      <c r="A595" s="112" t="s">
        <v>306</v>
      </c>
      <c r="B595" s="561" t="s">
        <v>265</v>
      </c>
      <c r="C595" s="524"/>
      <c r="D595" s="524"/>
      <c r="E595" s="524"/>
      <c r="F595" s="528"/>
      <c r="G595" s="564">
        <f>SUM(G596+G625)</f>
        <v>147698.1</v>
      </c>
      <c r="H595" s="565">
        <f>SUM(H596+H625)</f>
        <v>147698.1</v>
      </c>
      <c r="I595" s="12">
        <f>SUM(H595/G598*100)</f>
        <v>275.48831257973785</v>
      </c>
    </row>
    <row r="596" spans="1:9" ht="15">
      <c r="A596" s="109" t="s">
        <v>116</v>
      </c>
      <c r="B596" s="62"/>
      <c r="C596" s="524" t="s">
        <v>117</v>
      </c>
      <c r="D596" s="524"/>
      <c r="E596" s="524"/>
      <c r="F596" s="528"/>
      <c r="G596" s="552">
        <f>SUM(G597)+G612</f>
        <v>53613.2</v>
      </c>
      <c r="H596" s="553">
        <f>SUM(H597)+H612</f>
        <v>53613.2</v>
      </c>
      <c r="I596" s="12">
        <f>SUM(H596/G599*100)</f>
        <v>100</v>
      </c>
    </row>
    <row r="597" spans="1:9" ht="15">
      <c r="A597" s="109" t="s">
        <v>343</v>
      </c>
      <c r="B597" s="561"/>
      <c r="C597" s="524" t="s">
        <v>117</v>
      </c>
      <c r="D597" s="524" t="s">
        <v>462</v>
      </c>
      <c r="E597" s="524"/>
      <c r="F597" s="528"/>
      <c r="G597" s="552">
        <f>SUM(G598+G609)</f>
        <v>53613.2</v>
      </c>
      <c r="H597" s="553">
        <f>SUM(H598+H609)</f>
        <v>53613.2</v>
      </c>
      <c r="I597" s="12">
        <f>SUM(H597/G600*100)</f>
        <v>100</v>
      </c>
    </row>
    <row r="598" spans="1:9" ht="15">
      <c r="A598" s="109" t="s">
        <v>320</v>
      </c>
      <c r="B598" s="62"/>
      <c r="C598" s="524" t="s">
        <v>117</v>
      </c>
      <c r="D598" s="524" t="s">
        <v>462</v>
      </c>
      <c r="E598" s="524" t="s">
        <v>321</v>
      </c>
      <c r="F598" s="528"/>
      <c r="G598" s="552">
        <f>SUM(G599)</f>
        <v>53613.2</v>
      </c>
      <c r="H598" s="553">
        <f>SUM(H599)</f>
        <v>53613.2</v>
      </c>
      <c r="I598" s="12"/>
    </row>
    <row r="599" spans="1:9" ht="15">
      <c r="A599" s="109" t="s">
        <v>15</v>
      </c>
      <c r="B599" s="561"/>
      <c r="C599" s="524" t="s">
        <v>117</v>
      </c>
      <c r="D599" s="524" t="s">
        <v>462</v>
      </c>
      <c r="E599" s="524" t="s">
        <v>78</v>
      </c>
      <c r="F599" s="528"/>
      <c r="G599" s="552">
        <f>SUM(G600)+G607+G602</f>
        <v>53613.2</v>
      </c>
      <c r="H599" s="553">
        <f>SUM(H600)+H607+H602</f>
        <v>53613.2</v>
      </c>
      <c r="I599" s="12" t="e">
        <f>SUM(H599/G602*100)</f>
        <v>#DIV/0!</v>
      </c>
    </row>
    <row r="600" spans="1:9" ht="28.5">
      <c r="A600" s="109" t="s">
        <v>94</v>
      </c>
      <c r="B600" s="561"/>
      <c r="C600" s="524" t="s">
        <v>117</v>
      </c>
      <c r="D600" s="524" t="s">
        <v>462</v>
      </c>
      <c r="E600" s="524" t="s">
        <v>79</v>
      </c>
      <c r="F600" s="528"/>
      <c r="G600" s="552">
        <f>SUM(G601)</f>
        <v>53613.2</v>
      </c>
      <c r="H600" s="553">
        <f>SUM(H601)</f>
        <v>53613.2</v>
      </c>
      <c r="I600" s="12"/>
    </row>
    <row r="601" spans="1:9" ht="28.5">
      <c r="A601" s="114" t="s">
        <v>517</v>
      </c>
      <c r="B601" s="131"/>
      <c r="C601" s="524" t="s">
        <v>117</v>
      </c>
      <c r="D601" s="524" t="s">
        <v>462</v>
      </c>
      <c r="E601" s="524" t="s">
        <v>79</v>
      </c>
      <c r="F601" s="557" t="s">
        <v>513</v>
      </c>
      <c r="G601" s="552">
        <v>53613.2</v>
      </c>
      <c r="H601" s="553">
        <v>53613.2</v>
      </c>
      <c r="I601" s="12"/>
    </row>
    <row r="602" spans="1:9" ht="15" hidden="1">
      <c r="A602" s="114" t="s">
        <v>157</v>
      </c>
      <c r="B602" s="131"/>
      <c r="C602" s="524" t="s">
        <v>117</v>
      </c>
      <c r="D602" s="524" t="s">
        <v>462</v>
      </c>
      <c r="E602" s="524" t="s">
        <v>151</v>
      </c>
      <c r="F602" s="557"/>
      <c r="G602" s="552"/>
      <c r="H602" s="553"/>
      <c r="I602" s="12"/>
    </row>
    <row r="603" spans="1:9" ht="28.5" hidden="1">
      <c r="A603" s="114" t="s">
        <v>463</v>
      </c>
      <c r="B603" s="131"/>
      <c r="C603" s="524" t="s">
        <v>117</v>
      </c>
      <c r="D603" s="524" t="s">
        <v>462</v>
      </c>
      <c r="E603" s="524" t="s">
        <v>464</v>
      </c>
      <c r="F603" s="557"/>
      <c r="G603" s="552">
        <f>SUM(G604)</f>
        <v>0</v>
      </c>
      <c r="H603" s="553">
        <f>SUM(H604)</f>
        <v>0</v>
      </c>
      <c r="I603" s="12"/>
    </row>
    <row r="604" spans="1:9" ht="15" hidden="1">
      <c r="A604" s="114" t="s">
        <v>157</v>
      </c>
      <c r="B604" s="131"/>
      <c r="C604" s="524" t="s">
        <v>117</v>
      </c>
      <c r="D604" s="524" t="s">
        <v>462</v>
      </c>
      <c r="E604" s="524" t="s">
        <v>464</v>
      </c>
      <c r="F604" s="557" t="s">
        <v>83</v>
      </c>
      <c r="G604" s="552"/>
      <c r="H604" s="553"/>
      <c r="I604" s="12"/>
    </row>
    <row r="605" spans="1:9" ht="15" hidden="1">
      <c r="A605" s="114" t="s">
        <v>154</v>
      </c>
      <c r="B605" s="131"/>
      <c r="C605" s="524" t="s">
        <v>117</v>
      </c>
      <c r="D605" s="524" t="s">
        <v>462</v>
      </c>
      <c r="E605" s="524" t="s">
        <v>220</v>
      </c>
      <c r="F605" s="557"/>
      <c r="G605" s="552">
        <f>SUM(G606)</f>
        <v>0</v>
      </c>
      <c r="H605" s="553">
        <f>SUM(H606)</f>
        <v>0</v>
      </c>
      <c r="I605" s="12" t="e">
        <f aca="true" t="shared" si="31" ref="I605:I618">SUM(H605/G608*100)</f>
        <v>#DIV/0!</v>
      </c>
    </row>
    <row r="606" spans="1:9" ht="15" hidden="1">
      <c r="A606" s="114" t="s">
        <v>157</v>
      </c>
      <c r="B606" s="131"/>
      <c r="C606" s="524" t="s">
        <v>117</v>
      </c>
      <c r="D606" s="524" t="s">
        <v>462</v>
      </c>
      <c r="E606" s="524" t="s">
        <v>220</v>
      </c>
      <c r="F606" s="557" t="s">
        <v>83</v>
      </c>
      <c r="G606" s="552"/>
      <c r="H606" s="553"/>
      <c r="I606" s="12" t="e">
        <f t="shared" si="31"/>
        <v>#DIV/0!</v>
      </c>
    </row>
    <row r="607" spans="1:9" ht="42.75" hidden="1">
      <c r="A607" s="114" t="s">
        <v>62</v>
      </c>
      <c r="B607" s="131"/>
      <c r="C607" s="524" t="s">
        <v>117</v>
      </c>
      <c r="D607" s="524" t="s">
        <v>462</v>
      </c>
      <c r="E607" s="524" t="s">
        <v>80</v>
      </c>
      <c r="F607" s="557"/>
      <c r="G607" s="552">
        <f>SUM(G608)</f>
        <v>0</v>
      </c>
      <c r="H607" s="553">
        <f>SUM(H608)</f>
        <v>0</v>
      </c>
      <c r="I607" s="12" t="e">
        <f t="shared" si="31"/>
        <v>#DIV/0!</v>
      </c>
    </row>
    <row r="608" spans="1:9" ht="15" hidden="1">
      <c r="A608" s="114" t="s">
        <v>157</v>
      </c>
      <c r="B608" s="131"/>
      <c r="C608" s="524" t="s">
        <v>117</v>
      </c>
      <c r="D608" s="524" t="s">
        <v>462</v>
      </c>
      <c r="E608" s="524" t="s">
        <v>80</v>
      </c>
      <c r="F608" s="557" t="s">
        <v>83</v>
      </c>
      <c r="G608" s="552"/>
      <c r="H608" s="553"/>
      <c r="I608" s="12" t="e">
        <f t="shared" si="31"/>
        <v>#DIV/0!</v>
      </c>
    </row>
    <row r="609" spans="1:9" ht="15" hidden="1">
      <c r="A609" s="114" t="s">
        <v>128</v>
      </c>
      <c r="B609" s="561"/>
      <c r="C609" s="524" t="s">
        <v>117</v>
      </c>
      <c r="D609" s="524" t="s">
        <v>462</v>
      </c>
      <c r="E609" s="524" t="s">
        <v>129</v>
      </c>
      <c r="F609" s="528"/>
      <c r="G609" s="552">
        <f>SUM(G610)+G613</f>
        <v>0</v>
      </c>
      <c r="H609" s="553">
        <f>SUM(H610)+H613</f>
        <v>0</v>
      </c>
      <c r="I609" s="12" t="e">
        <f t="shared" si="31"/>
        <v>#DIV/0!</v>
      </c>
    </row>
    <row r="610" spans="1:9" ht="42.75" hidden="1">
      <c r="A610" s="109" t="s">
        <v>208</v>
      </c>
      <c r="B610" s="561"/>
      <c r="C610" s="524" t="s">
        <v>117</v>
      </c>
      <c r="D610" s="524" t="s">
        <v>462</v>
      </c>
      <c r="E610" s="524" t="s">
        <v>298</v>
      </c>
      <c r="F610" s="528"/>
      <c r="G610" s="552">
        <f>SUM(G611)</f>
        <v>0</v>
      </c>
      <c r="H610" s="553">
        <f>SUM(H611)</f>
        <v>0</v>
      </c>
      <c r="I610" s="12" t="e">
        <f t="shared" si="31"/>
        <v>#DIV/0!</v>
      </c>
    </row>
    <row r="611" spans="1:9" ht="15" hidden="1">
      <c r="A611" s="114" t="s">
        <v>143</v>
      </c>
      <c r="B611" s="561"/>
      <c r="C611" s="524" t="s">
        <v>117</v>
      </c>
      <c r="D611" s="524" t="s">
        <v>462</v>
      </c>
      <c r="E611" s="524" t="s">
        <v>298</v>
      </c>
      <c r="F611" s="528" t="s">
        <v>83</v>
      </c>
      <c r="G611" s="552"/>
      <c r="H611" s="553"/>
      <c r="I611" s="12" t="e">
        <f t="shared" si="31"/>
        <v>#DIV/0!</v>
      </c>
    </row>
    <row r="612" spans="1:9" ht="15" hidden="1">
      <c r="A612" s="109" t="s">
        <v>118</v>
      </c>
      <c r="B612" s="62"/>
      <c r="C612" s="526" t="s">
        <v>117</v>
      </c>
      <c r="D612" s="526" t="s">
        <v>117</v>
      </c>
      <c r="E612" s="524"/>
      <c r="F612" s="557"/>
      <c r="G612" s="552">
        <f>SUM(G618+G613+G616+G622)</f>
        <v>0</v>
      </c>
      <c r="H612" s="553">
        <f>SUM(H618+H613+H616+H622)</f>
        <v>0</v>
      </c>
      <c r="I612" s="12" t="e">
        <f t="shared" si="31"/>
        <v>#DIV/0!</v>
      </c>
    </row>
    <row r="613" spans="1:9" ht="15" hidden="1">
      <c r="A613" s="113" t="s">
        <v>225</v>
      </c>
      <c r="B613" s="529"/>
      <c r="C613" s="524" t="s">
        <v>117</v>
      </c>
      <c r="D613" s="524" t="s">
        <v>117</v>
      </c>
      <c r="E613" s="524" t="s">
        <v>226</v>
      </c>
      <c r="F613" s="528"/>
      <c r="G613" s="552">
        <f>SUM(G614)</f>
        <v>0</v>
      </c>
      <c r="H613" s="553">
        <f>SUM(H614)</f>
        <v>0</v>
      </c>
      <c r="I613" s="12" t="e">
        <f t="shared" si="31"/>
        <v>#DIV/0!</v>
      </c>
    </row>
    <row r="614" spans="1:9" ht="15" hidden="1">
      <c r="A614" s="113" t="s">
        <v>227</v>
      </c>
      <c r="B614" s="529"/>
      <c r="C614" s="524" t="s">
        <v>117</v>
      </c>
      <c r="D614" s="524" t="s">
        <v>117</v>
      </c>
      <c r="E614" s="524" t="s">
        <v>228</v>
      </c>
      <c r="F614" s="528"/>
      <c r="G614" s="552">
        <f>SUM(G615)</f>
        <v>0</v>
      </c>
      <c r="H614" s="553">
        <f>SUM(H615)</f>
        <v>0</v>
      </c>
      <c r="I614" s="12" t="e">
        <f t="shared" si="31"/>
        <v>#DIV/0!</v>
      </c>
    </row>
    <row r="615" spans="1:9" ht="15" hidden="1">
      <c r="A615" s="114" t="s">
        <v>246</v>
      </c>
      <c r="B615" s="529"/>
      <c r="C615" s="524" t="s">
        <v>117</v>
      </c>
      <c r="D615" s="524" t="s">
        <v>117</v>
      </c>
      <c r="E615" s="524" t="s">
        <v>228</v>
      </c>
      <c r="F615" s="528" t="s">
        <v>247</v>
      </c>
      <c r="G615" s="552"/>
      <c r="H615" s="553"/>
      <c r="I615" s="12" t="e">
        <f t="shared" si="31"/>
        <v>#DIV/0!</v>
      </c>
    </row>
    <row r="616" spans="1:9" ht="15" hidden="1">
      <c r="A616" s="114" t="s">
        <v>387</v>
      </c>
      <c r="B616" s="529"/>
      <c r="C616" s="524" t="s">
        <v>117</v>
      </c>
      <c r="D616" s="524" t="s">
        <v>117</v>
      </c>
      <c r="E616" s="524" t="s">
        <v>388</v>
      </c>
      <c r="F616" s="528"/>
      <c r="G616" s="552">
        <f>SUM(G617)</f>
        <v>0</v>
      </c>
      <c r="H616" s="553">
        <f>SUM(H617)</f>
        <v>0</v>
      </c>
      <c r="I616" s="12" t="e">
        <f t="shared" si="31"/>
        <v>#DIV/0!</v>
      </c>
    </row>
    <row r="617" spans="1:9" ht="15" hidden="1">
      <c r="A617" s="114" t="s">
        <v>223</v>
      </c>
      <c r="B617" s="529"/>
      <c r="C617" s="524" t="s">
        <v>117</v>
      </c>
      <c r="D617" s="524" t="s">
        <v>117</v>
      </c>
      <c r="E617" s="524" t="s">
        <v>388</v>
      </c>
      <c r="F617" s="528" t="s">
        <v>224</v>
      </c>
      <c r="G617" s="552"/>
      <c r="H617" s="553"/>
      <c r="I617" s="12" t="e">
        <f t="shared" si="31"/>
        <v>#DIV/0!</v>
      </c>
    </row>
    <row r="618" spans="1:9" ht="15" hidden="1">
      <c r="A618" s="110" t="s">
        <v>230</v>
      </c>
      <c r="B618" s="62"/>
      <c r="C618" s="526" t="s">
        <v>117</v>
      </c>
      <c r="D618" s="526" t="s">
        <v>117</v>
      </c>
      <c r="E618" s="526" t="s">
        <v>119</v>
      </c>
      <c r="F618" s="527"/>
      <c r="G618" s="552">
        <f>SUM(G619)</f>
        <v>0</v>
      </c>
      <c r="H618" s="553">
        <f>SUM(H619)</f>
        <v>0</v>
      </c>
      <c r="I618" s="12" t="e">
        <f t="shared" si="31"/>
        <v>#DIV/0!</v>
      </c>
    </row>
    <row r="619" spans="1:9" ht="42.75" hidden="1">
      <c r="A619" s="110" t="s">
        <v>92</v>
      </c>
      <c r="B619" s="62"/>
      <c r="C619" s="526" t="s">
        <v>117</v>
      </c>
      <c r="D619" s="526" t="s">
        <v>117</v>
      </c>
      <c r="E619" s="526" t="s">
        <v>93</v>
      </c>
      <c r="F619" s="527"/>
      <c r="G619" s="552">
        <f>SUM(G620)+G621</f>
        <v>0</v>
      </c>
      <c r="H619" s="553">
        <f>SUM(H620)+H621</f>
        <v>0</v>
      </c>
      <c r="I619" s="12"/>
    </row>
    <row r="620" spans="1:9" ht="15" hidden="1">
      <c r="A620" s="114" t="s">
        <v>246</v>
      </c>
      <c r="B620" s="62"/>
      <c r="C620" s="526" t="s">
        <v>117</v>
      </c>
      <c r="D620" s="526" t="s">
        <v>117</v>
      </c>
      <c r="E620" s="526" t="s">
        <v>93</v>
      </c>
      <c r="F620" s="527" t="s">
        <v>247</v>
      </c>
      <c r="G620" s="552"/>
      <c r="H620" s="553"/>
      <c r="I620" s="12" t="e">
        <f>SUM(H620/G623*100)</f>
        <v>#DIV/0!</v>
      </c>
    </row>
    <row r="621" spans="1:9" ht="15" hidden="1">
      <c r="A621" s="114" t="s">
        <v>143</v>
      </c>
      <c r="B621" s="62"/>
      <c r="C621" s="526" t="s">
        <v>117</v>
      </c>
      <c r="D621" s="526" t="s">
        <v>117</v>
      </c>
      <c r="E621" s="526" t="s">
        <v>93</v>
      </c>
      <c r="F621" s="527" t="s">
        <v>83</v>
      </c>
      <c r="G621" s="552"/>
      <c r="H621" s="553"/>
      <c r="I621" s="12"/>
    </row>
    <row r="622" spans="1:9" ht="15" hidden="1">
      <c r="A622" s="114" t="s">
        <v>128</v>
      </c>
      <c r="B622" s="132"/>
      <c r="C622" s="524" t="s">
        <v>117</v>
      </c>
      <c r="D622" s="524" t="s">
        <v>117</v>
      </c>
      <c r="E622" s="524" t="s">
        <v>129</v>
      </c>
      <c r="F622" s="557"/>
      <c r="G622" s="552">
        <f>SUM(G623)</f>
        <v>0</v>
      </c>
      <c r="H622" s="553">
        <f>SUM(H623)</f>
        <v>0</v>
      </c>
      <c r="I622" s="12"/>
    </row>
    <row r="623" spans="1:9" ht="42.75" hidden="1">
      <c r="A623" s="117" t="s">
        <v>369</v>
      </c>
      <c r="B623" s="132"/>
      <c r="C623" s="524" t="s">
        <v>117</v>
      </c>
      <c r="D623" s="524" t="s">
        <v>117</v>
      </c>
      <c r="E623" s="524" t="s">
        <v>368</v>
      </c>
      <c r="F623" s="557"/>
      <c r="G623" s="552">
        <f>SUM(G624)</f>
        <v>0</v>
      </c>
      <c r="H623" s="553">
        <f>SUM(H624)</f>
        <v>0</v>
      </c>
      <c r="I623" s="12">
        <f>SUM(H623/G626*100)</f>
        <v>0</v>
      </c>
    </row>
    <row r="624" spans="1:9" ht="15" hidden="1">
      <c r="A624" s="114" t="s">
        <v>223</v>
      </c>
      <c r="B624" s="132"/>
      <c r="C624" s="524" t="s">
        <v>117</v>
      </c>
      <c r="D624" s="524" t="s">
        <v>117</v>
      </c>
      <c r="E624" s="524" t="s">
        <v>368</v>
      </c>
      <c r="F624" s="557" t="s">
        <v>224</v>
      </c>
      <c r="G624" s="552"/>
      <c r="H624" s="553"/>
      <c r="I624" s="12">
        <f>SUM(H624/G627*100)</f>
        <v>0</v>
      </c>
    </row>
    <row r="625" spans="1:9" ht="15">
      <c r="A625" s="109" t="s">
        <v>328</v>
      </c>
      <c r="B625" s="62"/>
      <c r="C625" s="524" t="s">
        <v>124</v>
      </c>
      <c r="D625" s="524"/>
      <c r="E625" s="524"/>
      <c r="F625" s="528"/>
      <c r="G625" s="552">
        <f>SUM(G626+G674)</f>
        <v>94084.90000000001</v>
      </c>
      <c r="H625" s="553">
        <f>SUM(H626+H674)</f>
        <v>94084.90000000001</v>
      </c>
      <c r="I625" s="12">
        <f>SUM(H625/G628*100)</f>
        <v>299.11617807422203</v>
      </c>
    </row>
    <row r="626" spans="1:9" ht="15">
      <c r="A626" s="109" t="s">
        <v>367</v>
      </c>
      <c r="B626" s="62"/>
      <c r="C626" s="524" t="s">
        <v>124</v>
      </c>
      <c r="D626" s="524" t="s">
        <v>460</v>
      </c>
      <c r="E626" s="524"/>
      <c r="F626" s="528"/>
      <c r="G626" s="552">
        <f>SUM(G627+G650+G659)</f>
        <v>87290.40000000001</v>
      </c>
      <c r="H626" s="553">
        <f>SUM(H627+H650+H659)</f>
        <v>87290.40000000001</v>
      </c>
      <c r="I626" s="12">
        <f>SUM(H626/G629*100)</f>
        <v>277.514997949406</v>
      </c>
    </row>
    <row r="627" spans="1:9" ht="28.5">
      <c r="A627" s="113" t="s">
        <v>1061</v>
      </c>
      <c r="B627" s="62"/>
      <c r="C627" s="524" t="s">
        <v>124</v>
      </c>
      <c r="D627" s="524" t="s">
        <v>460</v>
      </c>
      <c r="E627" s="524" t="s">
        <v>136</v>
      </c>
      <c r="F627" s="528"/>
      <c r="G627" s="552">
        <f>SUM(G628+G631)</f>
        <v>49129.5</v>
      </c>
      <c r="H627" s="553">
        <f>SUM(H628+H631)</f>
        <v>49129.5</v>
      </c>
      <c r="I627" s="12"/>
    </row>
    <row r="628" spans="1:9" ht="15">
      <c r="A628" s="109" t="s">
        <v>15</v>
      </c>
      <c r="B628" s="561"/>
      <c r="C628" s="524" t="s">
        <v>124</v>
      </c>
      <c r="D628" s="524" t="s">
        <v>460</v>
      </c>
      <c r="E628" s="524" t="s">
        <v>204</v>
      </c>
      <c r="F628" s="528"/>
      <c r="G628" s="552">
        <f>SUM(G629)</f>
        <v>31454.3</v>
      </c>
      <c r="H628" s="553">
        <f>SUM(H629)</f>
        <v>31454.3</v>
      </c>
      <c r="I628" s="12">
        <f>SUM(H628/G631*100)</f>
        <v>177.95725083733143</v>
      </c>
    </row>
    <row r="629" spans="1:9" ht="28.5">
      <c r="A629" s="109" t="s">
        <v>94</v>
      </c>
      <c r="B629" s="561"/>
      <c r="C629" s="524" t="s">
        <v>124</v>
      </c>
      <c r="D629" s="524" t="s">
        <v>460</v>
      </c>
      <c r="E629" s="524" t="s">
        <v>206</v>
      </c>
      <c r="F629" s="528"/>
      <c r="G629" s="552">
        <f>SUM(G630)</f>
        <v>31454.3</v>
      </c>
      <c r="H629" s="553">
        <f>SUM(H630)</f>
        <v>31454.3</v>
      </c>
      <c r="I629" s="12"/>
    </row>
    <row r="630" spans="1:9" ht="28.5">
      <c r="A630" s="114" t="s">
        <v>517</v>
      </c>
      <c r="B630" s="131"/>
      <c r="C630" s="524" t="s">
        <v>124</v>
      </c>
      <c r="D630" s="524" t="s">
        <v>460</v>
      </c>
      <c r="E630" s="524" t="s">
        <v>206</v>
      </c>
      <c r="F630" s="557" t="s">
        <v>513</v>
      </c>
      <c r="G630" s="552">
        <v>31454.3</v>
      </c>
      <c r="H630" s="553">
        <v>31454.3</v>
      </c>
      <c r="I630" s="12">
        <f>SUM(H630/G633*100)</f>
        <v>1021.7411076823128</v>
      </c>
    </row>
    <row r="631" spans="1:9" ht="28.5">
      <c r="A631" s="109" t="s">
        <v>56</v>
      </c>
      <c r="B631" s="131"/>
      <c r="C631" s="524" t="s">
        <v>124</v>
      </c>
      <c r="D631" s="524" t="s">
        <v>460</v>
      </c>
      <c r="E631" s="524" t="s">
        <v>137</v>
      </c>
      <c r="F631" s="557"/>
      <c r="G631" s="552">
        <f>SUM(G632:G634)</f>
        <v>17675.199999999997</v>
      </c>
      <c r="H631" s="553">
        <f>SUM(H632:H634)</f>
        <v>17675.199999999997</v>
      </c>
      <c r="I631" s="12"/>
    </row>
    <row r="632" spans="1:9" ht="28.5">
      <c r="A632" s="109" t="s">
        <v>495</v>
      </c>
      <c r="B632" s="62"/>
      <c r="C632" s="524" t="s">
        <v>124</v>
      </c>
      <c r="D632" s="524" t="s">
        <v>460</v>
      </c>
      <c r="E632" s="524" t="s">
        <v>137</v>
      </c>
      <c r="F632" s="527" t="s">
        <v>496</v>
      </c>
      <c r="G632" s="552">
        <v>14345.1</v>
      </c>
      <c r="H632" s="553">
        <v>14345.1</v>
      </c>
      <c r="I632" s="12"/>
    </row>
    <row r="633" spans="1:9" ht="15">
      <c r="A633" s="109" t="s">
        <v>500</v>
      </c>
      <c r="B633" s="62"/>
      <c r="C633" s="524" t="s">
        <v>124</v>
      </c>
      <c r="D633" s="524" t="s">
        <v>460</v>
      </c>
      <c r="E633" s="524" t="s">
        <v>137</v>
      </c>
      <c r="F633" s="527" t="s">
        <v>120</v>
      </c>
      <c r="G633" s="555">
        <v>3078.5</v>
      </c>
      <c r="H633" s="556">
        <v>3078.5</v>
      </c>
      <c r="I633" s="12"/>
    </row>
    <row r="634" spans="1:9" ht="15">
      <c r="A634" s="109" t="s">
        <v>501</v>
      </c>
      <c r="B634" s="62"/>
      <c r="C634" s="524" t="s">
        <v>124</v>
      </c>
      <c r="D634" s="524" t="s">
        <v>460</v>
      </c>
      <c r="E634" s="524" t="s">
        <v>137</v>
      </c>
      <c r="F634" s="528" t="s">
        <v>176</v>
      </c>
      <c r="G634" s="552">
        <v>251.6</v>
      </c>
      <c r="H634" s="553">
        <v>251.6</v>
      </c>
      <c r="I634" s="12"/>
    </row>
    <row r="635" spans="1:9" ht="15" hidden="1">
      <c r="A635" s="109" t="s">
        <v>95</v>
      </c>
      <c r="B635" s="561"/>
      <c r="C635" s="524" t="s">
        <v>124</v>
      </c>
      <c r="D635" s="524" t="s">
        <v>460</v>
      </c>
      <c r="E635" s="524" t="s">
        <v>204</v>
      </c>
      <c r="F635" s="528"/>
      <c r="G635" s="552">
        <f>SUM(G636+G638)</f>
        <v>0</v>
      </c>
      <c r="H635" s="553">
        <f>SUM(H636+H638)</f>
        <v>0</v>
      </c>
      <c r="I635" s="12"/>
    </row>
    <row r="636" spans="1:9" ht="28.5" hidden="1">
      <c r="A636" s="109" t="s">
        <v>205</v>
      </c>
      <c r="B636" s="561"/>
      <c r="C636" s="524" t="s">
        <v>124</v>
      </c>
      <c r="D636" s="524" t="s">
        <v>460</v>
      </c>
      <c r="E636" s="524" t="s">
        <v>206</v>
      </c>
      <c r="F636" s="528"/>
      <c r="G636" s="552">
        <f>SUM(G637)</f>
        <v>0</v>
      </c>
      <c r="H636" s="553">
        <f>SUM(H637)</f>
        <v>0</v>
      </c>
      <c r="I636" s="12"/>
    </row>
    <row r="637" spans="1:9" ht="42.75" hidden="1">
      <c r="A637" s="114" t="s">
        <v>156</v>
      </c>
      <c r="B637" s="131"/>
      <c r="C637" s="524" t="s">
        <v>124</v>
      </c>
      <c r="D637" s="524" t="s">
        <v>460</v>
      </c>
      <c r="E637" s="524" t="s">
        <v>206</v>
      </c>
      <c r="F637" s="557" t="s">
        <v>58</v>
      </c>
      <c r="G637" s="552"/>
      <c r="H637" s="553"/>
      <c r="I637" s="12"/>
    </row>
    <row r="638" spans="1:9" ht="15" hidden="1">
      <c r="A638" s="109" t="s">
        <v>157</v>
      </c>
      <c r="B638" s="62"/>
      <c r="C638" s="524" t="s">
        <v>124</v>
      </c>
      <c r="D638" s="524" t="s">
        <v>460</v>
      </c>
      <c r="E638" s="526" t="s">
        <v>415</v>
      </c>
      <c r="F638" s="557"/>
      <c r="G638" s="552">
        <f>SUM(G641+G643)+G639</f>
        <v>0</v>
      </c>
      <c r="H638" s="553">
        <f>SUM(H641+H643)+H639</f>
        <v>0</v>
      </c>
      <c r="I638" s="12" t="e">
        <f aca="true" t="shared" si="32" ref="I638:I644">SUM(H638/G641*100)</f>
        <v>#DIV/0!</v>
      </c>
    </row>
    <row r="639" spans="1:9" ht="28.5" hidden="1">
      <c r="A639" s="109" t="s">
        <v>463</v>
      </c>
      <c r="B639" s="62"/>
      <c r="C639" s="524" t="s">
        <v>124</v>
      </c>
      <c r="D639" s="524" t="s">
        <v>460</v>
      </c>
      <c r="E639" s="526" t="s">
        <v>416</v>
      </c>
      <c r="F639" s="557"/>
      <c r="G639" s="552">
        <f>SUM(G640)</f>
        <v>0</v>
      </c>
      <c r="H639" s="553">
        <f>SUM(H640)</f>
        <v>0</v>
      </c>
      <c r="I639" s="12" t="e">
        <f t="shared" si="32"/>
        <v>#DIV/0!</v>
      </c>
    </row>
    <row r="640" spans="1:9" ht="15" hidden="1">
      <c r="A640" s="109" t="s">
        <v>157</v>
      </c>
      <c r="B640" s="62"/>
      <c r="C640" s="524" t="s">
        <v>124</v>
      </c>
      <c r="D640" s="524" t="s">
        <v>460</v>
      </c>
      <c r="E640" s="526" t="s">
        <v>416</v>
      </c>
      <c r="F640" s="557" t="s">
        <v>83</v>
      </c>
      <c r="G640" s="552"/>
      <c r="H640" s="553"/>
      <c r="I640" s="12" t="e">
        <f t="shared" si="32"/>
        <v>#DIV/0!</v>
      </c>
    </row>
    <row r="641" spans="1:9" ht="28.5" hidden="1">
      <c r="A641" s="114" t="s">
        <v>414</v>
      </c>
      <c r="B641" s="131"/>
      <c r="C641" s="524" t="s">
        <v>124</v>
      </c>
      <c r="D641" s="524" t="s">
        <v>460</v>
      </c>
      <c r="E641" s="524" t="s">
        <v>413</v>
      </c>
      <c r="F641" s="557"/>
      <c r="G641" s="552">
        <f>SUM(G642)</f>
        <v>0</v>
      </c>
      <c r="H641" s="553">
        <f>SUM(H642)</f>
        <v>0</v>
      </c>
      <c r="I641" s="12" t="e">
        <f t="shared" si="32"/>
        <v>#DIV/0!</v>
      </c>
    </row>
    <row r="642" spans="1:9" ht="15" hidden="1">
      <c r="A642" s="114" t="s">
        <v>143</v>
      </c>
      <c r="B642" s="131"/>
      <c r="C642" s="524" t="s">
        <v>124</v>
      </c>
      <c r="D642" s="524" t="s">
        <v>460</v>
      </c>
      <c r="E642" s="524" t="s">
        <v>413</v>
      </c>
      <c r="F642" s="557" t="s">
        <v>83</v>
      </c>
      <c r="G642" s="552"/>
      <c r="H642" s="553"/>
      <c r="I642" s="12" t="e">
        <f t="shared" si="32"/>
        <v>#DIV/0!</v>
      </c>
    </row>
    <row r="643" spans="1:9" ht="15" hidden="1">
      <c r="A643" s="114" t="s">
        <v>154</v>
      </c>
      <c r="B643" s="131"/>
      <c r="C643" s="524" t="s">
        <v>124</v>
      </c>
      <c r="D643" s="524" t="s">
        <v>460</v>
      </c>
      <c r="E643" s="524" t="s">
        <v>216</v>
      </c>
      <c r="F643" s="557"/>
      <c r="G643" s="552">
        <f>SUM(G644)</f>
        <v>0</v>
      </c>
      <c r="H643" s="553">
        <f>SUM(H644)</f>
        <v>0</v>
      </c>
      <c r="I643" s="12" t="e">
        <f t="shared" si="32"/>
        <v>#DIV/0!</v>
      </c>
    </row>
    <row r="644" spans="1:9" ht="15" hidden="1">
      <c r="A644" s="114" t="s">
        <v>143</v>
      </c>
      <c r="B644" s="131"/>
      <c r="C644" s="524" t="s">
        <v>124</v>
      </c>
      <c r="D644" s="524" t="s">
        <v>460</v>
      </c>
      <c r="E644" s="524" t="s">
        <v>216</v>
      </c>
      <c r="F644" s="557" t="s">
        <v>83</v>
      </c>
      <c r="G644" s="552"/>
      <c r="H644" s="553"/>
      <c r="I644" s="12" t="e">
        <f t="shared" si="32"/>
        <v>#DIV/0!</v>
      </c>
    </row>
    <row r="645" spans="1:9" ht="28.5" hidden="1">
      <c r="A645" s="109" t="s">
        <v>56</v>
      </c>
      <c r="B645" s="529"/>
      <c r="C645" s="524" t="s">
        <v>124</v>
      </c>
      <c r="D645" s="524" t="s">
        <v>460</v>
      </c>
      <c r="E645" s="524" t="s">
        <v>137</v>
      </c>
      <c r="F645" s="528"/>
      <c r="G645" s="552">
        <f>SUM(G646:G648)</f>
        <v>0</v>
      </c>
      <c r="H645" s="553">
        <f>SUM(H646:H648)</f>
        <v>0</v>
      </c>
      <c r="I645" s="12"/>
    </row>
    <row r="646" spans="1:9" ht="15" hidden="1">
      <c r="A646" s="114" t="s">
        <v>57</v>
      </c>
      <c r="B646" s="529"/>
      <c r="C646" s="524" t="s">
        <v>124</v>
      </c>
      <c r="D646" s="524" t="s">
        <v>460</v>
      </c>
      <c r="E646" s="524" t="s">
        <v>137</v>
      </c>
      <c r="F646" s="528" t="s">
        <v>247</v>
      </c>
      <c r="G646" s="552"/>
      <c r="H646" s="553"/>
      <c r="I646" s="12" t="e">
        <f>SUM(H646/G649*100)</f>
        <v>#DIV/0!</v>
      </c>
    </row>
    <row r="647" spans="1:9" ht="28.5" hidden="1">
      <c r="A647" s="114" t="s">
        <v>370</v>
      </c>
      <c r="B647" s="131"/>
      <c r="C647" s="524" t="s">
        <v>124</v>
      </c>
      <c r="D647" s="524" t="s">
        <v>460</v>
      </c>
      <c r="E647" s="524" t="s">
        <v>137</v>
      </c>
      <c r="F647" s="557" t="s">
        <v>371</v>
      </c>
      <c r="G647" s="552"/>
      <c r="H647" s="553"/>
      <c r="I647" s="12">
        <f>SUM(H647/G650*100)</f>
        <v>0</v>
      </c>
    </row>
    <row r="648" spans="1:9" ht="42.75" hidden="1">
      <c r="A648" s="109" t="s">
        <v>258</v>
      </c>
      <c r="B648" s="62"/>
      <c r="C648" s="524" t="s">
        <v>124</v>
      </c>
      <c r="D648" s="524" t="s">
        <v>460</v>
      </c>
      <c r="E648" s="524" t="s">
        <v>372</v>
      </c>
      <c r="F648" s="557"/>
      <c r="G648" s="552">
        <f>SUM(G649)</f>
        <v>0</v>
      </c>
      <c r="H648" s="553">
        <f>SUM(H649)</f>
        <v>0</v>
      </c>
      <c r="I648" s="12">
        <f>SUM(H648/G651*100)</f>
        <v>0</v>
      </c>
    </row>
    <row r="649" spans="1:9" ht="15" hidden="1">
      <c r="A649" s="114" t="s">
        <v>246</v>
      </c>
      <c r="B649" s="131"/>
      <c r="C649" s="524" t="s">
        <v>124</v>
      </c>
      <c r="D649" s="524" t="s">
        <v>460</v>
      </c>
      <c r="E649" s="524" t="s">
        <v>372</v>
      </c>
      <c r="F649" s="557" t="s">
        <v>247</v>
      </c>
      <c r="G649" s="552"/>
      <c r="H649" s="553"/>
      <c r="I649" s="12"/>
    </row>
    <row r="650" spans="1:9" ht="15">
      <c r="A650" s="109" t="s">
        <v>373</v>
      </c>
      <c r="B650" s="62"/>
      <c r="C650" s="524" t="s">
        <v>124</v>
      </c>
      <c r="D650" s="524" t="s">
        <v>460</v>
      </c>
      <c r="E650" s="524" t="s">
        <v>374</v>
      </c>
      <c r="F650" s="528"/>
      <c r="G650" s="552">
        <f>SUM(G651)</f>
        <v>4702.3</v>
      </c>
      <c r="H650" s="553">
        <f>SUM(H651)</f>
        <v>4702.3</v>
      </c>
      <c r="I650" s="12"/>
    </row>
    <row r="651" spans="1:9" ht="15">
      <c r="A651" s="109" t="s">
        <v>95</v>
      </c>
      <c r="B651" s="561"/>
      <c r="C651" s="524" t="s">
        <v>124</v>
      </c>
      <c r="D651" s="524" t="s">
        <v>460</v>
      </c>
      <c r="E651" s="524" t="s">
        <v>81</v>
      </c>
      <c r="F651" s="528"/>
      <c r="G651" s="552">
        <f>SUM(G652)+G654</f>
        <v>4702.3</v>
      </c>
      <c r="H651" s="553">
        <f>SUM(H652)+H654</f>
        <v>4702.3</v>
      </c>
      <c r="I651" s="12"/>
    </row>
    <row r="652" spans="1:9" ht="28.5">
      <c r="A652" s="109" t="s">
        <v>205</v>
      </c>
      <c r="B652" s="561"/>
      <c r="C652" s="524" t="s">
        <v>124</v>
      </c>
      <c r="D652" s="524" t="s">
        <v>460</v>
      </c>
      <c r="E652" s="524" t="s">
        <v>82</v>
      </c>
      <c r="F652" s="528"/>
      <c r="G652" s="552">
        <f>SUM(G653)</f>
        <v>4702.3</v>
      </c>
      <c r="H652" s="553">
        <f>SUM(H653)</f>
        <v>4702.3</v>
      </c>
      <c r="I652" s="12"/>
    </row>
    <row r="653" spans="1:9" ht="28.5">
      <c r="A653" s="114" t="s">
        <v>517</v>
      </c>
      <c r="B653" s="131"/>
      <c r="C653" s="524" t="s">
        <v>124</v>
      </c>
      <c r="D653" s="524" t="s">
        <v>460</v>
      </c>
      <c r="E653" s="524" t="s">
        <v>82</v>
      </c>
      <c r="F653" s="557" t="s">
        <v>513</v>
      </c>
      <c r="G653" s="552">
        <v>4702.3</v>
      </c>
      <c r="H653" s="553">
        <v>4702.3</v>
      </c>
      <c r="I653" s="12"/>
    </row>
    <row r="654" spans="1:9" ht="15" hidden="1">
      <c r="A654" s="109" t="s">
        <v>157</v>
      </c>
      <c r="B654" s="131"/>
      <c r="C654" s="524" t="s">
        <v>124</v>
      </c>
      <c r="D654" s="524" t="s">
        <v>460</v>
      </c>
      <c r="E654" s="524" t="s">
        <v>217</v>
      </c>
      <c r="F654" s="557"/>
      <c r="G654" s="552">
        <f>SUM(G657+G655)</f>
        <v>0</v>
      </c>
      <c r="H654" s="553">
        <f>SUM(H657+H655)</f>
        <v>0</v>
      </c>
      <c r="I654" s="12" t="e">
        <f aca="true" t="shared" si="33" ref="I654:I667">SUM(H654/G657*100)</f>
        <v>#DIV/0!</v>
      </c>
    </row>
    <row r="655" spans="1:9" ht="28.5" hidden="1">
      <c r="A655" s="109" t="s">
        <v>463</v>
      </c>
      <c r="B655" s="131"/>
      <c r="C655" s="524" t="s">
        <v>124</v>
      </c>
      <c r="D655" s="524" t="s">
        <v>460</v>
      </c>
      <c r="E655" s="524" t="s">
        <v>465</v>
      </c>
      <c r="F655" s="557"/>
      <c r="G655" s="552">
        <f>SUM(G656)</f>
        <v>0</v>
      </c>
      <c r="H655" s="553">
        <f>SUM(H656)</f>
        <v>0</v>
      </c>
      <c r="I655" s="12" t="e">
        <f t="shared" si="33"/>
        <v>#DIV/0!</v>
      </c>
    </row>
    <row r="656" spans="1:9" ht="15" hidden="1">
      <c r="A656" s="109" t="s">
        <v>157</v>
      </c>
      <c r="B656" s="131"/>
      <c r="C656" s="524" t="s">
        <v>124</v>
      </c>
      <c r="D656" s="524" t="s">
        <v>460</v>
      </c>
      <c r="E656" s="524" t="s">
        <v>465</v>
      </c>
      <c r="F656" s="557" t="s">
        <v>83</v>
      </c>
      <c r="G656" s="552"/>
      <c r="H656" s="553"/>
      <c r="I656" s="12">
        <f t="shared" si="33"/>
        <v>0</v>
      </c>
    </row>
    <row r="657" spans="1:9" ht="28.5" hidden="1">
      <c r="A657" s="114" t="s">
        <v>414</v>
      </c>
      <c r="B657" s="131"/>
      <c r="C657" s="524" t="s">
        <v>124</v>
      </c>
      <c r="D657" s="524" t="s">
        <v>460</v>
      </c>
      <c r="E657" s="524" t="s">
        <v>153</v>
      </c>
      <c r="F657" s="557"/>
      <c r="G657" s="552">
        <f>SUM(G658)</f>
        <v>0</v>
      </c>
      <c r="H657" s="553">
        <f>SUM(H658)</f>
        <v>0</v>
      </c>
      <c r="I657" s="12">
        <f t="shared" si="33"/>
        <v>0</v>
      </c>
    </row>
    <row r="658" spans="1:9" ht="15" hidden="1">
      <c r="A658" s="114" t="s">
        <v>143</v>
      </c>
      <c r="B658" s="131"/>
      <c r="C658" s="524" t="s">
        <v>124</v>
      </c>
      <c r="D658" s="524" t="s">
        <v>460</v>
      </c>
      <c r="E658" s="524" t="s">
        <v>153</v>
      </c>
      <c r="F658" s="557" t="s">
        <v>83</v>
      </c>
      <c r="G658" s="552"/>
      <c r="H658" s="553"/>
      <c r="I658" s="12">
        <f t="shared" si="33"/>
        <v>0</v>
      </c>
    </row>
    <row r="659" spans="1:9" ht="15">
      <c r="A659" s="109" t="s">
        <v>375</v>
      </c>
      <c r="B659" s="62"/>
      <c r="C659" s="524" t="s">
        <v>124</v>
      </c>
      <c r="D659" s="524" t="s">
        <v>460</v>
      </c>
      <c r="E659" s="524" t="s">
        <v>376</v>
      </c>
      <c r="F659" s="528"/>
      <c r="G659" s="552">
        <f>SUM(G660)</f>
        <v>33458.600000000006</v>
      </c>
      <c r="H659" s="553">
        <f>SUM(H660)</f>
        <v>33458.600000000006</v>
      </c>
      <c r="I659" s="12">
        <f t="shared" si="33"/>
        <v>1268.5725118483415</v>
      </c>
    </row>
    <row r="660" spans="1:9" ht="28.5">
      <c r="A660" s="109" t="s">
        <v>56</v>
      </c>
      <c r="B660" s="561"/>
      <c r="C660" s="524" t="s">
        <v>124</v>
      </c>
      <c r="D660" s="524" t="s">
        <v>460</v>
      </c>
      <c r="E660" s="524" t="s">
        <v>377</v>
      </c>
      <c r="F660" s="528"/>
      <c r="G660" s="552">
        <f>SUM(G661:G663)</f>
        <v>33458.600000000006</v>
      </c>
      <c r="H660" s="553">
        <f>SUM(H661:H663)</f>
        <v>33458.600000000006</v>
      </c>
      <c r="I660" s="12">
        <f t="shared" si="33"/>
        <v>6025.319647037639</v>
      </c>
    </row>
    <row r="661" spans="1:9" ht="28.5">
      <c r="A661" s="109" t="s">
        <v>495</v>
      </c>
      <c r="B661" s="62"/>
      <c r="C661" s="524" t="s">
        <v>124</v>
      </c>
      <c r="D661" s="524" t="s">
        <v>460</v>
      </c>
      <c r="E661" s="524" t="s">
        <v>377</v>
      </c>
      <c r="F661" s="527" t="s">
        <v>496</v>
      </c>
      <c r="G661" s="552">
        <v>30265.8</v>
      </c>
      <c r="H661" s="553">
        <v>30265.8</v>
      </c>
      <c r="I661" s="12" t="e">
        <f t="shared" si="33"/>
        <v>#DIV/0!</v>
      </c>
    </row>
    <row r="662" spans="1:9" ht="15">
      <c r="A662" s="109" t="s">
        <v>500</v>
      </c>
      <c r="B662" s="62"/>
      <c r="C662" s="524" t="s">
        <v>124</v>
      </c>
      <c r="D662" s="524" t="s">
        <v>460</v>
      </c>
      <c r="E662" s="524" t="s">
        <v>377</v>
      </c>
      <c r="F662" s="527" t="s">
        <v>120</v>
      </c>
      <c r="G662" s="555">
        <v>2637.5</v>
      </c>
      <c r="H662" s="556">
        <v>2637.5</v>
      </c>
      <c r="I662" s="12" t="e">
        <f t="shared" si="33"/>
        <v>#DIV/0!</v>
      </c>
    </row>
    <row r="663" spans="1:9" ht="15">
      <c r="A663" s="109" t="s">
        <v>501</v>
      </c>
      <c r="B663" s="62"/>
      <c r="C663" s="524" t="s">
        <v>124</v>
      </c>
      <c r="D663" s="524" t="s">
        <v>460</v>
      </c>
      <c r="E663" s="524" t="s">
        <v>377</v>
      </c>
      <c r="F663" s="528" t="s">
        <v>176</v>
      </c>
      <c r="G663" s="552">
        <v>555.3</v>
      </c>
      <c r="H663" s="553">
        <v>555.3</v>
      </c>
      <c r="I663" s="12" t="e">
        <f t="shared" si="33"/>
        <v>#DIV/0!</v>
      </c>
    </row>
    <row r="664" spans="1:9" ht="42.75" hidden="1">
      <c r="A664" s="114" t="s">
        <v>62</v>
      </c>
      <c r="B664" s="131"/>
      <c r="C664" s="524" t="s">
        <v>124</v>
      </c>
      <c r="D664" s="524" t="s">
        <v>460</v>
      </c>
      <c r="E664" s="524" t="s">
        <v>378</v>
      </c>
      <c r="F664" s="557"/>
      <c r="G664" s="552">
        <f>SUM(G665)</f>
        <v>0</v>
      </c>
      <c r="H664" s="553">
        <f>SUM(H665)</f>
        <v>0</v>
      </c>
      <c r="I664" s="12" t="e">
        <f t="shared" si="33"/>
        <v>#DIV/0!</v>
      </c>
    </row>
    <row r="665" spans="1:9" ht="15" hidden="1">
      <c r="A665" s="114" t="s">
        <v>57</v>
      </c>
      <c r="B665" s="131"/>
      <c r="C665" s="524" t="s">
        <v>124</v>
      </c>
      <c r="D665" s="524" t="s">
        <v>460</v>
      </c>
      <c r="E665" s="524" t="s">
        <v>378</v>
      </c>
      <c r="F665" s="557" t="s">
        <v>247</v>
      </c>
      <c r="G665" s="552"/>
      <c r="H665" s="553"/>
      <c r="I665" s="12" t="e">
        <f t="shared" si="33"/>
        <v>#DIV/0!</v>
      </c>
    </row>
    <row r="666" spans="1:9" ht="28.5" hidden="1">
      <c r="A666" s="114" t="s">
        <v>379</v>
      </c>
      <c r="B666" s="131"/>
      <c r="C666" s="524" t="s">
        <v>124</v>
      </c>
      <c r="D666" s="524" t="s">
        <v>460</v>
      </c>
      <c r="E666" s="524" t="s">
        <v>380</v>
      </c>
      <c r="F666" s="557"/>
      <c r="G666" s="552">
        <f>SUM(G669+G667)</f>
        <v>0</v>
      </c>
      <c r="H666" s="553">
        <f>SUM(H669+H667)</f>
        <v>0</v>
      </c>
      <c r="I666" s="12" t="e">
        <f t="shared" si="33"/>
        <v>#DIV/0!</v>
      </c>
    </row>
    <row r="667" spans="1:9" ht="15" hidden="1">
      <c r="A667" s="114" t="s">
        <v>246</v>
      </c>
      <c r="B667" s="131"/>
      <c r="C667" s="524" t="s">
        <v>124</v>
      </c>
      <c r="D667" s="524" t="s">
        <v>460</v>
      </c>
      <c r="E667" s="524" t="s">
        <v>380</v>
      </c>
      <c r="F667" s="557" t="s">
        <v>247</v>
      </c>
      <c r="G667" s="552"/>
      <c r="H667" s="553"/>
      <c r="I667" s="12" t="e">
        <f t="shared" si="33"/>
        <v>#DIV/0!</v>
      </c>
    </row>
    <row r="668" spans="1:9" ht="42.75" hidden="1">
      <c r="A668" s="114" t="s">
        <v>381</v>
      </c>
      <c r="B668" s="131"/>
      <c r="C668" s="524" t="s">
        <v>124</v>
      </c>
      <c r="D668" s="524" t="s">
        <v>460</v>
      </c>
      <c r="E668" s="524" t="s">
        <v>382</v>
      </c>
      <c r="F668" s="557"/>
      <c r="G668" s="552">
        <f>SUM(G669)</f>
        <v>0</v>
      </c>
      <c r="H668" s="553">
        <f>SUM(H669)</f>
        <v>0</v>
      </c>
      <c r="I668" s="12"/>
    </row>
    <row r="669" spans="1:9" ht="15" hidden="1">
      <c r="A669" s="114" t="s">
        <v>246</v>
      </c>
      <c r="B669" s="131"/>
      <c r="C669" s="524" t="s">
        <v>124</v>
      </c>
      <c r="D669" s="524" t="s">
        <v>460</v>
      </c>
      <c r="E669" s="524" t="s">
        <v>382</v>
      </c>
      <c r="F669" s="557" t="s">
        <v>247</v>
      </c>
      <c r="G669" s="552"/>
      <c r="H669" s="553"/>
      <c r="I669" s="12" t="e">
        <f aca="true" t="shared" si="34" ref="I669:I677">SUM(H669/G672*100)</f>
        <v>#DIV/0!</v>
      </c>
    </row>
    <row r="670" spans="1:9" ht="15" hidden="1">
      <c r="A670" s="114" t="s">
        <v>128</v>
      </c>
      <c r="B670" s="561"/>
      <c r="C670" s="524" t="s">
        <v>124</v>
      </c>
      <c r="D670" s="524" t="s">
        <v>460</v>
      </c>
      <c r="E670" s="524" t="s">
        <v>129</v>
      </c>
      <c r="F670" s="528"/>
      <c r="G670" s="552">
        <f>SUM(G671)</f>
        <v>0</v>
      </c>
      <c r="H670" s="553">
        <f>SUM(H671)</f>
        <v>0</v>
      </c>
      <c r="I670" s="12" t="e">
        <f t="shared" si="34"/>
        <v>#DIV/0!</v>
      </c>
    </row>
    <row r="671" spans="1:9" ht="42.75" hidden="1">
      <c r="A671" s="109" t="s">
        <v>208</v>
      </c>
      <c r="B671" s="561"/>
      <c r="C671" s="524" t="s">
        <v>124</v>
      </c>
      <c r="D671" s="524" t="s">
        <v>460</v>
      </c>
      <c r="E671" s="524" t="s">
        <v>298</v>
      </c>
      <c r="F671" s="528"/>
      <c r="G671" s="552">
        <f>SUM(G672:G673)</f>
        <v>0</v>
      </c>
      <c r="H671" s="553">
        <f>SUM(H672:H673)</f>
        <v>0</v>
      </c>
      <c r="I671" s="12">
        <f t="shared" si="34"/>
        <v>0</v>
      </c>
    </row>
    <row r="672" spans="1:9" ht="15" hidden="1">
      <c r="A672" s="114" t="s">
        <v>57</v>
      </c>
      <c r="B672" s="561"/>
      <c r="C672" s="524" t="s">
        <v>124</v>
      </c>
      <c r="D672" s="524" t="s">
        <v>460</v>
      </c>
      <c r="E672" s="524" t="s">
        <v>298</v>
      </c>
      <c r="F672" s="528" t="s">
        <v>247</v>
      </c>
      <c r="G672" s="552"/>
      <c r="H672" s="553"/>
      <c r="I672" s="12" t="e">
        <f t="shared" si="34"/>
        <v>#DIV/0!</v>
      </c>
    </row>
    <row r="673" spans="1:9" ht="15" hidden="1">
      <c r="A673" s="114" t="s">
        <v>143</v>
      </c>
      <c r="B673" s="561"/>
      <c r="C673" s="524" t="s">
        <v>124</v>
      </c>
      <c r="D673" s="524" t="s">
        <v>460</v>
      </c>
      <c r="E673" s="524" t="s">
        <v>298</v>
      </c>
      <c r="F673" s="528" t="s">
        <v>83</v>
      </c>
      <c r="G673" s="552"/>
      <c r="H673" s="553"/>
      <c r="I673" s="12" t="e">
        <f t="shared" si="34"/>
        <v>#DIV/0!</v>
      </c>
    </row>
    <row r="674" spans="1:9" ht="15">
      <c r="A674" s="110" t="s">
        <v>235</v>
      </c>
      <c r="B674" s="561"/>
      <c r="C674" s="524" t="s">
        <v>124</v>
      </c>
      <c r="D674" s="524" t="s">
        <v>122</v>
      </c>
      <c r="E674" s="524"/>
      <c r="F674" s="528"/>
      <c r="G674" s="552">
        <f>SUM(G678+G683+G676)</f>
        <v>6794.499999999999</v>
      </c>
      <c r="H674" s="553">
        <f>SUM(H678+H683+H676)</f>
        <v>6794.499999999999</v>
      </c>
      <c r="I674" s="12" t="e">
        <f t="shared" si="34"/>
        <v>#DIV/0!</v>
      </c>
    </row>
    <row r="675" spans="1:9" ht="15" hidden="1">
      <c r="A675" s="109" t="s">
        <v>407</v>
      </c>
      <c r="B675" s="561"/>
      <c r="C675" s="524" t="s">
        <v>124</v>
      </c>
      <c r="D675" s="524" t="s">
        <v>122</v>
      </c>
      <c r="E675" s="524" t="s">
        <v>409</v>
      </c>
      <c r="F675" s="528"/>
      <c r="G675" s="552">
        <f>SUM(G676)</f>
        <v>0</v>
      </c>
      <c r="H675" s="553">
        <f>SUM(H676)</f>
        <v>0</v>
      </c>
      <c r="I675" s="12">
        <f t="shared" si="34"/>
        <v>0</v>
      </c>
    </row>
    <row r="676" spans="1:9" ht="15" hidden="1">
      <c r="A676" s="109" t="s">
        <v>387</v>
      </c>
      <c r="B676" s="561"/>
      <c r="C676" s="524" t="s">
        <v>124</v>
      </c>
      <c r="D676" s="524" t="s">
        <v>122</v>
      </c>
      <c r="E676" s="524" t="s">
        <v>388</v>
      </c>
      <c r="F676" s="528"/>
      <c r="G676" s="552">
        <f>SUM(G677)</f>
        <v>0</v>
      </c>
      <c r="H676" s="553">
        <f>SUM(H677)</f>
        <v>0</v>
      </c>
      <c r="I676" s="12">
        <f t="shared" si="34"/>
        <v>0</v>
      </c>
    </row>
    <row r="677" spans="1:9" ht="28.5" hidden="1">
      <c r="A677" s="109" t="s">
        <v>308</v>
      </c>
      <c r="B677" s="561"/>
      <c r="C677" s="524" t="s">
        <v>124</v>
      </c>
      <c r="D677" s="524" t="s">
        <v>122</v>
      </c>
      <c r="E677" s="524" t="s">
        <v>388</v>
      </c>
      <c r="F677" s="528" t="s">
        <v>309</v>
      </c>
      <c r="G677" s="552"/>
      <c r="H677" s="553"/>
      <c r="I677" s="12">
        <f t="shared" si="34"/>
        <v>0</v>
      </c>
    </row>
    <row r="678" spans="1:9" ht="42.75">
      <c r="A678" s="110" t="s">
        <v>291</v>
      </c>
      <c r="B678" s="561"/>
      <c r="C678" s="524" t="s">
        <v>124</v>
      </c>
      <c r="D678" s="524" t="s">
        <v>122</v>
      </c>
      <c r="E678" s="524" t="s">
        <v>292</v>
      </c>
      <c r="F678" s="528"/>
      <c r="G678" s="552">
        <f>SUM(G679)</f>
        <v>6794.499999999999</v>
      </c>
      <c r="H678" s="553">
        <f>SUM(H679)</f>
        <v>6794.499999999999</v>
      </c>
      <c r="I678" s="12"/>
    </row>
    <row r="679" spans="1:9" ht="28.5">
      <c r="A679" s="109" t="s">
        <v>56</v>
      </c>
      <c r="B679" s="561"/>
      <c r="C679" s="524" t="s">
        <v>124</v>
      </c>
      <c r="D679" s="524" t="s">
        <v>122</v>
      </c>
      <c r="E679" s="524" t="s">
        <v>293</v>
      </c>
      <c r="F679" s="528"/>
      <c r="G679" s="552">
        <f>SUM(G680:G682)</f>
        <v>6794.499999999999</v>
      </c>
      <c r="H679" s="553">
        <f>SUM(H680:H682)</f>
        <v>6794.499999999999</v>
      </c>
      <c r="I679" s="12"/>
    </row>
    <row r="680" spans="1:9" ht="28.5">
      <c r="A680" s="109" t="s">
        <v>495</v>
      </c>
      <c r="B680" s="131"/>
      <c r="C680" s="524" t="s">
        <v>124</v>
      </c>
      <c r="D680" s="524" t="s">
        <v>122</v>
      </c>
      <c r="E680" s="524" t="s">
        <v>293</v>
      </c>
      <c r="F680" s="557" t="s">
        <v>496</v>
      </c>
      <c r="G680" s="552">
        <v>6337.7</v>
      </c>
      <c r="H680" s="553">
        <v>6337.7</v>
      </c>
      <c r="I680" s="12"/>
    </row>
    <row r="681" spans="1:9" ht="15">
      <c r="A681" s="109" t="s">
        <v>500</v>
      </c>
      <c r="B681" s="131"/>
      <c r="C681" s="524" t="s">
        <v>124</v>
      </c>
      <c r="D681" s="524" t="s">
        <v>122</v>
      </c>
      <c r="E681" s="524" t="s">
        <v>293</v>
      </c>
      <c r="F681" s="557" t="s">
        <v>120</v>
      </c>
      <c r="G681" s="552">
        <v>452.4</v>
      </c>
      <c r="H681" s="553">
        <v>452.4</v>
      </c>
      <c r="I681" s="12"/>
    </row>
    <row r="682" spans="1:9" ht="15">
      <c r="A682" s="109" t="s">
        <v>501</v>
      </c>
      <c r="B682" s="131"/>
      <c r="C682" s="524" t="s">
        <v>124</v>
      </c>
      <c r="D682" s="524" t="s">
        <v>122</v>
      </c>
      <c r="E682" s="524" t="s">
        <v>293</v>
      </c>
      <c r="F682" s="557" t="s">
        <v>176</v>
      </c>
      <c r="G682" s="552">
        <v>4.4</v>
      </c>
      <c r="H682" s="553">
        <v>4.4</v>
      </c>
      <c r="I682" s="12"/>
    </row>
    <row r="683" spans="1:9" ht="15" hidden="1">
      <c r="A683" s="114" t="s">
        <v>128</v>
      </c>
      <c r="B683" s="561"/>
      <c r="C683" s="524" t="s">
        <v>124</v>
      </c>
      <c r="D683" s="524" t="s">
        <v>122</v>
      </c>
      <c r="E683" s="524" t="s">
        <v>129</v>
      </c>
      <c r="F683" s="528"/>
      <c r="G683" s="552">
        <f>SUM(G686)+G689+G684</f>
        <v>0</v>
      </c>
      <c r="H683" s="553">
        <f>SUM(H686)+H689+H684</f>
        <v>0</v>
      </c>
      <c r="I683" s="12"/>
    </row>
    <row r="684" spans="1:9" ht="42.75" hidden="1">
      <c r="A684" s="109" t="s">
        <v>208</v>
      </c>
      <c r="B684" s="561"/>
      <c r="C684" s="524" t="s">
        <v>124</v>
      </c>
      <c r="D684" s="524" t="s">
        <v>122</v>
      </c>
      <c r="E684" s="524" t="s">
        <v>298</v>
      </c>
      <c r="F684" s="528"/>
      <c r="G684" s="552">
        <f>SUM(G685)</f>
        <v>0</v>
      </c>
      <c r="H684" s="553">
        <f>SUM(H685)</f>
        <v>0</v>
      </c>
      <c r="I684" s="12"/>
    </row>
    <row r="685" spans="1:9" ht="15" hidden="1">
      <c r="A685" s="114" t="s">
        <v>57</v>
      </c>
      <c r="B685" s="561"/>
      <c r="C685" s="524" t="s">
        <v>124</v>
      </c>
      <c r="D685" s="524" t="s">
        <v>122</v>
      </c>
      <c r="E685" s="524" t="s">
        <v>298</v>
      </c>
      <c r="F685" s="528" t="s">
        <v>247</v>
      </c>
      <c r="G685" s="552"/>
      <c r="H685" s="553"/>
      <c r="I685" s="12"/>
    </row>
    <row r="686" spans="1:9" ht="28.5" hidden="1">
      <c r="A686" s="109" t="s">
        <v>483</v>
      </c>
      <c r="B686" s="561"/>
      <c r="C686" s="524" t="s">
        <v>124</v>
      </c>
      <c r="D686" s="524" t="s">
        <v>122</v>
      </c>
      <c r="E686" s="524" t="s">
        <v>310</v>
      </c>
      <c r="F686" s="528"/>
      <c r="G686" s="552">
        <f>SUM(G687:G688)</f>
        <v>0</v>
      </c>
      <c r="H686" s="553">
        <f>SUM(H687:H688)</f>
        <v>0</v>
      </c>
      <c r="I686" s="12"/>
    </row>
    <row r="687" spans="1:9" ht="42.75" hidden="1">
      <c r="A687" s="114" t="s">
        <v>96</v>
      </c>
      <c r="B687" s="561"/>
      <c r="C687" s="524" t="s">
        <v>124</v>
      </c>
      <c r="D687" s="524" t="s">
        <v>122</v>
      </c>
      <c r="E687" s="524" t="s">
        <v>310</v>
      </c>
      <c r="F687" s="528" t="s">
        <v>309</v>
      </c>
      <c r="G687" s="552"/>
      <c r="H687" s="553"/>
      <c r="I687" s="12"/>
    </row>
    <row r="688" spans="1:9" ht="15" hidden="1">
      <c r="A688" s="109" t="s">
        <v>157</v>
      </c>
      <c r="B688" s="561"/>
      <c r="C688" s="524" t="s">
        <v>124</v>
      </c>
      <c r="D688" s="524" t="s">
        <v>122</v>
      </c>
      <c r="E688" s="524" t="s">
        <v>310</v>
      </c>
      <c r="F688" s="528" t="s">
        <v>83</v>
      </c>
      <c r="G688" s="598"/>
      <c r="H688" s="599"/>
      <c r="I688" s="12"/>
    </row>
    <row r="689" spans="1:9" ht="15.75" hidden="1">
      <c r="A689" s="109" t="s">
        <v>516</v>
      </c>
      <c r="B689" s="561"/>
      <c r="C689" s="524" t="s">
        <v>124</v>
      </c>
      <c r="D689" s="524" t="s">
        <v>122</v>
      </c>
      <c r="E689" s="524" t="s">
        <v>311</v>
      </c>
      <c r="F689" s="528"/>
      <c r="G689" s="598">
        <f>SUM(G690:G691)</f>
        <v>0</v>
      </c>
      <c r="H689" s="599">
        <f>SUM(H690:H691)</f>
        <v>0</v>
      </c>
      <c r="I689" s="15">
        <f aca="true" t="shared" si="35" ref="I689:I704">SUM(H689/G692*100)</f>
        <v>0</v>
      </c>
    </row>
    <row r="690" spans="1:9" ht="28.5" hidden="1">
      <c r="A690" s="109" t="s">
        <v>495</v>
      </c>
      <c r="B690" s="561"/>
      <c r="C690" s="524" t="s">
        <v>124</v>
      </c>
      <c r="D690" s="524" t="s">
        <v>122</v>
      </c>
      <c r="E690" s="524" t="s">
        <v>311</v>
      </c>
      <c r="F690" s="528" t="s">
        <v>496</v>
      </c>
      <c r="G690" s="598"/>
      <c r="H690" s="599"/>
      <c r="I690" s="12" t="e">
        <f t="shared" si="35"/>
        <v>#DIV/0!</v>
      </c>
    </row>
    <row r="691" spans="1:9" ht="15" hidden="1">
      <c r="A691" s="109" t="s">
        <v>500</v>
      </c>
      <c r="B691" s="561"/>
      <c r="C691" s="524" t="s">
        <v>124</v>
      </c>
      <c r="D691" s="524" t="s">
        <v>122</v>
      </c>
      <c r="E691" s="524" t="s">
        <v>311</v>
      </c>
      <c r="F691" s="528" t="s">
        <v>120</v>
      </c>
      <c r="G691" s="598"/>
      <c r="H691" s="599"/>
      <c r="I691" s="12" t="e">
        <f t="shared" si="35"/>
        <v>#DIV/0!</v>
      </c>
    </row>
    <row r="692" spans="1:9" ht="15">
      <c r="A692" s="112" t="s">
        <v>307</v>
      </c>
      <c r="B692" s="561" t="s">
        <v>266</v>
      </c>
      <c r="C692" s="524"/>
      <c r="D692" s="524"/>
      <c r="E692" s="524"/>
      <c r="F692" s="528"/>
      <c r="G692" s="564">
        <f>SUM(G693+G701)</f>
        <v>38934.2</v>
      </c>
      <c r="H692" s="565">
        <f>SUM(H693+H701)</f>
        <v>38934.2</v>
      </c>
      <c r="I692" s="12" t="e">
        <f t="shared" si="35"/>
        <v>#DIV/0!</v>
      </c>
    </row>
    <row r="693" spans="1:9" ht="15" hidden="1">
      <c r="A693" s="109" t="s">
        <v>116</v>
      </c>
      <c r="B693" s="561"/>
      <c r="C693" s="524" t="s">
        <v>117</v>
      </c>
      <c r="D693" s="524"/>
      <c r="E693" s="524"/>
      <c r="F693" s="528"/>
      <c r="G693" s="552">
        <f>SUM(G694)+G698</f>
        <v>0</v>
      </c>
      <c r="H693" s="553">
        <f>SUM(H694)+H698</f>
        <v>0</v>
      </c>
      <c r="I693" s="12" t="e">
        <f t="shared" si="35"/>
        <v>#DIV/0!</v>
      </c>
    </row>
    <row r="694" spans="1:9" ht="15" hidden="1">
      <c r="A694" s="109" t="s">
        <v>118</v>
      </c>
      <c r="B694" s="62"/>
      <c r="C694" s="526" t="s">
        <v>117</v>
      </c>
      <c r="D694" s="526" t="s">
        <v>117</v>
      </c>
      <c r="E694" s="526"/>
      <c r="F694" s="527"/>
      <c r="G694" s="552">
        <f aca="true" t="shared" si="36" ref="G694:H696">SUM(G695)</f>
        <v>0</v>
      </c>
      <c r="H694" s="553">
        <f t="shared" si="36"/>
        <v>0</v>
      </c>
      <c r="I694" s="12" t="e">
        <f t="shared" si="35"/>
        <v>#DIV/0!</v>
      </c>
    </row>
    <row r="695" spans="1:9" ht="15" hidden="1">
      <c r="A695" s="110" t="s">
        <v>230</v>
      </c>
      <c r="B695" s="62"/>
      <c r="C695" s="526" t="s">
        <v>117</v>
      </c>
      <c r="D695" s="526" t="s">
        <v>117</v>
      </c>
      <c r="E695" s="526" t="s">
        <v>119</v>
      </c>
      <c r="F695" s="527"/>
      <c r="G695" s="552">
        <f t="shared" si="36"/>
        <v>0</v>
      </c>
      <c r="H695" s="553">
        <f t="shared" si="36"/>
        <v>0</v>
      </c>
      <c r="I695" s="12" t="e">
        <f t="shared" si="35"/>
        <v>#DIV/0!</v>
      </c>
    </row>
    <row r="696" spans="1:9" ht="15" hidden="1">
      <c r="A696" s="110" t="s">
        <v>1062</v>
      </c>
      <c r="B696" s="62"/>
      <c r="C696" s="526" t="s">
        <v>117</v>
      </c>
      <c r="D696" s="526" t="s">
        <v>117</v>
      </c>
      <c r="E696" s="526" t="s">
        <v>1063</v>
      </c>
      <c r="F696" s="527"/>
      <c r="G696" s="552">
        <f t="shared" si="36"/>
        <v>0</v>
      </c>
      <c r="H696" s="553">
        <f t="shared" si="36"/>
        <v>0</v>
      </c>
      <c r="I696" s="12" t="e">
        <f t="shared" si="35"/>
        <v>#DIV/0!</v>
      </c>
    </row>
    <row r="697" spans="1:9" ht="15" hidden="1">
      <c r="A697" s="114" t="s">
        <v>246</v>
      </c>
      <c r="B697" s="62"/>
      <c r="C697" s="526" t="s">
        <v>117</v>
      </c>
      <c r="D697" s="526" t="s">
        <v>117</v>
      </c>
      <c r="E697" s="526" t="s">
        <v>1063</v>
      </c>
      <c r="F697" s="527" t="s">
        <v>247</v>
      </c>
      <c r="G697" s="552"/>
      <c r="H697" s="553"/>
      <c r="I697" s="12" t="e">
        <f t="shared" si="35"/>
        <v>#DIV/0!</v>
      </c>
    </row>
    <row r="698" spans="1:11" ht="15" hidden="1">
      <c r="A698" s="114" t="s">
        <v>231</v>
      </c>
      <c r="B698" s="62"/>
      <c r="C698" s="526" t="s">
        <v>117</v>
      </c>
      <c r="D698" s="526" t="s">
        <v>300</v>
      </c>
      <c r="E698" s="526"/>
      <c r="F698" s="527"/>
      <c r="G698" s="552">
        <f>SUM(G699)</f>
        <v>0</v>
      </c>
      <c r="H698" s="553">
        <f>SUM(H699)</f>
        <v>0</v>
      </c>
      <c r="I698" s="12">
        <f t="shared" si="35"/>
        <v>0</v>
      </c>
      <c r="K698" s="60"/>
    </row>
    <row r="699" spans="1:9" ht="15" hidden="1">
      <c r="A699" s="114" t="s">
        <v>128</v>
      </c>
      <c r="B699" s="62"/>
      <c r="C699" s="526" t="s">
        <v>117</v>
      </c>
      <c r="D699" s="526" t="s">
        <v>300</v>
      </c>
      <c r="E699" s="526" t="s">
        <v>129</v>
      </c>
      <c r="F699" s="527"/>
      <c r="G699" s="552">
        <f>SUM(G700)</f>
        <v>0</v>
      </c>
      <c r="H699" s="553">
        <f>SUM(H700)</f>
        <v>0</v>
      </c>
      <c r="I699" s="12">
        <f t="shared" si="35"/>
        <v>0</v>
      </c>
    </row>
    <row r="700" spans="1:9" ht="15" hidden="1">
      <c r="A700" s="109" t="s">
        <v>1064</v>
      </c>
      <c r="B700" s="62"/>
      <c r="C700" s="526" t="s">
        <v>117</v>
      </c>
      <c r="D700" s="526" t="s">
        <v>300</v>
      </c>
      <c r="E700" s="526" t="s">
        <v>129</v>
      </c>
      <c r="F700" s="527" t="s">
        <v>1065</v>
      </c>
      <c r="G700" s="552"/>
      <c r="H700" s="553"/>
      <c r="I700" s="12" t="e">
        <f t="shared" si="35"/>
        <v>#DIV/0!</v>
      </c>
    </row>
    <row r="701" spans="1:9" ht="15">
      <c r="A701" s="109" t="s">
        <v>327</v>
      </c>
      <c r="B701" s="62"/>
      <c r="C701" s="524" t="s">
        <v>300</v>
      </c>
      <c r="D701" s="524"/>
      <c r="E701" s="524"/>
      <c r="F701" s="528"/>
      <c r="G701" s="552">
        <f>SUM(G702+G719+G754+G766+G749)</f>
        <v>38934.2</v>
      </c>
      <c r="H701" s="553">
        <f>SUM(H702+H719+H754+H766+H749)</f>
        <v>38934.2</v>
      </c>
      <c r="I701" s="12" t="e">
        <f t="shared" si="35"/>
        <v>#DIV/0!</v>
      </c>
    </row>
    <row r="702" spans="1:9" ht="15">
      <c r="A702" s="109" t="s">
        <v>178</v>
      </c>
      <c r="B702" s="62"/>
      <c r="C702" s="524" t="s">
        <v>300</v>
      </c>
      <c r="D702" s="524" t="s">
        <v>460</v>
      </c>
      <c r="E702" s="524"/>
      <c r="F702" s="528"/>
      <c r="G702" s="552">
        <f>SUM(G703+G706)</f>
        <v>6366.3</v>
      </c>
      <c r="H702" s="553">
        <f>SUM(H703+H706)</f>
        <v>6366.3</v>
      </c>
      <c r="I702" s="12" t="e">
        <f t="shared" si="35"/>
        <v>#DIV/0!</v>
      </c>
    </row>
    <row r="703" spans="1:9" ht="15" hidden="1">
      <c r="A703" s="109" t="s">
        <v>407</v>
      </c>
      <c r="B703" s="62"/>
      <c r="C703" s="524" t="s">
        <v>300</v>
      </c>
      <c r="D703" s="524" t="s">
        <v>460</v>
      </c>
      <c r="E703" s="526" t="s">
        <v>409</v>
      </c>
      <c r="F703" s="527"/>
      <c r="G703" s="552">
        <f>SUM(G704)</f>
        <v>0</v>
      </c>
      <c r="H703" s="553">
        <f>SUM(H704)</f>
        <v>0</v>
      </c>
      <c r="I703" s="12">
        <f t="shared" si="35"/>
        <v>0</v>
      </c>
    </row>
    <row r="704" spans="1:9" ht="15" hidden="1">
      <c r="A704" s="109" t="s">
        <v>387</v>
      </c>
      <c r="B704" s="62"/>
      <c r="C704" s="524" t="s">
        <v>300</v>
      </c>
      <c r="D704" s="524" t="s">
        <v>460</v>
      </c>
      <c r="E704" s="526" t="s">
        <v>388</v>
      </c>
      <c r="F704" s="527"/>
      <c r="G704" s="552">
        <f>SUM(G705)</f>
        <v>0</v>
      </c>
      <c r="H704" s="553">
        <f>SUM(H705)</f>
        <v>0</v>
      </c>
      <c r="I704" s="12">
        <f t="shared" si="35"/>
        <v>0</v>
      </c>
    </row>
    <row r="705" spans="1:9" ht="15" hidden="1">
      <c r="A705" s="114" t="s">
        <v>246</v>
      </c>
      <c r="B705" s="529"/>
      <c r="C705" s="524" t="s">
        <v>300</v>
      </c>
      <c r="D705" s="524" t="s">
        <v>460</v>
      </c>
      <c r="E705" s="526" t="s">
        <v>388</v>
      </c>
      <c r="F705" s="528" t="s">
        <v>247</v>
      </c>
      <c r="G705" s="552"/>
      <c r="H705" s="553"/>
      <c r="I705" s="12"/>
    </row>
    <row r="706" spans="1:9" ht="15">
      <c r="A706" s="109" t="s">
        <v>202</v>
      </c>
      <c r="B706" s="62"/>
      <c r="C706" s="524" t="s">
        <v>300</v>
      </c>
      <c r="D706" s="524" t="s">
        <v>460</v>
      </c>
      <c r="E706" s="524" t="s">
        <v>182</v>
      </c>
      <c r="F706" s="528"/>
      <c r="G706" s="552">
        <f>SUM(G707)</f>
        <v>6366.3</v>
      </c>
      <c r="H706" s="553">
        <f>SUM(H707)</f>
        <v>6366.3</v>
      </c>
      <c r="I706" s="12"/>
    </row>
    <row r="707" spans="1:9" ht="15">
      <c r="A707" s="109" t="s">
        <v>95</v>
      </c>
      <c r="B707" s="561"/>
      <c r="C707" s="524" t="s">
        <v>300</v>
      </c>
      <c r="D707" s="524" t="s">
        <v>460</v>
      </c>
      <c r="E707" s="524" t="s">
        <v>84</v>
      </c>
      <c r="F707" s="528"/>
      <c r="G707" s="552">
        <f>SUM(G715)+G708</f>
        <v>6366.3</v>
      </c>
      <c r="H707" s="553">
        <f>SUM(H715)+H708</f>
        <v>6366.3</v>
      </c>
      <c r="I707" s="12"/>
    </row>
    <row r="708" spans="1:9" ht="15" hidden="1">
      <c r="A708" s="114" t="s">
        <v>157</v>
      </c>
      <c r="B708" s="561"/>
      <c r="C708" s="524" t="s">
        <v>300</v>
      </c>
      <c r="D708" s="524" t="s">
        <v>460</v>
      </c>
      <c r="E708" s="524" t="s">
        <v>141</v>
      </c>
      <c r="F708" s="528"/>
      <c r="G708" s="552">
        <f>SUM(G710+G712)</f>
        <v>0</v>
      </c>
      <c r="H708" s="553">
        <f>SUM(H710+H712)</f>
        <v>0</v>
      </c>
      <c r="I708" s="12"/>
    </row>
    <row r="709" spans="1:9" ht="15" hidden="1">
      <c r="A709" s="114" t="s">
        <v>143</v>
      </c>
      <c r="B709" s="561"/>
      <c r="C709" s="524" t="s">
        <v>300</v>
      </c>
      <c r="D709" s="524" t="s">
        <v>460</v>
      </c>
      <c r="E709" s="524" t="s">
        <v>141</v>
      </c>
      <c r="F709" s="528" t="s">
        <v>83</v>
      </c>
      <c r="G709" s="552"/>
      <c r="H709" s="553"/>
      <c r="I709" s="12"/>
    </row>
    <row r="710" spans="1:9" ht="28.5" hidden="1">
      <c r="A710" s="114" t="s">
        <v>414</v>
      </c>
      <c r="B710" s="561"/>
      <c r="C710" s="524" t="s">
        <v>300</v>
      </c>
      <c r="D710" s="524" t="s">
        <v>460</v>
      </c>
      <c r="E710" s="524" t="s">
        <v>142</v>
      </c>
      <c r="F710" s="528"/>
      <c r="G710" s="552">
        <f>SUM(G711)</f>
        <v>0</v>
      </c>
      <c r="H710" s="553">
        <f>SUM(H711)</f>
        <v>0</v>
      </c>
      <c r="I710" s="12"/>
    </row>
    <row r="711" spans="1:9" ht="15" hidden="1">
      <c r="A711" s="114" t="s">
        <v>143</v>
      </c>
      <c r="B711" s="561"/>
      <c r="C711" s="524" t="s">
        <v>300</v>
      </c>
      <c r="D711" s="524" t="s">
        <v>460</v>
      </c>
      <c r="E711" s="524" t="s">
        <v>142</v>
      </c>
      <c r="F711" s="528" t="s">
        <v>83</v>
      </c>
      <c r="G711" s="552"/>
      <c r="H711" s="553"/>
      <c r="I711" s="12">
        <f aca="true" t="shared" si="37" ref="I711:I718">SUM(H711/G714*100)</f>
        <v>0</v>
      </c>
    </row>
    <row r="712" spans="1:9" ht="15" hidden="1">
      <c r="A712" s="109" t="s">
        <v>215</v>
      </c>
      <c r="B712" s="561"/>
      <c r="C712" s="524" t="s">
        <v>300</v>
      </c>
      <c r="D712" s="524" t="s">
        <v>460</v>
      </c>
      <c r="E712" s="524" t="s">
        <v>218</v>
      </c>
      <c r="F712" s="528"/>
      <c r="G712" s="552">
        <f>SUM(G713)</f>
        <v>0</v>
      </c>
      <c r="H712" s="553">
        <f>SUM(H713)</f>
        <v>0</v>
      </c>
      <c r="I712" s="12">
        <f t="shared" si="37"/>
        <v>0</v>
      </c>
    </row>
    <row r="713" spans="1:9" ht="15" hidden="1">
      <c r="A713" s="109" t="s">
        <v>157</v>
      </c>
      <c r="B713" s="561"/>
      <c r="C713" s="524" t="s">
        <v>300</v>
      </c>
      <c r="D713" s="524" t="s">
        <v>460</v>
      </c>
      <c r="E713" s="524" t="s">
        <v>218</v>
      </c>
      <c r="F713" s="528" t="s">
        <v>83</v>
      </c>
      <c r="G713" s="552"/>
      <c r="H713" s="553"/>
      <c r="I713" s="12" t="e">
        <f t="shared" si="37"/>
        <v>#DIV/0!</v>
      </c>
    </row>
    <row r="714" spans="1:9" ht="28.5">
      <c r="A714" s="109" t="s">
        <v>302</v>
      </c>
      <c r="B714" s="561"/>
      <c r="C714" s="524" t="s">
        <v>300</v>
      </c>
      <c r="D714" s="524" t="s">
        <v>460</v>
      </c>
      <c r="E714" s="524" t="s">
        <v>301</v>
      </c>
      <c r="F714" s="528"/>
      <c r="G714" s="552">
        <f>SUM(G715)</f>
        <v>6366.3</v>
      </c>
      <c r="H714" s="553">
        <f>SUM(H715)</f>
        <v>6366.3</v>
      </c>
      <c r="I714" s="12" t="e">
        <f t="shared" si="37"/>
        <v>#DIV/0!</v>
      </c>
    </row>
    <row r="715" spans="1:9" ht="28.5">
      <c r="A715" s="114" t="s">
        <v>517</v>
      </c>
      <c r="B715" s="131"/>
      <c r="C715" s="524" t="s">
        <v>300</v>
      </c>
      <c r="D715" s="524" t="s">
        <v>460</v>
      </c>
      <c r="E715" s="524" t="s">
        <v>515</v>
      </c>
      <c r="F715" s="557" t="s">
        <v>513</v>
      </c>
      <c r="G715" s="552">
        <v>6366.3</v>
      </c>
      <c r="H715" s="553">
        <v>6366.3</v>
      </c>
      <c r="I715" s="12" t="e">
        <f t="shared" si="37"/>
        <v>#DIV/0!</v>
      </c>
    </row>
    <row r="716" spans="1:9" ht="28.5" hidden="1">
      <c r="A716" s="114" t="s">
        <v>1066</v>
      </c>
      <c r="B716" s="62"/>
      <c r="C716" s="524" t="s">
        <v>300</v>
      </c>
      <c r="D716" s="524" t="s">
        <v>460</v>
      </c>
      <c r="E716" s="524" t="s">
        <v>1067</v>
      </c>
      <c r="F716" s="528" t="s">
        <v>1068</v>
      </c>
      <c r="G716" s="552"/>
      <c r="H716" s="553"/>
      <c r="I716" s="12">
        <f t="shared" si="37"/>
        <v>0</v>
      </c>
    </row>
    <row r="717" spans="1:9" ht="42.75" hidden="1">
      <c r="A717" s="109" t="s">
        <v>258</v>
      </c>
      <c r="B717" s="62"/>
      <c r="C717" s="524" t="s">
        <v>1069</v>
      </c>
      <c r="D717" s="524" t="s">
        <v>460</v>
      </c>
      <c r="E717" s="524" t="s">
        <v>1070</v>
      </c>
      <c r="F717" s="528"/>
      <c r="G717" s="552">
        <f>SUM(G718)</f>
        <v>0</v>
      </c>
      <c r="H717" s="553">
        <f>SUM(H718)</f>
        <v>0</v>
      </c>
      <c r="I717" s="12">
        <f t="shared" si="37"/>
        <v>0</v>
      </c>
    </row>
    <row r="718" spans="1:9" ht="15" hidden="1">
      <c r="A718" s="114" t="s">
        <v>246</v>
      </c>
      <c r="B718" s="62"/>
      <c r="C718" s="524" t="s">
        <v>1069</v>
      </c>
      <c r="D718" s="524" t="s">
        <v>460</v>
      </c>
      <c r="E718" s="524" t="s">
        <v>1070</v>
      </c>
      <c r="F718" s="528" t="s">
        <v>247</v>
      </c>
      <c r="G718" s="552"/>
      <c r="H718" s="553"/>
      <c r="I718" s="12">
        <f t="shared" si="37"/>
        <v>0</v>
      </c>
    </row>
    <row r="719" spans="1:9" ht="15">
      <c r="A719" s="109" t="s">
        <v>241</v>
      </c>
      <c r="B719" s="62"/>
      <c r="C719" s="524" t="s">
        <v>300</v>
      </c>
      <c r="D719" s="524" t="s">
        <v>462</v>
      </c>
      <c r="E719" s="524"/>
      <c r="F719" s="528"/>
      <c r="G719" s="552">
        <f>SUM(G720+G734+G742+G746)</f>
        <v>19164</v>
      </c>
      <c r="H719" s="553">
        <f>SUM(H720+H734+H742+H746)</f>
        <v>19164</v>
      </c>
      <c r="I719" s="12"/>
    </row>
    <row r="720" spans="1:9" ht="15">
      <c r="A720" s="109" t="s">
        <v>202</v>
      </c>
      <c r="B720" s="62"/>
      <c r="C720" s="524" t="s">
        <v>300</v>
      </c>
      <c r="D720" s="524" t="s">
        <v>462</v>
      </c>
      <c r="E720" s="524" t="s">
        <v>182</v>
      </c>
      <c r="F720" s="528"/>
      <c r="G720" s="552">
        <f>SUM(G721)</f>
        <v>7874.6</v>
      </c>
      <c r="H720" s="553">
        <f>SUM(H721)</f>
        <v>7874.6</v>
      </c>
      <c r="I720" s="12"/>
    </row>
    <row r="721" spans="1:9" ht="15">
      <c r="A721" s="109" t="s">
        <v>95</v>
      </c>
      <c r="B721" s="561"/>
      <c r="C721" s="524" t="s">
        <v>300</v>
      </c>
      <c r="D721" s="524" t="s">
        <v>462</v>
      </c>
      <c r="E721" s="524" t="s">
        <v>84</v>
      </c>
      <c r="F721" s="528"/>
      <c r="G721" s="552">
        <f>SUM(G730)+G722+G727</f>
        <v>7874.6</v>
      </c>
      <c r="H721" s="553">
        <f>SUM(H730)+H722+H727</f>
        <v>7874.6</v>
      </c>
      <c r="I721" s="12"/>
    </row>
    <row r="722" spans="1:9" ht="15" hidden="1">
      <c r="A722" s="114" t="s">
        <v>157</v>
      </c>
      <c r="B722" s="561"/>
      <c r="C722" s="524" t="s">
        <v>300</v>
      </c>
      <c r="D722" s="524" t="s">
        <v>462</v>
      </c>
      <c r="E722" s="524" t="s">
        <v>141</v>
      </c>
      <c r="F722" s="528"/>
      <c r="G722" s="552">
        <f>SUM(G725)+G723</f>
        <v>0</v>
      </c>
      <c r="H722" s="553">
        <f>SUM(H725)+H723</f>
        <v>0</v>
      </c>
      <c r="I722" s="12"/>
    </row>
    <row r="723" spans="1:9" ht="28.5" hidden="1">
      <c r="A723" s="114" t="s">
        <v>414</v>
      </c>
      <c r="B723" s="561"/>
      <c r="C723" s="524" t="s">
        <v>300</v>
      </c>
      <c r="D723" s="524" t="s">
        <v>462</v>
      </c>
      <c r="E723" s="524" t="s">
        <v>142</v>
      </c>
      <c r="F723" s="528"/>
      <c r="G723" s="552">
        <f>SUM(G724)</f>
        <v>0</v>
      </c>
      <c r="H723" s="553">
        <f>SUM(H724)</f>
        <v>0</v>
      </c>
      <c r="I723" s="12"/>
    </row>
    <row r="724" spans="1:9" ht="15" hidden="1">
      <c r="A724" s="114" t="s">
        <v>143</v>
      </c>
      <c r="B724" s="561"/>
      <c r="C724" s="524" t="s">
        <v>300</v>
      </c>
      <c r="D724" s="524" t="s">
        <v>462</v>
      </c>
      <c r="E724" s="524" t="s">
        <v>142</v>
      </c>
      <c r="F724" s="528" t="s">
        <v>83</v>
      </c>
      <c r="G724" s="552"/>
      <c r="H724" s="553"/>
      <c r="I724" s="12"/>
    </row>
    <row r="725" spans="1:9" ht="15" hidden="1">
      <c r="A725" s="109" t="s">
        <v>215</v>
      </c>
      <c r="B725" s="561"/>
      <c r="C725" s="524" t="s">
        <v>300</v>
      </c>
      <c r="D725" s="524" t="s">
        <v>462</v>
      </c>
      <c r="E725" s="524" t="s">
        <v>218</v>
      </c>
      <c r="F725" s="528"/>
      <c r="G725" s="552">
        <f>SUM(G726)</f>
        <v>0</v>
      </c>
      <c r="H725" s="553">
        <f>SUM(H726)</f>
        <v>0</v>
      </c>
      <c r="I725" s="12"/>
    </row>
    <row r="726" spans="1:9" ht="15" hidden="1">
      <c r="A726" s="114" t="s">
        <v>143</v>
      </c>
      <c r="B726" s="561"/>
      <c r="C726" s="524" t="s">
        <v>300</v>
      </c>
      <c r="D726" s="524" t="s">
        <v>462</v>
      </c>
      <c r="E726" s="524" t="s">
        <v>218</v>
      </c>
      <c r="F726" s="528" t="s">
        <v>83</v>
      </c>
      <c r="G726" s="552"/>
      <c r="H726" s="553"/>
      <c r="I726" s="12">
        <f aca="true" t="shared" si="38" ref="I726:I732">SUM(H726/G729*100)</f>
        <v>0</v>
      </c>
    </row>
    <row r="727" spans="1:9" ht="28.5" hidden="1">
      <c r="A727" s="114" t="s">
        <v>414</v>
      </c>
      <c r="B727" s="561"/>
      <c r="C727" s="524" t="s">
        <v>300</v>
      </c>
      <c r="D727" s="524" t="s">
        <v>462</v>
      </c>
      <c r="E727" s="524" t="s">
        <v>142</v>
      </c>
      <c r="F727" s="528"/>
      <c r="G727" s="552">
        <f>SUM(G728)</f>
        <v>0</v>
      </c>
      <c r="H727" s="553">
        <f>SUM(H728)</f>
        <v>0</v>
      </c>
      <c r="I727" s="12">
        <f t="shared" si="38"/>
        <v>0</v>
      </c>
    </row>
    <row r="728" spans="1:9" ht="15" hidden="1">
      <c r="A728" s="114" t="s">
        <v>143</v>
      </c>
      <c r="B728" s="561"/>
      <c r="C728" s="524" t="s">
        <v>300</v>
      </c>
      <c r="D728" s="524" t="s">
        <v>462</v>
      </c>
      <c r="E728" s="524" t="s">
        <v>142</v>
      </c>
      <c r="F728" s="528" t="s">
        <v>83</v>
      </c>
      <c r="G728" s="552"/>
      <c r="H728" s="553"/>
      <c r="I728" s="12" t="e">
        <f t="shared" si="38"/>
        <v>#DIV/0!</v>
      </c>
    </row>
    <row r="729" spans="1:9" ht="28.5">
      <c r="A729" s="109" t="s">
        <v>302</v>
      </c>
      <c r="B729" s="561"/>
      <c r="C729" s="524" t="s">
        <v>300</v>
      </c>
      <c r="D729" s="524" t="s">
        <v>462</v>
      </c>
      <c r="E729" s="524" t="s">
        <v>301</v>
      </c>
      <c r="F729" s="528"/>
      <c r="G729" s="552">
        <f>SUM(G730)</f>
        <v>7874.6</v>
      </c>
      <c r="H729" s="553">
        <f>SUM(H730)</f>
        <v>7874.6</v>
      </c>
      <c r="I729" s="12" t="e">
        <f t="shared" si="38"/>
        <v>#DIV/0!</v>
      </c>
    </row>
    <row r="730" spans="1:9" ht="28.5">
      <c r="A730" s="114" t="s">
        <v>517</v>
      </c>
      <c r="B730" s="131"/>
      <c r="C730" s="524" t="s">
        <v>300</v>
      </c>
      <c r="D730" s="524" t="s">
        <v>462</v>
      </c>
      <c r="E730" s="524" t="s">
        <v>515</v>
      </c>
      <c r="F730" s="557" t="s">
        <v>513</v>
      </c>
      <c r="G730" s="552">
        <v>7874.6</v>
      </c>
      <c r="H730" s="553">
        <v>7874.6</v>
      </c>
      <c r="I730" s="12" t="e">
        <f t="shared" si="38"/>
        <v>#DIV/0!</v>
      </c>
    </row>
    <row r="731" spans="1:9" ht="28.5" hidden="1">
      <c r="A731" s="114" t="s">
        <v>1066</v>
      </c>
      <c r="B731" s="62"/>
      <c r="C731" s="524" t="s">
        <v>300</v>
      </c>
      <c r="D731" s="524" t="s">
        <v>462</v>
      </c>
      <c r="E731" s="524" t="s">
        <v>1067</v>
      </c>
      <c r="F731" s="528" t="s">
        <v>1068</v>
      </c>
      <c r="G731" s="552"/>
      <c r="H731" s="553"/>
      <c r="I731" s="12">
        <f t="shared" si="38"/>
        <v>0</v>
      </c>
    </row>
    <row r="732" spans="1:9" ht="42.75" hidden="1">
      <c r="A732" s="109" t="s">
        <v>258</v>
      </c>
      <c r="B732" s="62"/>
      <c r="C732" s="524" t="s">
        <v>300</v>
      </c>
      <c r="D732" s="524" t="s">
        <v>462</v>
      </c>
      <c r="E732" s="524" t="s">
        <v>1070</v>
      </c>
      <c r="F732" s="528"/>
      <c r="G732" s="552">
        <f>SUM(G733)</f>
        <v>0</v>
      </c>
      <c r="H732" s="553">
        <f>SUM(H733)</f>
        <v>0</v>
      </c>
      <c r="I732" s="12">
        <f t="shared" si="38"/>
        <v>0</v>
      </c>
    </row>
    <row r="733" spans="1:9" ht="15" hidden="1">
      <c r="A733" s="114" t="s">
        <v>246</v>
      </c>
      <c r="B733" s="62"/>
      <c r="C733" s="524" t="s">
        <v>300</v>
      </c>
      <c r="D733" s="524" t="s">
        <v>462</v>
      </c>
      <c r="E733" s="524" t="s">
        <v>1070</v>
      </c>
      <c r="F733" s="528" t="s">
        <v>247</v>
      </c>
      <c r="G733" s="552"/>
      <c r="H733" s="553"/>
      <c r="I733" s="12"/>
    </row>
    <row r="734" spans="1:9" ht="15">
      <c r="A734" s="109" t="s">
        <v>242</v>
      </c>
      <c r="B734" s="62"/>
      <c r="C734" s="524" t="s">
        <v>300</v>
      </c>
      <c r="D734" s="524" t="s">
        <v>462</v>
      </c>
      <c r="E734" s="524" t="s">
        <v>243</v>
      </c>
      <c r="F734" s="528"/>
      <c r="G734" s="552">
        <f>SUM(G735)</f>
        <v>11289.4</v>
      </c>
      <c r="H734" s="553">
        <f>SUM(H735)</f>
        <v>11289.4</v>
      </c>
      <c r="I734" s="12"/>
    </row>
    <row r="735" spans="1:9" ht="15">
      <c r="A735" s="109" t="s">
        <v>95</v>
      </c>
      <c r="B735" s="62"/>
      <c r="C735" s="524" t="s">
        <v>300</v>
      </c>
      <c r="D735" s="524" t="s">
        <v>462</v>
      </c>
      <c r="E735" s="524" t="s">
        <v>303</v>
      </c>
      <c r="F735" s="528"/>
      <c r="G735" s="552">
        <f>SUM(G739:G740)+G736</f>
        <v>11289.4</v>
      </c>
      <c r="H735" s="553">
        <f>SUM(H739:H740)+H736</f>
        <v>11289.4</v>
      </c>
      <c r="I735" s="12"/>
    </row>
    <row r="736" spans="1:9" ht="15">
      <c r="A736" s="114" t="s">
        <v>157</v>
      </c>
      <c r="B736" s="62"/>
      <c r="C736" s="524" t="s">
        <v>300</v>
      </c>
      <c r="D736" s="524" t="s">
        <v>462</v>
      </c>
      <c r="E736" s="524" t="s">
        <v>219</v>
      </c>
      <c r="F736" s="528"/>
      <c r="G736" s="552">
        <f>SUM(G737)</f>
        <v>100</v>
      </c>
      <c r="H736" s="553">
        <f>SUM(H737)</f>
        <v>100</v>
      </c>
      <c r="I736" s="12">
        <f>SUM(H736/G739*100)</f>
        <v>0.8937029688812625</v>
      </c>
    </row>
    <row r="737" spans="1:9" ht="28.5">
      <c r="A737" s="114" t="s">
        <v>144</v>
      </c>
      <c r="B737" s="561"/>
      <c r="C737" s="524" t="s">
        <v>300</v>
      </c>
      <c r="D737" s="524" t="s">
        <v>462</v>
      </c>
      <c r="E737" s="524" t="s">
        <v>145</v>
      </c>
      <c r="F737" s="528"/>
      <c r="G737" s="552">
        <f>SUM(G738)</f>
        <v>100</v>
      </c>
      <c r="H737" s="553">
        <f>SUM(H738)</f>
        <v>100</v>
      </c>
      <c r="I737" s="12" t="e">
        <f>SUM(H737/G740*100)</f>
        <v>#DIV/0!</v>
      </c>
    </row>
    <row r="738" spans="1:9" ht="28.5">
      <c r="A738" s="114" t="s">
        <v>517</v>
      </c>
      <c r="B738" s="561"/>
      <c r="C738" s="524" t="s">
        <v>300</v>
      </c>
      <c r="D738" s="524" t="s">
        <v>462</v>
      </c>
      <c r="E738" s="524" t="s">
        <v>145</v>
      </c>
      <c r="F738" s="528" t="s">
        <v>513</v>
      </c>
      <c r="G738" s="552">
        <v>100</v>
      </c>
      <c r="H738" s="553">
        <v>100</v>
      </c>
      <c r="I738" s="12"/>
    </row>
    <row r="739" spans="1:9" ht="28.5">
      <c r="A739" s="114" t="s">
        <v>302</v>
      </c>
      <c r="B739" s="62"/>
      <c r="C739" s="524" t="s">
        <v>300</v>
      </c>
      <c r="D739" s="524" t="s">
        <v>462</v>
      </c>
      <c r="E739" s="524" t="s">
        <v>304</v>
      </c>
      <c r="F739" s="528"/>
      <c r="G739" s="552">
        <f>SUM(G741)</f>
        <v>11189.4</v>
      </c>
      <c r="H739" s="553">
        <f>SUM(H741)</f>
        <v>11189.4</v>
      </c>
      <c r="I739" s="12" t="e">
        <f aca="true" t="shared" si="39" ref="I739:I763">SUM(H739/G742*100)</f>
        <v>#DIV/0!</v>
      </c>
    </row>
    <row r="740" spans="1:9" ht="42.75" hidden="1">
      <c r="A740" s="109" t="s">
        <v>258</v>
      </c>
      <c r="B740" s="62"/>
      <c r="C740" s="524" t="s">
        <v>300</v>
      </c>
      <c r="D740" s="524" t="s">
        <v>462</v>
      </c>
      <c r="E740" s="524" t="s">
        <v>1071</v>
      </c>
      <c r="F740" s="528" t="s">
        <v>1072</v>
      </c>
      <c r="G740" s="552"/>
      <c r="H740" s="553"/>
      <c r="I740" s="12" t="e">
        <f t="shared" si="39"/>
        <v>#DIV/0!</v>
      </c>
    </row>
    <row r="741" spans="1:9" ht="28.5">
      <c r="A741" s="114" t="s">
        <v>517</v>
      </c>
      <c r="B741" s="62"/>
      <c r="C741" s="524" t="s">
        <v>300</v>
      </c>
      <c r="D741" s="524" t="s">
        <v>462</v>
      </c>
      <c r="E741" s="524" t="s">
        <v>1073</v>
      </c>
      <c r="F741" s="528" t="s">
        <v>513</v>
      </c>
      <c r="G741" s="552">
        <v>11189.4</v>
      </c>
      <c r="H741" s="553">
        <v>11189.4</v>
      </c>
      <c r="I741" s="12" t="e">
        <f t="shared" si="39"/>
        <v>#DIV/0!</v>
      </c>
    </row>
    <row r="742" spans="1:9" ht="15" hidden="1">
      <c r="A742" s="109" t="s">
        <v>1074</v>
      </c>
      <c r="B742" s="62"/>
      <c r="C742" s="524" t="s">
        <v>300</v>
      </c>
      <c r="D742" s="524" t="s">
        <v>462</v>
      </c>
      <c r="E742" s="524" t="s">
        <v>1075</v>
      </c>
      <c r="F742" s="528"/>
      <c r="G742" s="552">
        <f>SUM(G743)</f>
        <v>0</v>
      </c>
      <c r="H742" s="553">
        <f>SUM(H743)</f>
        <v>0</v>
      </c>
      <c r="I742" s="12" t="e">
        <f t="shared" si="39"/>
        <v>#DIV/0!</v>
      </c>
    </row>
    <row r="743" spans="1:9" ht="15" hidden="1">
      <c r="A743" s="109" t="s">
        <v>95</v>
      </c>
      <c r="B743" s="561"/>
      <c r="C743" s="524" t="s">
        <v>300</v>
      </c>
      <c r="D743" s="524" t="s">
        <v>462</v>
      </c>
      <c r="E743" s="524" t="s">
        <v>1076</v>
      </c>
      <c r="F743" s="528"/>
      <c r="G743" s="552">
        <f>SUM(G745)</f>
        <v>0</v>
      </c>
      <c r="H743" s="553">
        <f>SUM(H745)</f>
        <v>0</v>
      </c>
      <c r="I743" s="12" t="e">
        <f t="shared" si="39"/>
        <v>#DIV/0!</v>
      </c>
    </row>
    <row r="744" spans="1:9" ht="28.5" hidden="1">
      <c r="A744" s="109" t="s">
        <v>302</v>
      </c>
      <c r="B744" s="561"/>
      <c r="C744" s="524" t="s">
        <v>300</v>
      </c>
      <c r="D744" s="524" t="s">
        <v>462</v>
      </c>
      <c r="E744" s="524" t="s">
        <v>1077</v>
      </c>
      <c r="F744" s="528"/>
      <c r="G744" s="552">
        <f>SUM(G745)</f>
        <v>0</v>
      </c>
      <c r="H744" s="553">
        <f>SUM(H745)</f>
        <v>0</v>
      </c>
      <c r="I744" s="12" t="e">
        <f t="shared" si="39"/>
        <v>#DIV/0!</v>
      </c>
    </row>
    <row r="745" spans="1:9" ht="42.75" hidden="1">
      <c r="A745" s="114" t="s">
        <v>1078</v>
      </c>
      <c r="B745" s="131"/>
      <c r="C745" s="524" t="s">
        <v>300</v>
      </c>
      <c r="D745" s="524" t="s">
        <v>462</v>
      </c>
      <c r="E745" s="524" t="s">
        <v>1077</v>
      </c>
      <c r="F745" s="557" t="s">
        <v>1079</v>
      </c>
      <c r="G745" s="552"/>
      <c r="H745" s="553"/>
      <c r="I745" s="12" t="e">
        <f t="shared" si="39"/>
        <v>#DIV/0!</v>
      </c>
    </row>
    <row r="746" spans="1:9" ht="15" hidden="1">
      <c r="A746" s="117" t="s">
        <v>336</v>
      </c>
      <c r="B746" s="62"/>
      <c r="C746" s="524" t="s">
        <v>300</v>
      </c>
      <c r="D746" s="524" t="s">
        <v>462</v>
      </c>
      <c r="E746" s="524" t="s">
        <v>337</v>
      </c>
      <c r="F746" s="528"/>
      <c r="G746" s="552">
        <f>SUM(G747)</f>
        <v>0</v>
      </c>
      <c r="H746" s="553">
        <f>SUM(H747)</f>
        <v>0</v>
      </c>
      <c r="I746" s="12" t="e">
        <f t="shared" si="39"/>
        <v>#DIV/0!</v>
      </c>
    </row>
    <row r="747" spans="1:9" ht="42.75" hidden="1">
      <c r="A747" s="110" t="s">
        <v>1080</v>
      </c>
      <c r="B747" s="62"/>
      <c r="C747" s="524" t="s">
        <v>300</v>
      </c>
      <c r="D747" s="524" t="s">
        <v>462</v>
      </c>
      <c r="E747" s="524" t="s">
        <v>1081</v>
      </c>
      <c r="F747" s="528"/>
      <c r="G747" s="552">
        <f>SUM(G748)</f>
        <v>0</v>
      </c>
      <c r="H747" s="553">
        <f>SUM(H748)</f>
        <v>0</v>
      </c>
      <c r="I747" s="12" t="e">
        <f t="shared" si="39"/>
        <v>#DIV/0!</v>
      </c>
    </row>
    <row r="748" spans="1:9" ht="15" hidden="1">
      <c r="A748" s="114" t="s">
        <v>157</v>
      </c>
      <c r="B748" s="62"/>
      <c r="C748" s="524" t="s">
        <v>300</v>
      </c>
      <c r="D748" s="524" t="s">
        <v>462</v>
      </c>
      <c r="E748" s="524" t="s">
        <v>1081</v>
      </c>
      <c r="F748" s="557" t="s">
        <v>83</v>
      </c>
      <c r="G748" s="552"/>
      <c r="H748" s="553"/>
      <c r="I748" s="12" t="e">
        <f t="shared" si="39"/>
        <v>#DIV/0!</v>
      </c>
    </row>
    <row r="749" spans="1:9" ht="15" hidden="1">
      <c r="A749" s="118" t="s">
        <v>1082</v>
      </c>
      <c r="B749" s="62"/>
      <c r="C749" s="524" t="s">
        <v>300</v>
      </c>
      <c r="D749" s="524" t="s">
        <v>106</v>
      </c>
      <c r="E749" s="524"/>
      <c r="F749" s="528"/>
      <c r="G749" s="552">
        <f>SUM(G750)</f>
        <v>0</v>
      </c>
      <c r="H749" s="553">
        <f>SUM(H750)</f>
        <v>0</v>
      </c>
      <c r="I749" s="12" t="e">
        <f t="shared" si="39"/>
        <v>#DIV/0!</v>
      </c>
    </row>
    <row r="750" spans="1:9" ht="15" hidden="1">
      <c r="A750" s="118" t="s">
        <v>1083</v>
      </c>
      <c r="B750" s="62"/>
      <c r="C750" s="524" t="s">
        <v>300</v>
      </c>
      <c r="D750" s="524" t="s">
        <v>106</v>
      </c>
      <c r="E750" s="524" t="s">
        <v>182</v>
      </c>
      <c r="F750" s="528"/>
      <c r="G750" s="552">
        <f>SUM(G751)</f>
        <v>0</v>
      </c>
      <c r="H750" s="553">
        <f>SUM(H751)</f>
        <v>0</v>
      </c>
      <c r="I750" s="12" t="e">
        <f t="shared" si="39"/>
        <v>#DIV/0!</v>
      </c>
    </row>
    <row r="751" spans="1:9" ht="15" hidden="1">
      <c r="A751" s="118" t="s">
        <v>1084</v>
      </c>
      <c r="B751" s="62"/>
      <c r="C751" s="524" t="s">
        <v>300</v>
      </c>
      <c r="D751" s="524" t="s">
        <v>106</v>
      </c>
      <c r="E751" s="524" t="s">
        <v>1067</v>
      </c>
      <c r="F751" s="528"/>
      <c r="G751" s="552">
        <f>SUM(G752:G753)</f>
        <v>0</v>
      </c>
      <c r="H751" s="553">
        <f>SUM(H752:H753)</f>
        <v>0</v>
      </c>
      <c r="I751" s="12">
        <f t="shared" si="39"/>
        <v>0</v>
      </c>
    </row>
    <row r="752" spans="1:9" ht="15" hidden="1">
      <c r="A752" s="118" t="s">
        <v>246</v>
      </c>
      <c r="B752" s="62"/>
      <c r="C752" s="524" t="s">
        <v>300</v>
      </c>
      <c r="D752" s="524" t="s">
        <v>106</v>
      </c>
      <c r="E752" s="524" t="s">
        <v>1067</v>
      </c>
      <c r="F752" s="528" t="s">
        <v>247</v>
      </c>
      <c r="G752" s="552"/>
      <c r="H752" s="553"/>
      <c r="I752" s="12" t="e">
        <f t="shared" si="39"/>
        <v>#DIV/0!</v>
      </c>
    </row>
    <row r="753" spans="1:9" ht="42.75" hidden="1">
      <c r="A753" s="109" t="s">
        <v>258</v>
      </c>
      <c r="B753" s="62"/>
      <c r="C753" s="524" t="s">
        <v>300</v>
      </c>
      <c r="D753" s="524" t="s">
        <v>106</v>
      </c>
      <c r="E753" s="524" t="s">
        <v>1071</v>
      </c>
      <c r="F753" s="528" t="s">
        <v>1072</v>
      </c>
      <c r="G753" s="552"/>
      <c r="H753" s="553"/>
      <c r="I753" s="12" t="e">
        <f t="shared" si="39"/>
        <v>#DIV/0!</v>
      </c>
    </row>
    <row r="754" spans="1:9" ht="14.25" customHeight="1">
      <c r="A754" s="114" t="s">
        <v>244</v>
      </c>
      <c r="B754" s="62"/>
      <c r="C754" s="524" t="s">
        <v>300</v>
      </c>
      <c r="D754" s="524" t="s">
        <v>122</v>
      </c>
      <c r="E754" s="524"/>
      <c r="F754" s="528"/>
      <c r="G754" s="552">
        <f>SUM(G757+G761+G755)</f>
        <v>530.1</v>
      </c>
      <c r="H754" s="553">
        <f>SUM(H757+H761+H755)</f>
        <v>530.1</v>
      </c>
      <c r="I754" s="12">
        <f t="shared" si="39"/>
        <v>100</v>
      </c>
    </row>
    <row r="755" spans="1:9" ht="15" hidden="1">
      <c r="A755" s="114" t="s">
        <v>387</v>
      </c>
      <c r="B755" s="62"/>
      <c r="C755" s="524" t="s">
        <v>300</v>
      </c>
      <c r="D755" s="524" t="s">
        <v>122</v>
      </c>
      <c r="E755" s="524" t="s">
        <v>388</v>
      </c>
      <c r="F755" s="528"/>
      <c r="G755" s="552">
        <f>SUM(G756)</f>
        <v>0</v>
      </c>
      <c r="H755" s="553">
        <f>SUM(H756)</f>
        <v>0</v>
      </c>
      <c r="I755" s="12">
        <f t="shared" si="39"/>
        <v>0</v>
      </c>
    </row>
    <row r="756" spans="1:9" ht="15" hidden="1">
      <c r="A756" s="114" t="s">
        <v>246</v>
      </c>
      <c r="B756" s="62"/>
      <c r="C756" s="524" t="s">
        <v>300</v>
      </c>
      <c r="D756" s="524" t="s">
        <v>122</v>
      </c>
      <c r="E756" s="524" t="s">
        <v>388</v>
      </c>
      <c r="F756" s="528" t="s">
        <v>247</v>
      </c>
      <c r="G756" s="552"/>
      <c r="H756" s="553"/>
      <c r="I756" s="12">
        <f t="shared" si="39"/>
        <v>0</v>
      </c>
    </row>
    <row r="757" spans="1:9" ht="15">
      <c r="A757" s="109" t="s">
        <v>95</v>
      </c>
      <c r="B757" s="62"/>
      <c r="C757" s="524" t="s">
        <v>300</v>
      </c>
      <c r="D757" s="524" t="s">
        <v>122</v>
      </c>
      <c r="E757" s="524" t="s">
        <v>514</v>
      </c>
      <c r="F757" s="528"/>
      <c r="G757" s="552">
        <f>SUM(G758)</f>
        <v>530.1</v>
      </c>
      <c r="H757" s="553">
        <f>SUM(H758)</f>
        <v>530.1</v>
      </c>
      <c r="I757" s="12" t="e">
        <f t="shared" si="39"/>
        <v>#DIV/0!</v>
      </c>
    </row>
    <row r="758" spans="1:9" ht="28.5">
      <c r="A758" s="114" t="s">
        <v>302</v>
      </c>
      <c r="B758" s="62"/>
      <c r="C758" s="524" t="s">
        <v>300</v>
      </c>
      <c r="D758" s="524" t="s">
        <v>122</v>
      </c>
      <c r="E758" s="524" t="s">
        <v>515</v>
      </c>
      <c r="F758" s="528"/>
      <c r="G758" s="552">
        <f>SUM(G759)</f>
        <v>530.1</v>
      </c>
      <c r="H758" s="553">
        <f>SUM(H759)</f>
        <v>530.1</v>
      </c>
      <c r="I758" s="12" t="e">
        <f t="shared" si="39"/>
        <v>#DIV/0!</v>
      </c>
    </row>
    <row r="759" spans="1:9" ht="28.5">
      <c r="A759" s="114" t="s">
        <v>517</v>
      </c>
      <c r="B759" s="131"/>
      <c r="C759" s="524" t="s">
        <v>300</v>
      </c>
      <c r="D759" s="524" t="s">
        <v>122</v>
      </c>
      <c r="E759" s="524" t="s">
        <v>515</v>
      </c>
      <c r="F759" s="557" t="s">
        <v>513</v>
      </c>
      <c r="G759" s="552">
        <v>530.1</v>
      </c>
      <c r="H759" s="553">
        <v>530.1</v>
      </c>
      <c r="I759" s="12" t="e">
        <f t="shared" si="39"/>
        <v>#DIV/0!</v>
      </c>
    </row>
    <row r="760" spans="1:9" ht="42.75" hidden="1">
      <c r="A760" s="109" t="s">
        <v>258</v>
      </c>
      <c r="B760" s="62"/>
      <c r="C760" s="524" t="s">
        <v>300</v>
      </c>
      <c r="D760" s="524" t="s">
        <v>122</v>
      </c>
      <c r="E760" s="524" t="s">
        <v>1085</v>
      </c>
      <c r="F760" s="528" t="s">
        <v>1072</v>
      </c>
      <c r="G760" s="552"/>
      <c r="H760" s="553"/>
      <c r="I760" s="12" t="e">
        <f t="shared" si="39"/>
        <v>#DIV/0!</v>
      </c>
    </row>
    <row r="761" spans="1:9" ht="15" hidden="1">
      <c r="A761" s="117" t="s">
        <v>336</v>
      </c>
      <c r="B761" s="62"/>
      <c r="C761" s="524" t="s">
        <v>300</v>
      </c>
      <c r="D761" s="524" t="s">
        <v>122</v>
      </c>
      <c r="E761" s="524" t="s">
        <v>337</v>
      </c>
      <c r="F761" s="528"/>
      <c r="G761" s="552">
        <f>SUM(G762)</f>
        <v>0</v>
      </c>
      <c r="H761" s="553">
        <f>SUM(H762)</f>
        <v>0</v>
      </c>
      <c r="I761" s="12" t="e">
        <f t="shared" si="39"/>
        <v>#DIV/0!</v>
      </c>
    </row>
    <row r="762" spans="1:9" ht="42.75" hidden="1">
      <c r="A762" s="110" t="s">
        <v>1080</v>
      </c>
      <c r="B762" s="62"/>
      <c r="C762" s="524" t="s">
        <v>300</v>
      </c>
      <c r="D762" s="524" t="s">
        <v>122</v>
      </c>
      <c r="E762" s="524" t="s">
        <v>1081</v>
      </c>
      <c r="F762" s="528"/>
      <c r="G762" s="552">
        <f>SUM(G763)</f>
        <v>0</v>
      </c>
      <c r="H762" s="553">
        <f>SUM(H763)</f>
        <v>0</v>
      </c>
      <c r="I762" s="12" t="e">
        <f t="shared" si="39"/>
        <v>#DIV/0!</v>
      </c>
    </row>
    <row r="763" spans="1:9" ht="15" hidden="1">
      <c r="A763" s="114" t="s">
        <v>57</v>
      </c>
      <c r="B763" s="62"/>
      <c r="C763" s="524" t="s">
        <v>300</v>
      </c>
      <c r="D763" s="524" t="s">
        <v>122</v>
      </c>
      <c r="E763" s="524" t="s">
        <v>1081</v>
      </c>
      <c r="F763" s="528" t="s">
        <v>247</v>
      </c>
      <c r="G763" s="552"/>
      <c r="H763" s="553"/>
      <c r="I763" s="12">
        <f t="shared" si="39"/>
        <v>0</v>
      </c>
    </row>
    <row r="764" spans="1:9" ht="15" hidden="1">
      <c r="A764" s="110" t="s">
        <v>3</v>
      </c>
      <c r="B764" s="62"/>
      <c r="C764" s="524" t="s">
        <v>300</v>
      </c>
      <c r="D764" s="524" t="s">
        <v>460</v>
      </c>
      <c r="E764" s="524" t="s">
        <v>267</v>
      </c>
      <c r="F764" s="527"/>
      <c r="G764" s="552">
        <f>SUM(G765)</f>
        <v>0</v>
      </c>
      <c r="H764" s="553">
        <f>SUM(H765)</f>
        <v>0</v>
      </c>
      <c r="I764" s="12"/>
    </row>
    <row r="765" spans="1:9" ht="28.5" hidden="1">
      <c r="A765" s="109" t="s">
        <v>347</v>
      </c>
      <c r="B765" s="62"/>
      <c r="C765" s="524" t="s">
        <v>300</v>
      </c>
      <c r="D765" s="524" t="s">
        <v>460</v>
      </c>
      <c r="E765" s="524" t="s">
        <v>267</v>
      </c>
      <c r="F765" s="527" t="s">
        <v>268</v>
      </c>
      <c r="G765" s="552"/>
      <c r="H765" s="553"/>
      <c r="I765" s="12"/>
    </row>
    <row r="766" spans="1:9" ht="15">
      <c r="A766" s="110" t="s">
        <v>240</v>
      </c>
      <c r="B766" s="529"/>
      <c r="C766" s="524" t="s">
        <v>300</v>
      </c>
      <c r="D766" s="524" t="s">
        <v>300</v>
      </c>
      <c r="E766" s="524"/>
      <c r="F766" s="528"/>
      <c r="G766" s="552">
        <f>SUM(G769+G773+G774)+G767</f>
        <v>12873.800000000001</v>
      </c>
      <c r="H766" s="553">
        <f>SUM(H769+H773+H774)+H767</f>
        <v>12873.800000000001</v>
      </c>
      <c r="I766" s="12">
        <f aca="true" t="shared" si="40" ref="I766:I774">SUM(H766/G769*100)</f>
        <v>100.3601609030528</v>
      </c>
    </row>
    <row r="767" spans="1:9" ht="42.75" hidden="1">
      <c r="A767" s="110" t="s">
        <v>1048</v>
      </c>
      <c r="B767" s="529"/>
      <c r="C767" s="524" t="s">
        <v>300</v>
      </c>
      <c r="D767" s="524" t="s">
        <v>300</v>
      </c>
      <c r="E767" s="524" t="s">
        <v>1049</v>
      </c>
      <c r="F767" s="528"/>
      <c r="G767" s="552">
        <f>SUM(G768)</f>
        <v>0</v>
      </c>
      <c r="H767" s="553">
        <f>SUM(H768)</f>
        <v>0</v>
      </c>
      <c r="I767" s="12">
        <f t="shared" si="40"/>
        <v>0</v>
      </c>
    </row>
    <row r="768" spans="1:9" ht="15" hidden="1">
      <c r="A768" s="114" t="s">
        <v>157</v>
      </c>
      <c r="B768" s="529"/>
      <c r="C768" s="524" t="s">
        <v>300</v>
      </c>
      <c r="D768" s="524" t="s">
        <v>300</v>
      </c>
      <c r="E768" s="524" t="s">
        <v>1049</v>
      </c>
      <c r="F768" s="528" t="s">
        <v>83</v>
      </c>
      <c r="G768" s="552"/>
      <c r="H768" s="553"/>
      <c r="I768" s="12">
        <f t="shared" si="40"/>
        <v>0</v>
      </c>
    </row>
    <row r="769" spans="1:9" ht="28.5">
      <c r="A769" s="110" t="s">
        <v>179</v>
      </c>
      <c r="B769" s="62"/>
      <c r="C769" s="524" t="s">
        <v>300</v>
      </c>
      <c r="D769" s="524" t="s">
        <v>300</v>
      </c>
      <c r="E769" s="524" t="s">
        <v>180</v>
      </c>
      <c r="F769" s="528"/>
      <c r="G769" s="552">
        <f>SUM(G770)</f>
        <v>12827.6</v>
      </c>
      <c r="H769" s="553">
        <f>SUM(H770)</f>
        <v>12827.6</v>
      </c>
      <c r="I769" s="12">
        <f t="shared" si="40"/>
        <v>863.1720610995224</v>
      </c>
    </row>
    <row r="770" spans="1:9" ht="28.5">
      <c r="A770" s="109" t="s">
        <v>56</v>
      </c>
      <c r="B770" s="62"/>
      <c r="C770" s="524" t="s">
        <v>300</v>
      </c>
      <c r="D770" s="524" t="s">
        <v>300</v>
      </c>
      <c r="E770" s="524" t="s">
        <v>181</v>
      </c>
      <c r="F770" s="528"/>
      <c r="G770" s="552">
        <f>SUM(G771:G772)</f>
        <v>12827.6</v>
      </c>
      <c r="H770" s="553">
        <f>SUM(H771:H772)</f>
        <v>12827.6</v>
      </c>
      <c r="I770" s="12">
        <f t="shared" si="40"/>
        <v>27765.367965367965</v>
      </c>
    </row>
    <row r="771" spans="1:9" ht="28.5">
      <c r="A771" s="109" t="s">
        <v>495</v>
      </c>
      <c r="B771" s="62"/>
      <c r="C771" s="524" t="s">
        <v>300</v>
      </c>
      <c r="D771" s="524" t="s">
        <v>300</v>
      </c>
      <c r="E771" s="524" t="s">
        <v>181</v>
      </c>
      <c r="F771" s="527" t="s">
        <v>496</v>
      </c>
      <c r="G771" s="552">
        <v>11341.5</v>
      </c>
      <c r="H771" s="553">
        <v>11341.5</v>
      </c>
      <c r="I771" s="12" t="e">
        <f t="shared" si="40"/>
        <v>#DIV/0!</v>
      </c>
    </row>
    <row r="772" spans="1:9" ht="15">
      <c r="A772" s="109" t="s">
        <v>500</v>
      </c>
      <c r="B772" s="62"/>
      <c r="C772" s="524" t="s">
        <v>300</v>
      </c>
      <c r="D772" s="524" t="s">
        <v>300</v>
      </c>
      <c r="E772" s="524" t="s">
        <v>181</v>
      </c>
      <c r="F772" s="527" t="s">
        <v>120</v>
      </c>
      <c r="G772" s="555">
        <v>1486.1</v>
      </c>
      <c r="H772" s="556">
        <v>1486.1</v>
      </c>
      <c r="I772" s="12" t="e">
        <f t="shared" si="40"/>
        <v>#DIV/0!</v>
      </c>
    </row>
    <row r="773" spans="1:9" ht="15.75" thickBot="1">
      <c r="A773" s="109" t="s">
        <v>501</v>
      </c>
      <c r="B773" s="62"/>
      <c r="C773" s="524" t="s">
        <v>300</v>
      </c>
      <c r="D773" s="524" t="s">
        <v>300</v>
      </c>
      <c r="E773" s="524" t="s">
        <v>181</v>
      </c>
      <c r="F773" s="528" t="s">
        <v>176</v>
      </c>
      <c r="G773" s="552">
        <v>46.2</v>
      </c>
      <c r="H773" s="553">
        <v>46.2</v>
      </c>
      <c r="I773" s="12" t="e">
        <f t="shared" si="40"/>
        <v>#DIV/0!</v>
      </c>
    </row>
    <row r="774" spans="1:9" ht="15.75" hidden="1" thickBot="1">
      <c r="A774" s="114" t="s">
        <v>128</v>
      </c>
      <c r="B774" s="529"/>
      <c r="C774" s="524" t="s">
        <v>300</v>
      </c>
      <c r="D774" s="524" t="s">
        <v>300</v>
      </c>
      <c r="E774" s="524" t="s">
        <v>129</v>
      </c>
      <c r="F774" s="528"/>
      <c r="G774" s="552">
        <f>SUM(G775+G779)+G781+G783+G785</f>
        <v>0</v>
      </c>
      <c r="H774" s="553">
        <f>SUM(H775+H779)+H781+H783+H785</f>
        <v>0</v>
      </c>
      <c r="I774" s="12" t="e">
        <f t="shared" si="40"/>
        <v>#DIV/0!</v>
      </c>
    </row>
    <row r="775" spans="1:9" ht="15.75" hidden="1" thickBot="1">
      <c r="A775" s="109" t="s">
        <v>1086</v>
      </c>
      <c r="B775" s="529"/>
      <c r="C775" s="524" t="s">
        <v>300</v>
      </c>
      <c r="D775" s="524" t="s">
        <v>300</v>
      </c>
      <c r="E775" s="524" t="s">
        <v>129</v>
      </c>
      <c r="F775" s="528" t="s">
        <v>1087</v>
      </c>
      <c r="G775" s="552"/>
      <c r="H775" s="553"/>
      <c r="I775" s="12"/>
    </row>
    <row r="776" spans="1:9" ht="29.25" hidden="1" thickBot="1">
      <c r="A776" s="109" t="s">
        <v>1088</v>
      </c>
      <c r="B776" s="583"/>
      <c r="C776" s="524" t="s">
        <v>300</v>
      </c>
      <c r="D776" s="524" t="s">
        <v>300</v>
      </c>
      <c r="E776" s="524" t="s">
        <v>1089</v>
      </c>
      <c r="F776" s="528"/>
      <c r="G776" s="552"/>
      <c r="H776" s="553"/>
      <c r="I776" s="12"/>
    </row>
    <row r="777" spans="1:9" ht="29.25" hidden="1" thickBot="1">
      <c r="A777" s="109" t="s">
        <v>1088</v>
      </c>
      <c r="B777" s="583"/>
      <c r="C777" s="524" t="s">
        <v>300</v>
      </c>
      <c r="D777" s="524" t="s">
        <v>300</v>
      </c>
      <c r="E777" s="524" t="s">
        <v>1089</v>
      </c>
      <c r="F777" s="528" t="s">
        <v>1087</v>
      </c>
      <c r="G777" s="598"/>
      <c r="H777" s="599"/>
      <c r="I777" s="12" t="e">
        <f>SUM(H777/G780*100)</f>
        <v>#DIV/0!</v>
      </c>
    </row>
    <row r="778" spans="1:9" ht="43.5" hidden="1" thickBot="1">
      <c r="A778" s="109" t="s">
        <v>1090</v>
      </c>
      <c r="B778" s="583"/>
      <c r="C778" s="524" t="s">
        <v>300</v>
      </c>
      <c r="D778" s="524" t="s">
        <v>300</v>
      </c>
      <c r="E778" s="524" t="s">
        <v>298</v>
      </c>
      <c r="F778" s="528" t="s">
        <v>1087</v>
      </c>
      <c r="G778" s="598"/>
      <c r="H778" s="599"/>
      <c r="I778" s="12" t="e">
        <f>SUM(H778/G781*100)</f>
        <v>#DIV/0!</v>
      </c>
    </row>
    <row r="779" spans="1:9" ht="29.25" hidden="1" thickBot="1">
      <c r="A779" s="109" t="s">
        <v>1091</v>
      </c>
      <c r="B779" s="583"/>
      <c r="C779" s="524" t="s">
        <v>300</v>
      </c>
      <c r="D779" s="524" t="s">
        <v>300</v>
      </c>
      <c r="E779" s="524" t="s">
        <v>1092</v>
      </c>
      <c r="F779" s="528"/>
      <c r="G779" s="598">
        <f>SUM(G780)</f>
        <v>0</v>
      </c>
      <c r="H779" s="599">
        <f>SUM(H780)</f>
        <v>0</v>
      </c>
      <c r="I779" s="12"/>
    </row>
    <row r="780" spans="1:9" ht="15.75" hidden="1" thickBot="1">
      <c r="A780" s="114" t="s">
        <v>157</v>
      </c>
      <c r="B780" s="62"/>
      <c r="C780" s="524" t="s">
        <v>300</v>
      </c>
      <c r="D780" s="524" t="s">
        <v>300</v>
      </c>
      <c r="E780" s="524" t="s">
        <v>1092</v>
      </c>
      <c r="F780" s="557" t="s">
        <v>83</v>
      </c>
      <c r="G780" s="552"/>
      <c r="H780" s="553"/>
      <c r="I780" s="12" t="e">
        <f>SUM(H780/G783*100)</f>
        <v>#DIV/0!</v>
      </c>
    </row>
    <row r="781" spans="1:9" ht="43.5" hidden="1" thickBot="1">
      <c r="A781" s="109" t="s">
        <v>1093</v>
      </c>
      <c r="B781" s="529"/>
      <c r="C781" s="524" t="s">
        <v>300</v>
      </c>
      <c r="D781" s="524" t="s">
        <v>300</v>
      </c>
      <c r="E781" s="524" t="s">
        <v>1094</v>
      </c>
      <c r="F781" s="528"/>
      <c r="G781" s="598">
        <f>SUM(G782)</f>
        <v>0</v>
      </c>
      <c r="H781" s="599">
        <f>SUM(H782)</f>
        <v>0</v>
      </c>
      <c r="I781" s="12"/>
    </row>
    <row r="782" spans="1:9" ht="15.75" hidden="1" thickBot="1">
      <c r="A782" s="114" t="s">
        <v>157</v>
      </c>
      <c r="B782" s="529"/>
      <c r="C782" s="524" t="s">
        <v>300</v>
      </c>
      <c r="D782" s="524" t="s">
        <v>300</v>
      </c>
      <c r="E782" s="524" t="s">
        <v>1094</v>
      </c>
      <c r="F782" s="557" t="s">
        <v>83</v>
      </c>
      <c r="G782" s="598"/>
      <c r="H782" s="599"/>
      <c r="I782" s="12"/>
    </row>
    <row r="783" spans="1:9" ht="29.25" hidden="1" thickBot="1">
      <c r="A783" s="109" t="s">
        <v>1095</v>
      </c>
      <c r="B783" s="529"/>
      <c r="C783" s="524" t="s">
        <v>300</v>
      </c>
      <c r="D783" s="524" t="s">
        <v>300</v>
      </c>
      <c r="E783" s="524" t="s">
        <v>1096</v>
      </c>
      <c r="F783" s="528"/>
      <c r="G783" s="598">
        <f>SUM(G784)</f>
        <v>0</v>
      </c>
      <c r="H783" s="599">
        <f>SUM(H784)</f>
        <v>0</v>
      </c>
      <c r="I783" s="12"/>
    </row>
    <row r="784" spans="1:9" ht="15.75" hidden="1" thickBot="1">
      <c r="A784" s="114" t="s">
        <v>157</v>
      </c>
      <c r="B784" s="529"/>
      <c r="C784" s="524" t="s">
        <v>300</v>
      </c>
      <c r="D784" s="524" t="s">
        <v>300</v>
      </c>
      <c r="E784" s="524" t="s">
        <v>1096</v>
      </c>
      <c r="F784" s="557" t="s">
        <v>83</v>
      </c>
      <c r="G784" s="598"/>
      <c r="H784" s="599"/>
      <c r="I784" s="12" t="e">
        <f>SUM(H784/G787*100)</f>
        <v>#DIV/0!</v>
      </c>
    </row>
    <row r="785" spans="1:9" ht="43.5" hidden="1" thickBot="1">
      <c r="A785" s="114" t="s">
        <v>1097</v>
      </c>
      <c r="B785" s="529"/>
      <c r="C785" s="524" t="s">
        <v>300</v>
      </c>
      <c r="D785" s="524" t="s">
        <v>300</v>
      </c>
      <c r="E785" s="524" t="s">
        <v>1098</v>
      </c>
      <c r="F785" s="557"/>
      <c r="G785" s="598">
        <f>SUM(G786)</f>
        <v>0</v>
      </c>
      <c r="H785" s="599">
        <f>SUM(H786)</f>
        <v>0</v>
      </c>
      <c r="I785" s="12" t="e">
        <f>SUM(H785/G788*100)</f>
        <v>#DIV/0!</v>
      </c>
    </row>
    <row r="786" spans="1:9" ht="15.75" hidden="1" thickBot="1">
      <c r="A786" s="114" t="s">
        <v>157</v>
      </c>
      <c r="B786" s="529"/>
      <c r="C786" s="524" t="s">
        <v>300</v>
      </c>
      <c r="D786" s="524" t="s">
        <v>300</v>
      </c>
      <c r="E786" s="524" t="s">
        <v>1098</v>
      </c>
      <c r="F786" s="557" t="s">
        <v>83</v>
      </c>
      <c r="G786" s="598"/>
      <c r="H786" s="599"/>
      <c r="I786" s="12" t="e">
        <f>SUM(H786/G789*100)</f>
        <v>#DIV/0!</v>
      </c>
    </row>
    <row r="787" spans="1:9" ht="29.25" hidden="1" thickBot="1">
      <c r="A787" s="109" t="s">
        <v>1099</v>
      </c>
      <c r="B787" s="529"/>
      <c r="C787" s="524" t="s">
        <v>300</v>
      </c>
      <c r="D787" s="524" t="s">
        <v>5</v>
      </c>
      <c r="E787" s="524" t="s">
        <v>1100</v>
      </c>
      <c r="F787" s="528" t="s">
        <v>1087</v>
      </c>
      <c r="G787" s="598"/>
      <c r="H787" s="599"/>
      <c r="I787" s="25" t="e">
        <f>SUM(H787/G790*100)</f>
        <v>#DIV/0!</v>
      </c>
    </row>
    <row r="788" spans="1:9" ht="29.25" hidden="1" thickBot="1">
      <c r="A788" s="109" t="s">
        <v>1101</v>
      </c>
      <c r="B788" s="529"/>
      <c r="C788" s="524" t="s">
        <v>300</v>
      </c>
      <c r="D788" s="524" t="s">
        <v>5</v>
      </c>
      <c r="E788" s="524" t="s">
        <v>1102</v>
      </c>
      <c r="F788" s="528" t="s">
        <v>1087</v>
      </c>
      <c r="G788" s="598"/>
      <c r="H788" s="599"/>
      <c r="I788" s="600">
        <f>SUM(H788/G791*100)</f>
        <v>0</v>
      </c>
    </row>
    <row r="789" spans="1:9" ht="29.25" hidden="1" thickBot="1">
      <c r="A789" s="117" t="s">
        <v>1103</v>
      </c>
      <c r="B789" s="529"/>
      <c r="C789" s="524" t="s">
        <v>300</v>
      </c>
      <c r="D789" s="524" t="s">
        <v>5</v>
      </c>
      <c r="E789" s="524" t="s">
        <v>1104</v>
      </c>
      <c r="F789" s="528" t="s">
        <v>1087</v>
      </c>
      <c r="G789" s="598"/>
      <c r="H789" s="599"/>
      <c r="I789" s="29">
        <f>-76000-174.5-350</f>
        <v>-76524.5</v>
      </c>
    </row>
    <row r="790" spans="1:8" ht="43.5" hidden="1" thickBot="1">
      <c r="A790" s="601" t="s">
        <v>1105</v>
      </c>
      <c r="B790" s="602"/>
      <c r="C790" s="603" t="s">
        <v>300</v>
      </c>
      <c r="D790" s="603" t="s">
        <v>5</v>
      </c>
      <c r="E790" s="603" t="s">
        <v>1106</v>
      </c>
      <c r="F790" s="604" t="s">
        <v>1087</v>
      </c>
      <c r="G790" s="605"/>
      <c r="H790" s="606"/>
    </row>
    <row r="791" spans="1:8" ht="16.5" thickBot="1">
      <c r="A791" s="127" t="s">
        <v>172</v>
      </c>
      <c r="B791" s="134"/>
      <c r="C791" s="126"/>
      <c r="D791" s="126"/>
      <c r="E791" s="126"/>
      <c r="F791" s="135"/>
      <c r="G791" s="607">
        <f>SUM(G11+G35+G54+G279+G312+G470+G509+G595+G692)</f>
        <v>3188337.8000000003</v>
      </c>
      <c r="H791" s="608">
        <f>SUM(H11+H35+H54+H279+H312+H470+H509+H595+H692)</f>
        <v>3202442.7400000007</v>
      </c>
    </row>
    <row r="792" spans="7:8" ht="12" customHeight="1">
      <c r="G792" s="609"/>
      <c r="H792" s="610"/>
    </row>
    <row r="793" spans="7:8" ht="12.75" hidden="1">
      <c r="G793" s="610">
        <f>3229168-40830.2</f>
        <v>3188337.8</v>
      </c>
      <c r="H793" s="611">
        <f>3276557.9-74115.2</f>
        <v>3202442.6999999997</v>
      </c>
    </row>
    <row r="794" ht="12.75" hidden="1"/>
    <row r="795" spans="7:8" ht="12.75" hidden="1">
      <c r="G795" s="610">
        <f>SUM(G791-G793)</f>
        <v>4.656612873077393E-10</v>
      </c>
      <c r="H795" s="610">
        <f>SUM(H791-H793)</f>
        <v>0.04000000096857548</v>
      </c>
    </row>
    <row r="796" ht="12.75">
      <c r="G796" s="611"/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347" customWidth="1"/>
    <col min="2" max="2" width="22.375" style="347" customWidth="1"/>
    <col min="3" max="3" width="0.875" style="347" hidden="1" customWidth="1"/>
    <col min="4" max="4" width="16.125" style="347" hidden="1" customWidth="1"/>
    <col min="5" max="5" width="9.125" style="347" customWidth="1"/>
    <col min="6" max="6" width="10.875" style="347" bestFit="1" customWidth="1"/>
    <col min="7" max="16384" width="9.125" style="347" customWidth="1"/>
  </cols>
  <sheetData>
    <row r="1" spans="2:7" ht="18" customHeight="1">
      <c r="B1" s="14" t="s">
        <v>773</v>
      </c>
      <c r="C1" s="348"/>
      <c r="D1" s="349" t="s">
        <v>761</v>
      </c>
      <c r="G1" s="350"/>
    </row>
    <row r="2" spans="2:7" ht="12.75">
      <c r="B2" s="2" t="s">
        <v>1109</v>
      </c>
      <c r="C2" s="348"/>
      <c r="D2" s="348"/>
      <c r="G2" s="350"/>
    </row>
    <row r="3" spans="2:7" ht="12.75">
      <c r="B3" s="2" t="s">
        <v>270</v>
      </c>
      <c r="C3" s="348"/>
      <c r="D3" s="348"/>
      <c r="G3" s="350"/>
    </row>
    <row r="4" spans="2:7" ht="12.75">
      <c r="B4" s="351" t="s">
        <v>271</v>
      </c>
      <c r="C4" s="348"/>
      <c r="D4" s="348"/>
      <c r="G4" s="350"/>
    </row>
    <row r="5" spans="2:7" ht="15" customHeight="1">
      <c r="B5" s="633" t="s">
        <v>1110</v>
      </c>
      <c r="C5" s="633"/>
      <c r="D5" s="26"/>
      <c r="G5" s="350"/>
    </row>
    <row r="6" ht="12.75">
      <c r="B6" s="350"/>
    </row>
    <row r="9" s="350" customFormat="1" ht="15">
      <c r="A9" s="352" t="s">
        <v>762</v>
      </c>
    </row>
    <row r="10" spans="1:4" s="350" customFormat="1" ht="15">
      <c r="A10" s="352" t="s">
        <v>763</v>
      </c>
      <c r="C10" s="352"/>
      <c r="D10" s="352"/>
    </row>
    <row r="11" ht="15.75">
      <c r="A11" s="353"/>
    </row>
    <row r="12" s="352" customFormat="1" ht="15"/>
    <row r="13" s="352" customFormat="1" ht="15">
      <c r="A13" s="352" t="s">
        <v>764</v>
      </c>
    </row>
    <row r="14" s="352" customFormat="1" ht="15"/>
    <row r="15" s="352" customFormat="1" ht="15.75" thickBot="1">
      <c r="B15" s="352" t="s">
        <v>765</v>
      </c>
    </row>
    <row r="16" spans="1:4" s="352" customFormat="1" ht="40.5" customHeight="1" thickBot="1">
      <c r="A16" s="354" t="s">
        <v>275</v>
      </c>
      <c r="B16" s="355" t="s">
        <v>766</v>
      </c>
      <c r="C16" s="355" t="s">
        <v>767</v>
      </c>
      <c r="D16" s="355" t="s">
        <v>767</v>
      </c>
    </row>
    <row r="17" spans="1:6" s="352" customFormat="1" ht="45.75" customHeight="1">
      <c r="A17" s="356" t="s">
        <v>768</v>
      </c>
      <c r="B17" s="357">
        <f>SUM(B18-B19)</f>
        <v>81776.20000000001</v>
      </c>
      <c r="C17" s="357">
        <f>SUM(C18-C19)</f>
        <v>31656.5</v>
      </c>
      <c r="D17" s="357">
        <f>SUM(D18-D19)</f>
        <v>148939.8</v>
      </c>
      <c r="F17" s="358"/>
    </row>
    <row r="18" spans="1:4" s="352" customFormat="1" ht="24" customHeight="1">
      <c r="A18" s="359" t="s">
        <v>769</v>
      </c>
      <c r="B18" s="360">
        <f>102441.7-10+29344.5</f>
        <v>131776.2</v>
      </c>
      <c r="C18" s="360">
        <f>31656.5+100580.5</f>
        <v>132237</v>
      </c>
      <c r="D18" s="360">
        <f>259071.6+50000</f>
        <v>309071.6</v>
      </c>
    </row>
    <row r="19" spans="1:4" s="352" customFormat="1" ht="25.5" customHeight="1" thickBot="1">
      <c r="A19" s="361" t="s">
        <v>770</v>
      </c>
      <c r="B19" s="360">
        <v>50000</v>
      </c>
      <c r="C19" s="360">
        <v>100580.5</v>
      </c>
      <c r="D19" s="360">
        <v>160131.8</v>
      </c>
    </row>
    <row r="20" spans="1:4" s="352" customFormat="1" ht="45.75" thickBot="1">
      <c r="A20" s="362" t="s">
        <v>771</v>
      </c>
      <c r="B20" s="363">
        <f>SUM(B22-B23)</f>
        <v>-15000</v>
      </c>
      <c r="C20" s="363">
        <f>SUM(C22-C23)</f>
        <v>0</v>
      </c>
      <c r="D20" s="363">
        <f>SUM(D22-D23)</f>
        <v>-50000</v>
      </c>
    </row>
    <row r="21" spans="1:4" s="352" customFormat="1" ht="15" hidden="1">
      <c r="A21" s="364"/>
      <c r="B21" s="360"/>
      <c r="C21" s="360"/>
      <c r="D21" s="360"/>
    </row>
    <row r="22" spans="1:4" s="352" customFormat="1" ht="24" customHeight="1">
      <c r="A22" s="359" t="s">
        <v>769</v>
      </c>
      <c r="B22" s="360"/>
      <c r="C22" s="360"/>
      <c r="D22" s="360"/>
    </row>
    <row r="23" spans="1:4" s="352" customFormat="1" ht="25.5" customHeight="1" thickBot="1">
      <c r="A23" s="365" t="s">
        <v>770</v>
      </c>
      <c r="B23" s="366">
        <v>15000</v>
      </c>
      <c r="C23" s="366"/>
      <c r="D23" s="366">
        <v>50000</v>
      </c>
    </row>
    <row r="24" spans="1:4" s="352" customFormat="1" ht="21" customHeight="1" thickBot="1">
      <c r="A24" s="367" t="s">
        <v>772</v>
      </c>
      <c r="B24" s="363">
        <f>SUM(B25-B26)</f>
        <v>66776.20000000001</v>
      </c>
      <c r="C24" s="363">
        <f>SUM(C25-C26)</f>
        <v>31656.5</v>
      </c>
      <c r="D24" s="363">
        <f>SUM(D25-D26)</f>
        <v>98939.79999999999</v>
      </c>
    </row>
    <row r="25" spans="1:4" s="352" customFormat="1" ht="24" customHeight="1">
      <c r="A25" s="368" t="s">
        <v>769</v>
      </c>
      <c r="B25" s="357">
        <f>SUM(B18+B22)</f>
        <v>131776.2</v>
      </c>
      <c r="C25" s="357">
        <f>SUM(C18+C22)</f>
        <v>132237</v>
      </c>
      <c r="D25" s="357">
        <f>SUM(D18+D22)</f>
        <v>309071.6</v>
      </c>
    </row>
    <row r="26" spans="1:4" s="352" customFormat="1" ht="21.75" customHeight="1" thickBot="1">
      <c r="A26" s="361" t="s">
        <v>770</v>
      </c>
      <c r="B26" s="369">
        <f>SUM(B23)+B19</f>
        <v>65000</v>
      </c>
      <c r="C26" s="369">
        <f>SUM(C23)+C19</f>
        <v>100580.5</v>
      </c>
      <c r="D26" s="369">
        <f>SUM(D23)+D19</f>
        <v>210131.8</v>
      </c>
    </row>
  </sheetData>
  <sheetProtection/>
  <mergeCells count="1">
    <mergeCell ref="B5:C5"/>
  </mergeCells>
  <printOptions/>
  <pageMargins left="1.1023622047244095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4.625" style="347" customWidth="1"/>
    <col min="2" max="2" width="12.75390625" style="347" hidden="1" customWidth="1"/>
    <col min="3" max="3" width="17.375" style="347" customWidth="1"/>
    <col min="4" max="4" width="15.875" style="347" customWidth="1"/>
    <col min="5" max="16384" width="9.125" style="347" customWidth="1"/>
  </cols>
  <sheetData>
    <row r="1" spans="4:7" ht="18" customHeight="1">
      <c r="D1" s="14" t="s">
        <v>1035</v>
      </c>
      <c r="G1" s="350"/>
    </row>
    <row r="2" spans="4:7" ht="12.75">
      <c r="D2" s="2" t="s">
        <v>1109</v>
      </c>
      <c r="G2" s="350"/>
    </row>
    <row r="3" spans="4:7" ht="12.75">
      <c r="D3" s="2" t="s">
        <v>270</v>
      </c>
      <c r="G3" s="350"/>
    </row>
    <row r="4" spans="4:7" ht="12.75">
      <c r="D4" s="2" t="s">
        <v>271</v>
      </c>
      <c r="G4" s="350"/>
    </row>
    <row r="5" spans="4:7" ht="14.25" customHeight="1">
      <c r="D5" s="633" t="s">
        <v>1108</v>
      </c>
      <c r="E5" s="633"/>
      <c r="G5" s="350"/>
    </row>
    <row r="6" ht="12.75">
      <c r="C6" s="350"/>
    </row>
    <row r="9" s="350" customFormat="1" ht="15">
      <c r="A9" s="352" t="s">
        <v>762</v>
      </c>
    </row>
    <row r="10" spans="1:4" s="350" customFormat="1" ht="15">
      <c r="A10" s="352" t="s">
        <v>774</v>
      </c>
      <c r="C10" s="352"/>
      <c r="D10" s="352"/>
    </row>
    <row r="11" ht="15.75">
      <c r="A11" s="353"/>
    </row>
    <row r="12" s="352" customFormat="1" ht="15"/>
    <row r="13" s="352" customFormat="1" ht="15">
      <c r="A13" s="352" t="s">
        <v>764</v>
      </c>
    </row>
    <row r="14" s="352" customFormat="1" ht="15"/>
    <row r="15" spans="2:3" s="352" customFormat="1" ht="15.75" thickBot="1">
      <c r="B15" s="352" t="s">
        <v>765</v>
      </c>
      <c r="C15" s="352" t="s">
        <v>765</v>
      </c>
    </row>
    <row r="16" spans="1:4" s="352" customFormat="1" ht="40.5" customHeight="1" thickBot="1">
      <c r="A16" s="370" t="s">
        <v>275</v>
      </c>
      <c r="B16" s="355" t="s">
        <v>767</v>
      </c>
      <c r="C16" s="355" t="s">
        <v>775</v>
      </c>
      <c r="D16" s="355" t="s">
        <v>776</v>
      </c>
    </row>
    <row r="17" spans="1:4" s="352" customFormat="1" ht="45.75" customHeight="1">
      <c r="A17" s="371" t="s">
        <v>768</v>
      </c>
      <c r="B17" s="357">
        <f>SUM(B18-B19)</f>
        <v>98939.80000000002</v>
      </c>
      <c r="C17" s="372">
        <f>SUM(C18-C19)</f>
        <v>53800.5</v>
      </c>
      <c r="D17" s="357">
        <f>SUM(D18-D19)</f>
        <v>26307.70000000001</v>
      </c>
    </row>
    <row r="18" spans="1:4" s="352" customFormat="1" ht="24" customHeight="1">
      <c r="A18" s="373" t="s">
        <v>769</v>
      </c>
      <c r="B18" s="360">
        <v>259071.6</v>
      </c>
      <c r="C18" s="374">
        <f>192618.5+102431.7+28800.5+25000+29344.5</f>
        <v>378195.2</v>
      </c>
      <c r="D18" s="375">
        <f>348850.7+21400+4907.7+29344.5</f>
        <v>404502.9</v>
      </c>
    </row>
    <row r="19" spans="1:4" s="352" customFormat="1" ht="25.5" customHeight="1" thickBot="1">
      <c r="A19" s="376" t="s">
        <v>770</v>
      </c>
      <c r="B19" s="360">
        <v>160131.8</v>
      </c>
      <c r="C19" s="374">
        <f>102431.7+192618.5+29344.5</f>
        <v>324394.7</v>
      </c>
      <c r="D19" s="360">
        <f>SUM(C18)</f>
        <v>378195.2</v>
      </c>
    </row>
    <row r="20" spans="1:4" s="352" customFormat="1" ht="45.75" thickBot="1">
      <c r="A20" s="362" t="s">
        <v>771</v>
      </c>
      <c r="B20" s="363">
        <f>SUM(B22-B23)</f>
        <v>0</v>
      </c>
      <c r="C20" s="377">
        <f>SUM(C22-C23)</f>
        <v>-25000</v>
      </c>
      <c r="D20" s="363">
        <f>SUM(D22-D23)</f>
        <v>-21400</v>
      </c>
    </row>
    <row r="21" spans="1:4" s="352" customFormat="1" ht="15" hidden="1">
      <c r="A21" s="378"/>
      <c r="B21" s="360"/>
      <c r="C21" s="379"/>
      <c r="D21" s="360"/>
    </row>
    <row r="22" spans="1:4" s="352" customFormat="1" ht="24" customHeight="1">
      <c r="A22" s="373" t="s">
        <v>769</v>
      </c>
      <c r="B22" s="360">
        <v>50000</v>
      </c>
      <c r="C22" s="379"/>
      <c r="D22" s="360"/>
    </row>
    <row r="23" spans="1:4" s="352" customFormat="1" ht="25.5" customHeight="1" thickBot="1">
      <c r="A23" s="380" t="s">
        <v>770</v>
      </c>
      <c r="B23" s="366">
        <v>50000</v>
      </c>
      <c r="C23" s="381">
        <v>25000</v>
      </c>
      <c r="D23" s="366">
        <v>21400</v>
      </c>
    </row>
    <row r="24" spans="1:4" s="352" customFormat="1" ht="21" customHeight="1" thickBot="1">
      <c r="A24" s="367" t="s">
        <v>772</v>
      </c>
      <c r="B24" s="363">
        <f>SUM(B25-B26)</f>
        <v>98939.79999999999</v>
      </c>
      <c r="C24" s="377">
        <f>SUM(C25-C26)</f>
        <v>28800.5</v>
      </c>
      <c r="D24" s="363">
        <f>SUM(D25-D26)</f>
        <v>4907.700000000012</v>
      </c>
    </row>
    <row r="25" spans="1:4" s="352" customFormat="1" ht="24" customHeight="1">
      <c r="A25" s="382" t="s">
        <v>769</v>
      </c>
      <c r="B25" s="357">
        <f>SUM(B18+B22)</f>
        <v>309071.6</v>
      </c>
      <c r="C25" s="372">
        <f>SUM(C18+C22)</f>
        <v>378195.2</v>
      </c>
      <c r="D25" s="357">
        <f>SUM(D18+D22)</f>
        <v>404502.9</v>
      </c>
    </row>
    <row r="26" spans="1:4" s="352" customFormat="1" ht="21.75" customHeight="1" thickBot="1">
      <c r="A26" s="376" t="s">
        <v>770</v>
      </c>
      <c r="B26" s="369">
        <f>SUM(B23)+B19</f>
        <v>210131.8</v>
      </c>
      <c r="C26" s="383">
        <f>SUM(C23)+C19</f>
        <v>349394.7</v>
      </c>
      <c r="D26" s="369">
        <f>SUM(D23)+D19</f>
        <v>399595.2</v>
      </c>
    </row>
  </sheetData>
  <sheetProtection/>
  <mergeCells count="1">
    <mergeCell ref="D5:E5"/>
  </mergeCells>
  <printOptions/>
  <pageMargins left="1.299212598425197" right="0.31496062992125984" top="0.7480314960629921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38" customWidth="1"/>
    <col min="2" max="2" width="57.75390625" style="41" customWidth="1"/>
    <col min="3" max="3" width="18.875" style="42" hidden="1" customWidth="1"/>
    <col min="4" max="4" width="12.25390625" style="39" hidden="1" customWidth="1"/>
    <col min="5" max="5" width="21.25390625" style="42" customWidth="1"/>
    <col min="6" max="6" width="17.625" style="39" hidden="1" customWidth="1"/>
    <col min="7" max="7" width="10.125" style="39" hidden="1" customWidth="1"/>
    <col min="8" max="16384" width="9.125" style="39" customWidth="1"/>
  </cols>
  <sheetData>
    <row r="1" spans="2:5" ht="12.75">
      <c r="B1" s="157"/>
      <c r="C1" s="157" t="s">
        <v>484</v>
      </c>
      <c r="D1" s="157"/>
      <c r="E1" s="67" t="s">
        <v>1034</v>
      </c>
    </row>
    <row r="2" spans="2:5" ht="12" customHeight="1">
      <c r="B2" s="40"/>
      <c r="C2" s="40" t="s">
        <v>269</v>
      </c>
      <c r="D2" s="157"/>
      <c r="E2" s="40" t="s">
        <v>1109</v>
      </c>
    </row>
    <row r="3" spans="1:5" ht="15.75" customHeight="1">
      <c r="A3" s="65"/>
      <c r="B3" s="40"/>
      <c r="C3" s="40" t="s">
        <v>270</v>
      </c>
      <c r="D3" s="157"/>
      <c r="E3" s="40" t="s">
        <v>270</v>
      </c>
    </row>
    <row r="4" spans="3:5" ht="15">
      <c r="C4" s="40" t="s">
        <v>271</v>
      </c>
      <c r="D4" s="157"/>
      <c r="E4" s="40" t="s">
        <v>271</v>
      </c>
    </row>
    <row r="5" spans="3:6" ht="19.5" customHeight="1">
      <c r="C5" s="633" t="s">
        <v>623</v>
      </c>
      <c r="D5" s="633"/>
      <c r="E5" s="633" t="s">
        <v>1113</v>
      </c>
      <c r="F5" s="633"/>
    </row>
    <row r="6" spans="1:5" ht="74.25" customHeight="1">
      <c r="A6" s="640" t="s">
        <v>624</v>
      </c>
      <c r="B6" s="641"/>
      <c r="C6" s="641"/>
      <c r="E6" s="39"/>
    </row>
    <row r="7" spans="1:2" s="42" customFormat="1" ht="15">
      <c r="A7" s="38"/>
      <c r="B7" s="41"/>
    </row>
    <row r="8" spans="1:5" s="42" customFormat="1" ht="12.75" customHeight="1">
      <c r="A8" s="642" t="s">
        <v>63</v>
      </c>
      <c r="B8" s="645" t="s">
        <v>9</v>
      </c>
      <c r="C8" s="639" t="s">
        <v>10</v>
      </c>
      <c r="D8" s="639" t="s">
        <v>10</v>
      </c>
      <c r="E8" s="639" t="s">
        <v>10</v>
      </c>
    </row>
    <row r="9" spans="1:5" s="42" customFormat="1" ht="11.25" customHeight="1">
      <c r="A9" s="643"/>
      <c r="B9" s="645"/>
      <c r="C9" s="639"/>
      <c r="D9" s="639"/>
      <c r="E9" s="639"/>
    </row>
    <row r="10" spans="1:5" s="158" customFormat="1" ht="37.5" customHeight="1">
      <c r="A10" s="644"/>
      <c r="B10" s="645"/>
      <c r="C10" s="639"/>
      <c r="D10" s="639"/>
      <c r="E10" s="639"/>
    </row>
    <row r="11" spans="1:6" s="48" customFormat="1" ht="30" customHeight="1">
      <c r="A11" s="43" t="s">
        <v>11</v>
      </c>
      <c r="B11" s="50" t="s">
        <v>12</v>
      </c>
      <c r="C11" s="156">
        <f>C12+C17+C22+C27</f>
        <v>73995.59999999998</v>
      </c>
      <c r="D11" s="45">
        <f>D12+D17+D22+D27</f>
        <v>98939.79999999999</v>
      </c>
      <c r="E11" s="156">
        <f>E12+E17+E22+E27</f>
        <v>73788.70000000001</v>
      </c>
      <c r="F11" s="48">
        <v>73995.6</v>
      </c>
    </row>
    <row r="12" spans="1:5" s="48" customFormat="1" ht="30" customHeight="1">
      <c r="A12" s="43" t="s">
        <v>32</v>
      </c>
      <c r="B12" s="162" t="s">
        <v>33</v>
      </c>
      <c r="C12" s="156">
        <f>SUM(C13-C15)</f>
        <v>73995.59999999998</v>
      </c>
      <c r="D12" s="45">
        <f>SUM(D13-D15)</f>
        <v>148939.8</v>
      </c>
      <c r="E12" s="156">
        <f>SUM(E13-E15)</f>
        <v>81776.20000000001</v>
      </c>
    </row>
    <row r="13" spans="1:7" s="48" customFormat="1" ht="33" customHeight="1">
      <c r="A13" s="43" t="s">
        <v>34</v>
      </c>
      <c r="B13" s="44" t="s">
        <v>35</v>
      </c>
      <c r="C13" s="156">
        <f>SUM(C14)</f>
        <v>291614.1</v>
      </c>
      <c r="D13" s="45">
        <f>259071.6+50000</f>
        <v>309071.6</v>
      </c>
      <c r="E13" s="156">
        <f>SUM(E14)</f>
        <v>131776.2</v>
      </c>
      <c r="G13" s="159">
        <f>SUM(C13+C18)</f>
        <v>291614.1</v>
      </c>
    </row>
    <row r="14" spans="1:5" s="48" customFormat="1" ht="50.25" customHeight="1">
      <c r="A14" s="43" t="s">
        <v>36</v>
      </c>
      <c r="B14" s="55" t="s">
        <v>625</v>
      </c>
      <c r="C14" s="156">
        <f>223995.6-15000+82618.5</f>
        <v>291614.1</v>
      </c>
      <c r="D14" s="45">
        <v>100580.5</v>
      </c>
      <c r="E14" s="156">
        <f>65000+73995.6-15000-21553.9-10+29344.5</f>
        <v>131776.2</v>
      </c>
    </row>
    <row r="15" spans="1:5" s="48" customFormat="1" ht="49.5" customHeight="1">
      <c r="A15" s="43" t="s">
        <v>37</v>
      </c>
      <c r="B15" s="69" t="s">
        <v>348</v>
      </c>
      <c r="C15" s="156">
        <f>SUM(C16)</f>
        <v>217618.5</v>
      </c>
      <c r="D15" s="45">
        <v>160131.8</v>
      </c>
      <c r="E15" s="156">
        <f>SUM(E16)</f>
        <v>50000</v>
      </c>
    </row>
    <row r="16" spans="1:5" s="48" customFormat="1" ht="46.5" customHeight="1">
      <c r="A16" s="43" t="s">
        <v>349</v>
      </c>
      <c r="B16" s="55" t="s">
        <v>626</v>
      </c>
      <c r="C16" s="156">
        <v>217618.5</v>
      </c>
      <c r="D16" s="45">
        <v>60000</v>
      </c>
      <c r="E16" s="156">
        <v>50000</v>
      </c>
    </row>
    <row r="17" spans="1:5" s="48" customFormat="1" ht="36" customHeight="1">
      <c r="A17" s="43" t="s">
        <v>629</v>
      </c>
      <c r="B17" s="46" t="s">
        <v>173</v>
      </c>
      <c r="C17" s="156">
        <f>SUM(C18)-C20</f>
        <v>-15000</v>
      </c>
      <c r="D17" s="45">
        <f>SUM(D18)-D20</f>
        <v>-50000</v>
      </c>
      <c r="E17" s="156">
        <f>SUM(E18)-E20</f>
        <v>-15000</v>
      </c>
    </row>
    <row r="18" spans="1:5" s="48" customFormat="1" ht="45" customHeight="1" hidden="1">
      <c r="A18" s="43" t="s">
        <v>350</v>
      </c>
      <c r="B18" s="47" t="s">
        <v>351</v>
      </c>
      <c r="C18" s="156"/>
      <c r="D18" s="45"/>
      <c r="E18" s="156"/>
    </row>
    <row r="19" spans="1:5" s="48" customFormat="1" ht="20.25" customHeight="1" hidden="1">
      <c r="A19" s="43" t="s">
        <v>437</v>
      </c>
      <c r="B19" s="46" t="s">
        <v>174</v>
      </c>
      <c r="C19" s="156"/>
      <c r="D19" s="45"/>
      <c r="E19" s="156"/>
    </row>
    <row r="20" spans="1:5" s="48" customFormat="1" ht="49.5" customHeight="1">
      <c r="A20" s="43" t="s">
        <v>630</v>
      </c>
      <c r="B20" s="49" t="s">
        <v>438</v>
      </c>
      <c r="C20" s="156">
        <v>15000</v>
      </c>
      <c r="D20" s="45">
        <v>50000</v>
      </c>
      <c r="E20" s="156">
        <v>15000</v>
      </c>
    </row>
    <row r="21" spans="1:5" s="48" customFormat="1" ht="66.75" customHeight="1">
      <c r="A21" s="43" t="s">
        <v>631</v>
      </c>
      <c r="B21" s="55" t="s">
        <v>628</v>
      </c>
      <c r="C21" s="156">
        <v>15000</v>
      </c>
      <c r="D21" s="45"/>
      <c r="E21" s="156">
        <v>15000</v>
      </c>
    </row>
    <row r="22" spans="1:5" s="48" customFormat="1" ht="32.25" customHeight="1">
      <c r="A22" s="43" t="s">
        <v>352</v>
      </c>
      <c r="B22" s="50" t="s">
        <v>627</v>
      </c>
      <c r="C22" s="156">
        <f aca="true" t="shared" si="0" ref="C22:E25">SUM(C23)</f>
        <v>15000</v>
      </c>
      <c r="D22" s="45">
        <f t="shared" si="0"/>
        <v>0</v>
      </c>
      <c r="E22" s="156">
        <f t="shared" si="0"/>
        <v>7012.5</v>
      </c>
    </row>
    <row r="23" spans="1:5" s="48" customFormat="1" ht="32.25" customHeight="1">
      <c r="A23" s="43" t="s">
        <v>353</v>
      </c>
      <c r="B23" s="50" t="s">
        <v>354</v>
      </c>
      <c r="C23" s="156">
        <f>SUM(C24)</f>
        <v>15000</v>
      </c>
      <c r="D23" s="45">
        <f t="shared" si="0"/>
        <v>0</v>
      </c>
      <c r="E23" s="156">
        <f>SUM(E24)</f>
        <v>7012.5</v>
      </c>
    </row>
    <row r="24" spans="1:5" s="48" customFormat="1" ht="31.5" customHeight="1">
      <c r="A24" s="43" t="s">
        <v>355</v>
      </c>
      <c r="B24" s="50" t="s">
        <v>356</v>
      </c>
      <c r="C24" s="156">
        <f>SUM(C25)</f>
        <v>15000</v>
      </c>
      <c r="D24" s="45">
        <f t="shared" si="0"/>
        <v>0</v>
      </c>
      <c r="E24" s="156">
        <f>SUM(E25)</f>
        <v>7012.5</v>
      </c>
    </row>
    <row r="25" spans="1:5" s="48" customFormat="1" ht="32.25" customHeight="1">
      <c r="A25" s="43" t="s">
        <v>357</v>
      </c>
      <c r="B25" s="50" t="s">
        <v>358</v>
      </c>
      <c r="C25" s="156">
        <f t="shared" si="0"/>
        <v>15000</v>
      </c>
      <c r="D25" s="45">
        <f t="shared" si="0"/>
        <v>0</v>
      </c>
      <c r="E25" s="156">
        <f t="shared" si="0"/>
        <v>7012.5</v>
      </c>
    </row>
    <row r="26" spans="1:5" s="48" customFormat="1" ht="38.25" customHeight="1">
      <c r="A26" s="43" t="s">
        <v>359</v>
      </c>
      <c r="B26" s="50" t="s">
        <v>360</v>
      </c>
      <c r="C26" s="156">
        <v>15000</v>
      </c>
      <c r="D26" s="45"/>
      <c r="E26" s="156">
        <f>6563.9+49.5+263.5+7+128.6</f>
        <v>7012.5</v>
      </c>
    </row>
    <row r="27" spans="1:7" ht="35.25" customHeight="1" hidden="1">
      <c r="A27" s="51" t="s">
        <v>361</v>
      </c>
      <c r="B27" s="160" t="s">
        <v>177</v>
      </c>
      <c r="C27" s="53">
        <f>C28+C31</f>
        <v>0</v>
      </c>
      <c r="D27" s="53">
        <f>D28+D31</f>
        <v>0</v>
      </c>
      <c r="E27" s="53">
        <f>E28+E31</f>
        <v>0</v>
      </c>
      <c r="F27" s="48"/>
      <c r="G27" s="48"/>
    </row>
    <row r="28" spans="1:7" ht="30.75" customHeight="1" hidden="1">
      <c r="A28" s="51" t="s">
        <v>362</v>
      </c>
      <c r="B28" s="52" t="s">
        <v>363</v>
      </c>
      <c r="C28" s="53">
        <f>SUM(C29)</f>
        <v>0</v>
      </c>
      <c r="D28" s="53">
        <f>SUM(D29)</f>
        <v>0</v>
      </c>
      <c r="E28" s="53">
        <f>SUM(E29)</f>
        <v>0</v>
      </c>
      <c r="F28" s="48"/>
      <c r="G28" s="48"/>
    </row>
    <row r="29" spans="1:7" ht="123.75" customHeight="1" hidden="1">
      <c r="A29" s="51" t="s">
        <v>364</v>
      </c>
      <c r="B29" s="54" t="s">
        <v>233</v>
      </c>
      <c r="C29" s="53"/>
      <c r="D29" s="53">
        <f>SUM(D30)</f>
        <v>0</v>
      </c>
      <c r="E29" s="53"/>
      <c r="F29" s="48"/>
      <c r="G29" s="48"/>
    </row>
    <row r="30" spans="1:7" ht="110.25" customHeight="1" hidden="1">
      <c r="A30" s="51" t="s">
        <v>234</v>
      </c>
      <c r="B30" s="55" t="s">
        <v>312</v>
      </c>
      <c r="C30" s="53">
        <v>-10000</v>
      </c>
      <c r="D30" s="53"/>
      <c r="E30" s="53">
        <v>-10000</v>
      </c>
      <c r="F30" s="48"/>
      <c r="G30" s="48"/>
    </row>
    <row r="31" spans="1:7" ht="30" customHeight="1" hidden="1">
      <c r="A31" s="51" t="s">
        <v>313</v>
      </c>
      <c r="B31" s="52" t="s">
        <v>314</v>
      </c>
      <c r="C31" s="53">
        <f>SUM(C32)</f>
        <v>0</v>
      </c>
      <c r="D31" s="53">
        <f>SUM(D32)</f>
        <v>0</v>
      </c>
      <c r="E31" s="53">
        <f>SUM(E32)</f>
        <v>0</v>
      </c>
      <c r="F31" s="48"/>
      <c r="G31" s="48"/>
    </row>
    <row r="32" spans="1:7" ht="30" customHeight="1" hidden="1">
      <c r="A32" s="51" t="s">
        <v>315</v>
      </c>
      <c r="B32" s="52" t="s">
        <v>316</v>
      </c>
      <c r="C32" s="53"/>
      <c r="D32" s="53">
        <f>SUM(D33)</f>
        <v>0</v>
      </c>
      <c r="E32" s="53"/>
      <c r="F32" s="48"/>
      <c r="G32" s="48"/>
    </row>
    <row r="33" spans="1:7" ht="45" customHeight="1" hidden="1">
      <c r="A33" s="51" t="s">
        <v>317</v>
      </c>
      <c r="B33" s="55" t="s">
        <v>318</v>
      </c>
      <c r="C33" s="53">
        <v>10000</v>
      </c>
      <c r="D33" s="53"/>
      <c r="E33" s="53">
        <v>10000</v>
      </c>
      <c r="F33" s="48"/>
      <c r="G33" s="48"/>
    </row>
    <row r="34" spans="1:7" ht="15">
      <c r="A34" s="56"/>
      <c r="C34" s="57"/>
      <c r="D34" s="48"/>
      <c r="E34" s="57"/>
      <c r="F34" s="48"/>
      <c r="G34" s="48"/>
    </row>
  </sheetData>
  <sheetProtection/>
  <mergeCells count="8">
    <mergeCell ref="E8:E10"/>
    <mergeCell ref="C5:D5"/>
    <mergeCell ref="A6:C6"/>
    <mergeCell ref="A8:A10"/>
    <mergeCell ref="B8:B10"/>
    <mergeCell ref="C8:C10"/>
    <mergeCell ref="D8:D10"/>
    <mergeCell ref="E5:F5"/>
  </mergeCells>
  <printOptions/>
  <pageMargins left="1.299212598425197" right="0.11811023622047245" top="0.7480314960629921" bottom="0.15748031496062992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30.625" style="38" customWidth="1"/>
    <col min="2" max="2" width="55.00390625" style="386" customWidth="1"/>
    <col min="3" max="3" width="16.375" style="42" hidden="1" customWidth="1"/>
    <col min="4" max="4" width="15.25390625" style="39" hidden="1" customWidth="1"/>
    <col min="5" max="5" width="14.75390625" style="39" customWidth="1"/>
    <col min="6" max="6" width="15.125" style="39" customWidth="1"/>
    <col min="7" max="16384" width="9.125" style="39" customWidth="1"/>
  </cols>
  <sheetData>
    <row r="1" spans="2:6" ht="12.75">
      <c r="B1" s="384"/>
      <c r="C1" s="67" t="s">
        <v>777</v>
      </c>
      <c r="D1" s="348"/>
      <c r="F1" s="67" t="s">
        <v>1033</v>
      </c>
    </row>
    <row r="2" spans="2:6" ht="12" customHeight="1">
      <c r="B2" s="385"/>
      <c r="C2" s="40" t="s">
        <v>269</v>
      </c>
      <c r="D2" s="348"/>
      <c r="F2" s="40" t="s">
        <v>1109</v>
      </c>
    </row>
    <row r="3" spans="2:6" ht="12.75">
      <c r="B3" s="385"/>
      <c r="C3" s="40" t="s">
        <v>270</v>
      </c>
      <c r="D3" s="348"/>
      <c r="F3" s="40" t="s">
        <v>270</v>
      </c>
    </row>
    <row r="4" spans="3:6" ht="15">
      <c r="C4" s="40" t="s">
        <v>271</v>
      </c>
      <c r="D4" s="348"/>
      <c r="F4" s="40" t="s">
        <v>271</v>
      </c>
    </row>
    <row r="5" spans="3:6" ht="17.25" customHeight="1">
      <c r="C5" s="633" t="s">
        <v>778</v>
      </c>
      <c r="D5" s="633"/>
      <c r="E5" s="646" t="s">
        <v>1108</v>
      </c>
      <c r="F5" s="646"/>
    </row>
    <row r="6" spans="1:3" ht="75.75" customHeight="1">
      <c r="A6" s="640" t="s">
        <v>779</v>
      </c>
      <c r="B6" s="641"/>
      <c r="C6" s="641"/>
    </row>
    <row r="7" spans="1:2" s="42" customFormat="1" ht="15">
      <c r="A7" s="38"/>
      <c r="B7" s="386"/>
    </row>
    <row r="8" spans="1:6" s="42" customFormat="1" ht="12.75" customHeight="1">
      <c r="A8" s="647" t="s">
        <v>63</v>
      </c>
      <c r="B8" s="650" t="s">
        <v>9</v>
      </c>
      <c r="C8" s="651" t="s">
        <v>780</v>
      </c>
      <c r="D8" s="651" t="s">
        <v>781</v>
      </c>
      <c r="E8" s="651" t="s">
        <v>780</v>
      </c>
      <c r="F8" s="651" t="s">
        <v>781</v>
      </c>
    </row>
    <row r="9" spans="1:6" s="42" customFormat="1" ht="11.25" customHeight="1">
      <c r="A9" s="648"/>
      <c r="B9" s="650"/>
      <c r="C9" s="651"/>
      <c r="D9" s="651"/>
      <c r="E9" s="651"/>
      <c r="F9" s="651"/>
    </row>
    <row r="10" spans="1:6" s="387" customFormat="1" ht="37.5" customHeight="1">
      <c r="A10" s="649"/>
      <c r="B10" s="650"/>
      <c r="C10" s="651"/>
      <c r="D10" s="651"/>
      <c r="E10" s="651"/>
      <c r="F10" s="651"/>
    </row>
    <row r="11" spans="1:6" s="391" customFormat="1" ht="34.5" customHeight="1">
      <c r="A11" s="388" t="s">
        <v>11</v>
      </c>
      <c r="B11" s="389" t="s">
        <v>12</v>
      </c>
      <c r="C11" s="390">
        <f>C12+C17+C22+C27</f>
        <v>28800.5</v>
      </c>
      <c r="D11" s="390">
        <f>D12+D17+D22+D27</f>
        <v>4907.700000000012</v>
      </c>
      <c r="E11" s="390">
        <f>E12+E17+E22+E27</f>
        <v>28800.5</v>
      </c>
      <c r="F11" s="390">
        <f>F12+F17+F22+F27</f>
        <v>4907.700000000012</v>
      </c>
    </row>
    <row r="12" spans="1:6" s="391" customFormat="1" ht="30" customHeight="1">
      <c r="A12" s="43" t="s">
        <v>32</v>
      </c>
      <c r="B12" s="392" t="s">
        <v>33</v>
      </c>
      <c r="C12" s="390">
        <f>SUM(C13-C15)</f>
        <v>53800.5</v>
      </c>
      <c r="D12" s="390">
        <f>SUM(D13-D15)</f>
        <v>26307.70000000001</v>
      </c>
      <c r="E12" s="390">
        <f>SUM(E13-E15)</f>
        <v>53800.5</v>
      </c>
      <c r="F12" s="390">
        <f>SUM(F13-F15)</f>
        <v>26307.70000000001</v>
      </c>
    </row>
    <row r="13" spans="1:6" s="391" customFormat="1" ht="30" customHeight="1">
      <c r="A13" s="43" t="s">
        <v>34</v>
      </c>
      <c r="B13" s="392" t="s">
        <v>35</v>
      </c>
      <c r="C13" s="156">
        <f>SUM(C14)</f>
        <v>345414.6</v>
      </c>
      <c r="D13" s="156">
        <f>SUM(D14)</f>
        <v>371722.3</v>
      </c>
      <c r="E13" s="156">
        <f>SUM(E14)</f>
        <v>378195.2</v>
      </c>
      <c r="F13" s="156">
        <f>SUM(F14)</f>
        <v>404502.9</v>
      </c>
    </row>
    <row r="14" spans="1:6" s="391" customFormat="1" ht="45">
      <c r="A14" s="43" t="s">
        <v>36</v>
      </c>
      <c r="B14" s="55" t="s">
        <v>625</v>
      </c>
      <c r="C14" s="156">
        <f>233995.6+28800.5+82618.5</f>
        <v>345414.6</v>
      </c>
      <c r="D14" s="156">
        <f>229342+33454.1+4907.7+82618.5+21400</f>
        <v>371722.3</v>
      </c>
      <c r="E14" s="156">
        <f>192618.5+102431.7+28800.5+25000+29344.5</f>
        <v>378195.2</v>
      </c>
      <c r="F14" s="156">
        <f>348850.7+21400+4907.7+29344.5</f>
        <v>404502.9</v>
      </c>
    </row>
    <row r="15" spans="1:6" s="391" customFormat="1" ht="46.5" customHeight="1">
      <c r="A15" s="43" t="s">
        <v>37</v>
      </c>
      <c r="B15" s="69" t="s">
        <v>348</v>
      </c>
      <c r="C15" s="156">
        <f>SUM(C16)</f>
        <v>291614.1</v>
      </c>
      <c r="D15" s="156">
        <f>SUM(D16)</f>
        <v>345414.6</v>
      </c>
      <c r="E15" s="156">
        <f>SUM(E16)</f>
        <v>324394.7</v>
      </c>
      <c r="F15" s="156">
        <f>SUM(F16)</f>
        <v>378195.2</v>
      </c>
    </row>
    <row r="16" spans="1:6" s="391" customFormat="1" ht="57" customHeight="1">
      <c r="A16" s="43" t="s">
        <v>349</v>
      </c>
      <c r="B16" s="55" t="s">
        <v>626</v>
      </c>
      <c r="C16" s="156">
        <f>208995.6+82618.5</f>
        <v>291614.1</v>
      </c>
      <c r="D16" s="156">
        <f>233995.6+28800.5+82618.5</f>
        <v>345414.6</v>
      </c>
      <c r="E16" s="156">
        <f>102431.7+192618.5+29344.5</f>
        <v>324394.7</v>
      </c>
      <c r="F16" s="156">
        <f>SUM(E14)</f>
        <v>378195.2</v>
      </c>
    </row>
    <row r="17" spans="1:6" s="391" customFormat="1" ht="30" customHeight="1">
      <c r="A17" s="43" t="s">
        <v>629</v>
      </c>
      <c r="B17" s="46" t="s">
        <v>173</v>
      </c>
      <c r="C17" s="390">
        <f>SUM(C18)-C20</f>
        <v>-25000</v>
      </c>
      <c r="D17" s="390">
        <f>SUM(D18)-D20</f>
        <v>-21400</v>
      </c>
      <c r="E17" s="390">
        <f>SUM(E18)-E20</f>
        <v>-25000</v>
      </c>
      <c r="F17" s="390">
        <f>SUM(F18)-F20</f>
        <v>-21400</v>
      </c>
    </row>
    <row r="18" spans="1:6" s="391" customFormat="1" ht="45" customHeight="1" hidden="1">
      <c r="A18" s="43" t="s">
        <v>350</v>
      </c>
      <c r="B18" s="46" t="s">
        <v>351</v>
      </c>
      <c r="C18" s="156"/>
      <c r="D18" s="156"/>
      <c r="E18" s="156"/>
      <c r="F18" s="156"/>
    </row>
    <row r="19" spans="1:6" s="48" customFormat="1" ht="45" customHeight="1" hidden="1">
      <c r="A19" s="43" t="s">
        <v>437</v>
      </c>
      <c r="B19" s="46" t="s">
        <v>174</v>
      </c>
      <c r="C19" s="156"/>
      <c r="D19" s="156"/>
      <c r="E19" s="156"/>
      <c r="F19" s="156"/>
    </row>
    <row r="20" spans="1:6" s="48" customFormat="1" ht="53.25" customHeight="1">
      <c r="A20" s="43" t="s">
        <v>630</v>
      </c>
      <c r="B20" s="49" t="s">
        <v>438</v>
      </c>
      <c r="C20" s="156">
        <f>SUM(C21)</f>
        <v>25000</v>
      </c>
      <c r="D20" s="156">
        <f>SUM(D21)</f>
        <v>21400</v>
      </c>
      <c r="E20" s="156">
        <f>SUM(E21)</f>
        <v>25000</v>
      </c>
      <c r="F20" s="156">
        <f>SUM(F21)</f>
        <v>21400</v>
      </c>
    </row>
    <row r="21" spans="1:6" s="48" customFormat="1" ht="60" customHeight="1">
      <c r="A21" s="43" t="s">
        <v>631</v>
      </c>
      <c r="B21" s="55" t="s">
        <v>782</v>
      </c>
      <c r="C21" s="156">
        <v>25000</v>
      </c>
      <c r="D21" s="156">
        <v>21400</v>
      </c>
      <c r="E21" s="156">
        <v>25000</v>
      </c>
      <c r="F21" s="156">
        <v>21400</v>
      </c>
    </row>
    <row r="22" spans="1:4" s="391" customFormat="1" ht="32.25" customHeight="1" hidden="1">
      <c r="A22" s="388" t="s">
        <v>352</v>
      </c>
      <c r="B22" s="389" t="s">
        <v>783</v>
      </c>
      <c r="C22" s="393">
        <f aca="true" t="shared" si="0" ref="C22:D25">SUM(C23)</f>
        <v>0</v>
      </c>
      <c r="D22" s="393">
        <f t="shared" si="0"/>
        <v>0</v>
      </c>
    </row>
    <row r="23" spans="1:4" s="391" customFormat="1" ht="32.25" customHeight="1" hidden="1">
      <c r="A23" s="43" t="s">
        <v>353</v>
      </c>
      <c r="B23" s="50" t="s">
        <v>354</v>
      </c>
      <c r="C23" s="45">
        <f t="shared" si="0"/>
        <v>0</v>
      </c>
      <c r="D23" s="45">
        <f t="shared" si="0"/>
        <v>0</v>
      </c>
    </row>
    <row r="24" spans="1:4" s="391" customFormat="1" ht="32.25" customHeight="1" hidden="1">
      <c r="A24" s="43" t="s">
        <v>355</v>
      </c>
      <c r="B24" s="50" t="s">
        <v>356</v>
      </c>
      <c r="C24" s="45">
        <f t="shared" si="0"/>
        <v>0</v>
      </c>
      <c r="D24" s="45">
        <f t="shared" si="0"/>
        <v>0</v>
      </c>
    </row>
    <row r="25" spans="1:4" s="391" customFormat="1" ht="32.25" customHeight="1" hidden="1">
      <c r="A25" s="43" t="s">
        <v>357</v>
      </c>
      <c r="B25" s="50" t="s">
        <v>358</v>
      </c>
      <c r="C25" s="45">
        <f t="shared" si="0"/>
        <v>0</v>
      </c>
      <c r="D25" s="45">
        <f t="shared" si="0"/>
        <v>0</v>
      </c>
    </row>
    <row r="26" spans="1:4" s="48" customFormat="1" ht="38.25" customHeight="1" hidden="1">
      <c r="A26" s="43" t="s">
        <v>359</v>
      </c>
      <c r="B26" s="50" t="s">
        <v>360</v>
      </c>
      <c r="C26" s="45"/>
      <c r="D26" s="45"/>
    </row>
    <row r="27" spans="1:6" ht="33" customHeight="1" hidden="1">
      <c r="A27" s="394" t="s">
        <v>361</v>
      </c>
      <c r="B27" s="395" t="s">
        <v>177</v>
      </c>
      <c r="C27" s="396">
        <f>C28+C31</f>
        <v>0</v>
      </c>
      <c r="D27" s="396">
        <f>D28+D31</f>
        <v>0</v>
      </c>
      <c r="E27" s="48"/>
      <c r="F27" s="48"/>
    </row>
    <row r="28" spans="1:6" ht="0.75" customHeight="1" hidden="1">
      <c r="A28" s="51" t="s">
        <v>362</v>
      </c>
      <c r="B28" s="397" t="s">
        <v>363</v>
      </c>
      <c r="C28" s="53">
        <f>SUM(C29)</f>
        <v>0</v>
      </c>
      <c r="D28" s="53">
        <f>SUM(D29)</f>
        <v>0</v>
      </c>
      <c r="E28" s="48"/>
      <c r="F28" s="48"/>
    </row>
    <row r="29" spans="1:6" ht="128.25" customHeight="1" hidden="1">
      <c r="A29" s="51" t="s">
        <v>364</v>
      </c>
      <c r="B29" s="398" t="s">
        <v>233</v>
      </c>
      <c r="C29" s="53">
        <f>SUM(C30)</f>
        <v>0</v>
      </c>
      <c r="D29" s="53">
        <f>SUM(D30)</f>
        <v>0</v>
      </c>
      <c r="E29" s="48"/>
      <c r="F29" s="48"/>
    </row>
    <row r="30" spans="1:6" ht="42.75" customHeight="1" hidden="1">
      <c r="A30" s="51" t="s">
        <v>234</v>
      </c>
      <c r="B30" s="55" t="s">
        <v>312</v>
      </c>
      <c r="C30" s="53"/>
      <c r="D30" s="53"/>
      <c r="E30" s="48"/>
      <c r="F30" s="48"/>
    </row>
    <row r="31" spans="1:6" ht="30" customHeight="1" hidden="1">
      <c r="A31" s="51" t="s">
        <v>313</v>
      </c>
      <c r="B31" s="397" t="s">
        <v>314</v>
      </c>
      <c r="C31" s="53">
        <f>SUM(C32)</f>
        <v>0</v>
      </c>
      <c r="D31" s="53">
        <f>SUM(D32)</f>
        <v>0</v>
      </c>
      <c r="E31" s="48"/>
      <c r="F31" s="48"/>
    </row>
    <row r="32" spans="1:6" ht="30" customHeight="1" hidden="1">
      <c r="A32" s="51" t="s">
        <v>315</v>
      </c>
      <c r="B32" s="397" t="s">
        <v>316</v>
      </c>
      <c r="C32" s="53">
        <f>SUM(C33)</f>
        <v>0</v>
      </c>
      <c r="D32" s="53">
        <f>SUM(D33)</f>
        <v>0</v>
      </c>
      <c r="E32" s="48"/>
      <c r="F32" s="48"/>
    </row>
    <row r="33" spans="1:6" ht="45" customHeight="1" hidden="1">
      <c r="A33" s="51" t="s">
        <v>317</v>
      </c>
      <c r="B33" s="55" t="s">
        <v>318</v>
      </c>
      <c r="C33" s="53"/>
      <c r="D33" s="53"/>
      <c r="E33" s="48"/>
      <c r="F33" s="48"/>
    </row>
    <row r="34" spans="1:6" ht="15" hidden="1">
      <c r="A34" s="56"/>
      <c r="C34" s="57"/>
      <c r="D34" s="48"/>
      <c r="E34" s="48"/>
      <c r="F34" s="48"/>
    </row>
  </sheetData>
  <sheetProtection/>
  <mergeCells count="9">
    <mergeCell ref="C5:D5"/>
    <mergeCell ref="E5:F5"/>
    <mergeCell ref="A6:C6"/>
    <mergeCell ref="A8:A10"/>
    <mergeCell ref="B8:B10"/>
    <mergeCell ref="C8:C10"/>
    <mergeCell ref="D8:D10"/>
    <mergeCell ref="E8:E10"/>
    <mergeCell ref="F8:F10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2014-10-27T07:00:21Z</cp:lastPrinted>
  <dcterms:created xsi:type="dcterms:W3CDTF">2010-10-13T06:28:56Z</dcterms:created>
  <dcterms:modified xsi:type="dcterms:W3CDTF">2014-10-31T09:53:35Z</dcterms:modified>
  <cp:category/>
  <cp:version/>
  <cp:contentType/>
  <cp:contentStatus/>
</cp:coreProperties>
</file>