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585" yWindow="65521" windowWidth="9570" windowHeight="8910" activeTab="2"/>
  </bookViews>
  <sheets>
    <sheet name="функцион.2014" sheetId="1" r:id="rId1"/>
    <sheet name="ведомствен.2014" sheetId="2" r:id="rId2"/>
    <sheet name="Лист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<sst xmlns="http://schemas.openxmlformats.org/spreadsheetml/2006/main" count="5661" uniqueCount="600">
  <si>
    <t>Целевой финансовый резерв для предупреждения и ликвидации чрезвычайных ситуаций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</si>
  <si>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</si>
  <si>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</si>
  <si>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Региональные целевые программы</t>
  </si>
  <si>
    <t>522 00 00</t>
  </si>
  <si>
    <t>10</t>
  </si>
  <si>
    <t>Отдельные мероприятия в области автомобильного транспорта</t>
  </si>
  <si>
    <t>Субсидии юридическим лицам</t>
  </si>
  <si>
    <t>006</t>
  </si>
  <si>
    <t>795 00 28</t>
  </si>
  <si>
    <t>795 00 29</t>
  </si>
  <si>
    <t>Предоставление субсидий бюджетным и автономным учреждениям</t>
  </si>
  <si>
    <t>Субсидии бюджетным и автономным учреждениям на финансовое обеспечение муниципального задания на оказание муниципальных услуг (выполнение работ)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</si>
  <si>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</si>
  <si>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</si>
  <si>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</si>
  <si>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</si>
  <si>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</si>
  <si>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</si>
  <si>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</si>
  <si>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</si>
  <si>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</si>
  <si>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Социальная помощь</t>
  </si>
  <si>
    <t>505 00 00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</si>
  <si>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</si>
  <si>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</si>
  <si>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</si>
  <si>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</si>
  <si>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</si>
  <si>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</si>
  <si>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</si>
  <si>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Мероприятия в области коммунального хозяйства</t>
  </si>
  <si>
    <t>795 19 11</t>
  </si>
  <si>
    <t>Благоустройство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</si>
  <si>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</si>
  <si>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</si>
  <si>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</si>
  <si>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</si>
  <si>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</si>
  <si>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</si>
  <si>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</si>
  <si>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</si>
  <si>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</si>
  <si>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</si>
  <si>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</si>
  <si>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</si>
  <si>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Предоставление субсидий бюджетным учреждениям</t>
  </si>
  <si>
    <t>Обеспечение деятельности (оказание услуг) подведомственных казенных учреждений</t>
  </si>
  <si>
    <t>Выполнение функций казенными учреждениями</t>
  </si>
  <si>
    <t>611</t>
  </si>
  <si>
    <t>Органы юстиции</t>
  </si>
  <si>
    <t>Лицензирование розничной продажи алкогольной продукции за счет субвенций из областного бюджета</t>
  </si>
  <si>
    <t>002 04 98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</si>
  <si>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</si>
  <si>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Другие вопросы в области жилищно-коммунального хозяйства</t>
  </si>
  <si>
    <t xml:space="preserve">Бюджетные инвестиции </t>
  </si>
  <si>
    <t>Подпрограмма "Обеспечение земельных участков объектами коммунальной инфраструктуры"</t>
  </si>
  <si>
    <t>Охрана окружающей  среды</t>
  </si>
  <si>
    <t>Природоохранные учреждения</t>
  </si>
  <si>
    <t>Другие вопросы в области охраны окружающей среды</t>
  </si>
  <si>
    <t>795 00 22</t>
  </si>
  <si>
    <t>600 00 00</t>
  </si>
  <si>
    <t>Уличное освещение</t>
  </si>
  <si>
    <t>600 01 00</t>
  </si>
  <si>
    <t>Учреждения социального обслуживания населения</t>
  </si>
  <si>
    <t>507 00 00</t>
  </si>
  <si>
    <t>317 82 00</t>
  </si>
  <si>
    <t>317 82 10</t>
  </si>
  <si>
    <t>423 82 00</t>
  </si>
  <si>
    <t>423 82 10</t>
  </si>
  <si>
    <t>423 82 70</t>
  </si>
  <si>
    <t>441 82 00</t>
  </si>
  <si>
    <t>441 82 10</t>
  </si>
  <si>
    <t>612</t>
  </si>
  <si>
    <t>470 82 00</t>
  </si>
  <si>
    <t>420 82 00</t>
  </si>
  <si>
    <t>420 82 10</t>
  </si>
  <si>
    <t>421 82 00</t>
  </si>
  <si>
    <t>421 82 10</t>
  </si>
  <si>
    <t>421 82 88</t>
  </si>
  <si>
    <t>Мероприятия по проведению оздоровительной кампании детей, за исключением детей, находящихся в трудной жизненной ситуации</t>
  </si>
  <si>
    <t>432 01 00</t>
  </si>
  <si>
    <t>Расходы на организацию отдыха детей в лагерях с дневным пребыванием, в загородных лагерях, проведению походов и культурно-массовых мероприятий для детей</t>
  </si>
  <si>
    <t>432 01 71</t>
  </si>
  <si>
    <t>Финансовое обеспечение муниципального задания на оказание муниципальных услуг ( выполнение работ)</t>
  </si>
  <si>
    <t>Предоставление субсидий бюджетным  и автономным учреждениям</t>
  </si>
  <si>
    <t xml:space="preserve">Мероприятия по поддержке и развитию культуры, искусства, кинематографии, средств массовой информации и архивного дела
</t>
  </si>
  <si>
    <t>795 00 70</t>
  </si>
  <si>
    <t>795 00 71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</si>
  <si>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</si>
  <si>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</si>
  <si>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</si>
  <si>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</si>
  <si>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</si>
  <si>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</si>
  <si>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</si>
  <si>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</si>
  <si>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</si>
  <si>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</si>
  <si>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</si>
  <si>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</si>
  <si>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</si>
  <si>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</si>
  <si>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</si>
  <si>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</si>
  <si>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</si>
  <si>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Образование</t>
  </si>
  <si>
    <t>07</t>
  </si>
  <si>
    <t>Молодежная политика и оздоровление детей</t>
  </si>
  <si>
    <t>432 00 00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</si>
  <si>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</si>
  <si>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</si>
  <si>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</si>
  <si>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</si>
  <si>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</si>
  <si>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</si>
  <si>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</si>
  <si>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</si>
  <si>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Целевые программы муниципальных образований</t>
  </si>
  <si>
    <t>795 00 00</t>
  </si>
  <si>
    <t>Судебная система</t>
  </si>
  <si>
    <t>05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</si>
  <si>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</si>
  <si>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</si>
  <si>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</si>
  <si>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</si>
  <si>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440 00 00</t>
  </si>
  <si>
    <t>440 99 00</t>
  </si>
  <si>
    <t>795 00 01</t>
  </si>
  <si>
    <t>Национальная безопасность и правоохранительная деятельность</t>
  </si>
  <si>
    <t>098 01 04</t>
  </si>
  <si>
    <t>470 82 20</t>
  </si>
  <si>
    <t>470 82 23</t>
  </si>
  <si>
    <t>Субсидии бюджетным и автономным учреждениям на  иные цели</t>
  </si>
  <si>
    <t>Субсидии бюджетным и автономным учреждениям на текущий ремонт зданий</t>
  </si>
  <si>
    <t>471 82 22</t>
  </si>
  <si>
    <t>Муниципальная целевая программа " Капитальное строительство на территории Миасского городского округа на 2012-2014 годы"</t>
  </si>
  <si>
    <t>Дорожное хозяйство (дорожные фонды)</t>
  </si>
  <si>
    <t>Реализация переданных государственных полномочий в области охраны труда</t>
  </si>
  <si>
    <t>002 04 99</t>
  </si>
  <si>
    <t>795 00 68</t>
  </si>
  <si>
    <t>423 82 20</t>
  </si>
  <si>
    <t>Муниципальная целевая программа "Содержание, ремонт и реконструкция спортивных сооружений Миасского городского округа в 2012-2015гг."</t>
  </si>
  <si>
    <t>441 82 23</t>
  </si>
  <si>
    <t>Другие субсидии бюджетным и автономным учреждениям на иные цели</t>
  </si>
  <si>
    <t>Массовый спорт</t>
  </si>
  <si>
    <t>Областная целевая программа "Развитие физической культуры и спорта в Челябинской области на 2012-2014 годы"</t>
  </si>
  <si>
    <t xml:space="preserve">Субсидии бюджетным и автономным учреждениям на финансовое обеспечение муниципального задания на оказание муниципальных услуг (выполнение работ) </t>
  </si>
  <si>
    <t>Субсидии бюджетным и автономным учреждениям на иные цели</t>
  </si>
  <si>
    <t>Охрана семьи и детства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</si>
  <si>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</si>
  <si>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</si>
  <si>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</si>
  <si>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520 13 00</t>
  </si>
  <si>
    <t>Выплаты приемной семье на содержание подопечных детей</t>
  </si>
  <si>
    <t>520 13 11</t>
  </si>
  <si>
    <t>520 13 12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</si>
  <si>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</si>
  <si>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</si>
  <si>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</si>
  <si>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</si>
  <si>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</si>
  <si>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002 04 74</t>
  </si>
  <si>
    <t>ВСЕГО РАСХОДОВ</t>
  </si>
  <si>
    <t>700</t>
  </si>
  <si>
    <t>800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</si>
  <si>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</si>
  <si>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</si>
  <si>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</si>
  <si>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</si>
  <si>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470 00 00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</si>
  <si>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</si>
  <si>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</si>
  <si>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</si>
  <si>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</si>
  <si>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</si>
  <si>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</si>
  <si>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</si>
  <si>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</si>
  <si>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</si>
  <si>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</si>
  <si>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</si>
  <si>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</si>
  <si>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</si>
  <si>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</si>
  <si>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</si>
  <si>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</si>
  <si>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</si>
  <si>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</si>
  <si>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</si>
  <si>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Больницы, клиники, госпитали, МСЧ</t>
  </si>
  <si>
    <t>287</t>
  </si>
  <si>
    <t>440 82 00</t>
  </si>
  <si>
    <t>Финансовое обеспечение муниципального задания на оказание муниципальных услуг (выполнение работ)</t>
  </si>
  <si>
    <t>440 82 10</t>
  </si>
  <si>
    <t>505 21 00</t>
  </si>
  <si>
    <t>Муниципальная целевая программа "Энергосбережение и повышение энергетической эффективности Миасского городского округа на 2011-2020 годы"</t>
  </si>
  <si>
    <t>810</t>
  </si>
  <si>
    <t>Муниципальная целевая программа "Пожарная безопасность Миасского городского округа на 2011-2013гг"</t>
  </si>
  <si>
    <t>Расходы за счет субсидий из областного бюджета на выплату ежемесячной надбавки к заработной плате молодым специалистам и оказание единовременной материальной помощи молодым специалистам</t>
  </si>
  <si>
    <t>420 82 01</t>
  </si>
  <si>
    <t>423 82 01</t>
  </si>
  <si>
    <t>431 01 39</t>
  </si>
  <si>
    <t>Другие субсидии бюджетным и автономным учреждениям на иные цели.</t>
  </si>
  <si>
    <t>440 82 24</t>
  </si>
  <si>
    <t>441 82 20</t>
  </si>
  <si>
    <t>470 82 24</t>
  </si>
  <si>
    <t>471 82 20</t>
  </si>
  <si>
    <t>423 82 24</t>
  </si>
  <si>
    <t>Реализация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</si>
  <si>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096 01 00</t>
  </si>
  <si>
    <t>Меры социальной поддержки граждан</t>
  </si>
  <si>
    <t>520 00 00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</si>
  <si>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</si>
  <si>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</si>
  <si>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</si>
  <si>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</si>
  <si>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</si>
  <si>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</si>
  <si>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431 99 00</t>
  </si>
  <si>
    <t xml:space="preserve">Мероприятия по проведению оздоровительной кампании детей </t>
  </si>
  <si>
    <t>Другие вопросы в области образования</t>
  </si>
  <si>
    <t>Государственная поддержка в сфере образования</t>
  </si>
  <si>
    <t xml:space="preserve">Другие вопросы в области культуры, кинематографии </t>
  </si>
  <si>
    <t>13</t>
  </si>
  <si>
    <t>Обслуживание внутреннего государственного и муниципального долга</t>
  </si>
  <si>
    <t xml:space="preserve">Физическая культура </t>
  </si>
  <si>
    <t>Другие вопросы в области физической культуры и спорта</t>
  </si>
  <si>
    <t>Другие вопросы в области здравоохранения</t>
  </si>
  <si>
    <t>Амбулаторная помощь</t>
  </si>
  <si>
    <t>Поликлиники, амбулатории, диагностические центры</t>
  </si>
  <si>
    <t>471 00 00</t>
  </si>
  <si>
    <t>Скорая медицинская помощь</t>
  </si>
  <si>
    <t>Физическая культура и спорт</t>
  </si>
  <si>
    <t>Выполнение функций бюджетными учреждениями</t>
  </si>
  <si>
    <t>001</t>
  </si>
  <si>
    <t>092 03 00</t>
  </si>
  <si>
    <t>Бюджетные инвестиции в объекты капитального строительства, не включенные в целевые программы</t>
  </si>
  <si>
    <t>Составление (изменение) списков кандидатов в присяжные заседатели  федеральных судов общей юрисдикции в Российской Федерации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</si>
  <si>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</si>
  <si>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</si>
  <si>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</si>
  <si>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Главные распорядители, наименование БК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</si>
  <si>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</si>
  <si>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</si>
  <si>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Организация и осуществление мероприятий по работе с детьми и молодежью за счет субсидий из областного бюджета</t>
  </si>
  <si>
    <t>Расходы на оплату ТЭР, услуг водоснабжения, водоотведения, потребляемых МБУ и эл.энергии, расходуемой на уличное освещение за счет субсидий из областного  бюджета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</si>
  <si>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</si>
  <si>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</si>
  <si>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</si>
  <si>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</si>
  <si>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288</t>
  </si>
  <si>
    <t>433 99 01</t>
  </si>
  <si>
    <t>289</t>
  </si>
  <si>
    <t>290</t>
  </si>
  <si>
    <t xml:space="preserve">522 00 00 </t>
  </si>
  <si>
    <t>455</t>
  </si>
  <si>
    <t xml:space="preserve">депутатов Миасского </t>
  </si>
  <si>
    <t>городского округа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</si>
  <si>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</si>
  <si>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</si>
  <si>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</si>
  <si>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</si>
  <si>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</si>
  <si>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</si>
  <si>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</si>
  <si>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</si>
  <si>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</si>
  <si>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</si>
  <si>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</si>
  <si>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</si>
  <si>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</si>
  <si>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</si>
  <si>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</si>
  <si>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</si>
  <si>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Капитальный ремонт государственного жилищного фонда субъектов Российской Федерации и муниципального жилищного фонда</t>
  </si>
  <si>
    <t>Реализация мер социальной поддержки отдельных категорий граждан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</si>
  <si>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</si>
  <si>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</si>
  <si>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</si>
  <si>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</si>
  <si>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522 08 00</t>
  </si>
  <si>
    <t>436 01 00</t>
  </si>
  <si>
    <t xml:space="preserve">Поддержка коммунального хозяйства </t>
  </si>
  <si>
    <t>Социальные выплаты</t>
  </si>
  <si>
    <t>005</t>
  </si>
  <si>
    <t>795 00 27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</si>
  <si>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</si>
  <si>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</si>
  <si>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470 82 30</t>
  </si>
  <si>
    <t>Финансовое обеспечение государственного задания на оказание государственных услуг (выполнение работ)</t>
  </si>
  <si>
    <t>471 82 00</t>
  </si>
  <si>
    <t>471 82 30</t>
  </si>
  <si>
    <t>МКУ МГО "Образование"</t>
  </si>
  <si>
    <t>МКУ "Управление культуры" МГО</t>
  </si>
  <si>
    <t>МКУ "Управление здравоохранения" МГО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</si>
  <si>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</si>
  <si>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</si>
  <si>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>795 00 52</t>
  </si>
  <si>
    <t>795 00 53</t>
  </si>
  <si>
    <t>421 99 88</t>
  </si>
  <si>
    <t>Учреждения по внешкольной работе с детьми</t>
  </si>
  <si>
    <t xml:space="preserve">423 00 00 </t>
  </si>
  <si>
    <t>423 99 00</t>
  </si>
  <si>
    <t>Детские дома</t>
  </si>
  <si>
    <t>424 00 00</t>
  </si>
  <si>
    <t>424 99 00</t>
  </si>
  <si>
    <t>424 99 70</t>
  </si>
  <si>
    <t>Здравоохранение</t>
  </si>
  <si>
    <t>Культура, кинематография</t>
  </si>
  <si>
    <t>424 99 75</t>
  </si>
  <si>
    <t xml:space="preserve">Специальные (коррекционные) учреждения </t>
  </si>
  <si>
    <t>433 00 00</t>
  </si>
  <si>
    <t>433 99 00</t>
  </si>
  <si>
    <t>433 99 82</t>
  </si>
  <si>
    <t>Мероприятия в области образования</t>
  </si>
  <si>
    <t>436 00 00</t>
  </si>
  <si>
    <t>Иные безвозмездные и безвозвратные перечисления</t>
  </si>
  <si>
    <t xml:space="preserve">520 00 00 </t>
  </si>
  <si>
    <t>Дошкольное образование</t>
  </si>
  <si>
    <t>Детские дошкольные учреждения</t>
  </si>
  <si>
    <t>420 00 00</t>
  </si>
  <si>
    <t>420 99 00</t>
  </si>
  <si>
    <t>420 99 01</t>
  </si>
  <si>
    <t>Общее образование</t>
  </si>
  <si>
    <t>Школы-детские сады, школы начальные, неполные средние и средние</t>
  </si>
  <si>
    <t>421 00 00</t>
  </si>
  <si>
    <t>421 99 00</t>
  </si>
  <si>
    <t>Мероприятия в области здравоохранения, спорта и физической культуры, туризма</t>
  </si>
  <si>
    <t>795 00 67</t>
  </si>
  <si>
    <t>795 00 42</t>
  </si>
  <si>
    <t xml:space="preserve">Культура </t>
  </si>
  <si>
    <t>795 00 77</t>
  </si>
  <si>
    <t>Муниципальная целевая программа "Организация временной трудовой занятости несовершеннолетних граждан Миасского городского округа на 2012-2013 годы"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</si>
  <si>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</si>
  <si>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</si>
  <si>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</si>
  <si>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</si>
  <si>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</si>
  <si>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Библиотеки</t>
  </si>
  <si>
    <t>442 00 00</t>
  </si>
  <si>
    <t>442 99 00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</si>
  <si>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</si>
  <si>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</si>
  <si>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</si>
  <si>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</si>
  <si>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</si>
  <si>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</si>
  <si>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</si>
  <si>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</si>
  <si>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</si>
  <si>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</si>
  <si>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</si>
  <si>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</si>
  <si>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</si>
  <si>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</si>
  <si>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</si>
  <si>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</si>
  <si>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</si>
  <si>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</si>
  <si>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</si>
  <si>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</si>
  <si>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</si>
  <si>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</si>
  <si>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</si>
  <si>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</si>
  <si>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</si>
  <si>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</si>
  <si>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</si>
  <si>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</si>
  <si>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</si>
  <si>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Резервные фонды</t>
  </si>
  <si>
    <t>12</t>
  </si>
  <si>
    <t>070 00 00</t>
  </si>
  <si>
    <t>Руководство и управление в сфере установленных функций</t>
  </si>
  <si>
    <t>001 00 00</t>
  </si>
  <si>
    <t>795 00 74</t>
  </si>
  <si>
    <t>440 82 23</t>
  </si>
  <si>
    <t>Субсидии бюджетным и автономным учреждениям на приобретение оборудования</t>
  </si>
  <si>
    <t>440 82 20</t>
  </si>
  <si>
    <t>440 82 22</t>
  </si>
  <si>
    <t>317 00 00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</si>
  <si>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</si>
  <si>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</si>
  <si>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</si>
  <si>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</si>
  <si>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102 00 00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</si>
  <si>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</si>
  <si>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</si>
  <si>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</si>
  <si>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</si>
  <si>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</si>
  <si>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</si>
  <si>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</si>
  <si>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</si>
  <si>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</si>
  <si>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</si>
  <si>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</si>
  <si>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</si>
  <si>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</si>
  <si>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</si>
  <si>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</si>
  <si>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</si>
  <si>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</si>
  <si>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</si>
  <si>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</si>
  <si>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</si>
  <si>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</si>
  <si>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</si>
  <si>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</si>
  <si>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</si>
  <si>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</si>
  <si>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</si>
  <si>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</si>
  <si>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</si>
  <si>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</si>
  <si>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</si>
  <si>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</si>
  <si>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</si>
  <si>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</si>
  <si>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на 9 мес.2010 года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</si>
  <si>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</si>
  <si>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</si>
  <si>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</si>
  <si>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</si>
  <si>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</si>
  <si>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Субсидии бюджетным и автономным учреждениям на текущий ремонт здания</t>
  </si>
  <si>
    <t>423 82 22</t>
  </si>
  <si>
    <t>441 82 22</t>
  </si>
  <si>
    <t>505 21 04</t>
  </si>
  <si>
    <t>Расходы за счет субвенций из областного бюджета на социальную поддержку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</si>
  <si>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Ежемесячное пособие по уходу за ребенком в возрасте от полутора до трех лет (Закон Челябинской области "О ежемесячном пособии по уходу за ребенком в возрасте от полутора до трех лет")</t>
  </si>
  <si>
    <t>Ежемесячное пособие на ребенка (Закон Челябинской области "О ежемесячном пособи на ребенка")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</si>
  <si>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</si>
  <si>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(ежемесячная денежная выплата)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</si>
  <si>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по Закону Челябинской области "О мерах социальной поддержки жертв политических репрессий в Челябинской области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</si>
  <si>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(ежемесячная денежная выплата)</t>
  </si>
  <si>
    <t>Расходы за счет субвенции из областного бюджета на обеспечение дополнительных мер социальной защиты ветеранов в Челябинской области по Закону Челябинской области "О дополнительных мерах социальной защиты ветеранов в Челябинской области" (компенсация расходов на оплату жилых помещений и коммунальных услуг)</t>
  </si>
  <si>
    <t>Расходы за счет субвенции из областного бюджета на обеспечение мер социальной поддержки граждан, работающих и проживающих в сельских населенных пунктах и рабочих поселках Челябинской области</t>
  </si>
  <si>
    <t>Расходы за счет субвенции из областного бюджета на выплату областного единовременного пособия при рождении ребенка</t>
  </si>
  <si>
    <t xml:space="preserve">Расходы за счет субвенции из областного бюджета на возмещение стоимости услуг по погребению и выплату социального пособия на погребение </t>
  </si>
  <si>
    <t>Расходы за счет субвенции из областного бюджета на ежемесячную денежную выплату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</si>
  <si>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приемному родителю</t>
  </si>
  <si>
    <t>Вознаграждение, причитающееся приемному родителю</t>
  </si>
  <si>
    <t>Содержание ребенка в семье опекуна</t>
  </si>
  <si>
    <t>520 13 76</t>
  </si>
  <si>
    <t xml:space="preserve">Муниципальная целевая программа "Безопасность учреждений культуры" на 2013-2015 годы </t>
  </si>
  <si>
    <t>Приложение 4</t>
  </si>
  <si>
    <t>Приложение 6</t>
  </si>
  <si>
    <t>471 82 23</t>
  </si>
  <si>
    <t>Транспортное обеспечение органов местного самоуправления</t>
  </si>
  <si>
    <t>Эксплуатация оборудования, помещений, зданий органами местного самоуправления</t>
  </si>
  <si>
    <t>Муниципальное казенное учреждение "Управление по физической культуре, спорту, туризму"</t>
  </si>
  <si>
    <t>Реализация государственных функций в области физической культуры и спорта</t>
  </si>
  <si>
    <t>487 00 00</t>
  </si>
  <si>
    <t>487 99 00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</si>
  <si>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2011-2020 годы"</t>
  </si>
  <si>
    <t>на 2014 год                 (тыс. руб.)</t>
  </si>
  <si>
    <t>НА 2014 ГОД</t>
  </si>
  <si>
    <t>Расходы на выплаты персоналу в целях обеспечения выполнения функций муниципальными органами, казенными учреждениями</t>
  </si>
  <si>
    <t>100</t>
  </si>
  <si>
    <t>Общее руководство и управление общими службами и услугами органов местного самоуправления</t>
  </si>
  <si>
    <t>005 00 00</t>
  </si>
  <si>
    <t>005 01 02</t>
  </si>
  <si>
    <t>Закупка товаров, работ и услуг для муниципальных нужд</t>
  </si>
  <si>
    <t>Иные бюджетные ассигнования</t>
  </si>
  <si>
    <t>005 02 02</t>
  </si>
  <si>
    <t>Реализация муниципальных функций, связанных с общегосударственным управлением</t>
  </si>
  <si>
    <t>005 03 00</t>
  </si>
  <si>
    <t>Социальное обеспечение и иные выплаты населению</t>
  </si>
  <si>
    <t>300</t>
  </si>
  <si>
    <t>004 00 00</t>
  </si>
  <si>
    <t>Обслуживание муниципального долга</t>
  </si>
  <si>
    <t>вид расходов (группы)</t>
  </si>
  <si>
    <t>РАСПРЕДЕЛЕНИЕ БЮДЖЕТНЫХ АССИГНОВАНИЙ НА 2014 ГОД</t>
  </si>
  <si>
    <t>Расходы на оплату задолженности по договорам 2013 года</t>
  </si>
  <si>
    <t>655 00 10</t>
  </si>
  <si>
    <t>600</t>
  </si>
  <si>
    <t>477 82 00</t>
  </si>
  <si>
    <t>477 82 30</t>
  </si>
  <si>
    <t>Программа "Культура. Искусство. Творчество." на 2014-2016гг.</t>
  </si>
  <si>
    <t>Предоставление субсидий бюджетным и автономным учреждениям и иным некоммерческим организациям</t>
  </si>
  <si>
    <t>Иные закупки товаров, работ и услуг для обеспечения муниципальных нужд</t>
  </si>
  <si>
    <t>240</t>
  </si>
  <si>
    <t>Прочая закупка товаров, работ и услуг для обеспечения муниципальных нужд</t>
  </si>
  <si>
    <t>244</t>
  </si>
  <si>
    <t>Оценка недвижимости, признание прав и регулирование отношений по муниципальной собственности</t>
  </si>
  <si>
    <t>005 02 03</t>
  </si>
  <si>
    <t>Финансовое обеспечение государственного задания на оказание государственных услуг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</si>
  <si>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</si>
  <si>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</si>
  <si>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</si>
  <si>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Субсидии бюджетным учреждениям на финансовое обеспечение муниципального (государственного) задания на оказание муниципальных (государственных) услуг (выполнение работ)</t>
  </si>
  <si>
    <t>001 59 03</t>
  </si>
  <si>
    <t>007 00 00</t>
  </si>
  <si>
    <t>007 99 00</t>
  </si>
  <si>
    <t>Расходы на выплаты персоналу казенных учреждений</t>
  </si>
  <si>
    <t>110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</si>
  <si>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</si>
  <si>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</si>
  <si>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</si>
  <si>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</si>
  <si>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008 00 00</t>
  </si>
  <si>
    <t>008 01 00</t>
  </si>
  <si>
    <t>008 01 50</t>
  </si>
  <si>
    <t>009 00 00</t>
  </si>
  <si>
    <t>009 01 00</t>
  </si>
  <si>
    <t>Реализация муниципальных функций в области национальной экономики</t>
  </si>
  <si>
    <t>310 00 00</t>
  </si>
  <si>
    <t>Мероприятия в области автомобильного транспорта</t>
  </si>
  <si>
    <t>313 00 00</t>
  </si>
  <si>
    <t>313 02 00</t>
  </si>
  <si>
    <t>Субсидии юридическим лицам (кроме некоммерческих организаций), индивидуальным предпринимателям, физическим лицам</t>
  </si>
  <si>
    <t>Прочая закупка товаров, работ и услуг для обеспечения муниципальных нужд (дорожный фонд)</t>
  </si>
  <si>
    <t>314 00 00</t>
  </si>
  <si>
    <t>314 03 00</t>
  </si>
  <si>
    <t>314 82 10</t>
  </si>
  <si>
    <t xml:space="preserve">Муниципальные программы  </t>
  </si>
  <si>
    <t>МП "Капитальное строительство на территории Миасского городского округа на 2014-2015 годы"</t>
  </si>
  <si>
    <t>Отдельные мероприятия по землеустройству и землепользованию</t>
  </si>
  <si>
    <t>314 82 00</t>
  </si>
  <si>
    <t>651  00 00</t>
  </si>
  <si>
    <t>651 05 00</t>
  </si>
  <si>
    <t>Муниципальная  программа "Чистая вода" на территории МГО на 2014-2020 г.г.</t>
  </si>
  <si>
    <t>Муниципальная программа "Обеспечение безопасности гидротехнических сооружений на территории Миасского городского округа на 2014-2015 годы"</t>
  </si>
  <si>
    <t xml:space="preserve">05 </t>
  </si>
  <si>
    <t>МП по реализации НП "Доступное и комфортное жилье - гражданам России"  на территории МГО на 2014-2015 г.г., подпрограмма "Модернизация объектов коммунальной инфраструктуры"</t>
  </si>
  <si>
    <t>Капитальные вложения в объекты недвижимого имущества
муниципальной собственности</t>
  </si>
  <si>
    <t>400</t>
  </si>
  <si>
    <t>006 00 00</t>
  </si>
  <si>
    <t>006 99 00</t>
  </si>
  <si>
    <t>МП "Экология Миасского городского округа 2014-2016"</t>
  </si>
  <si>
    <t xml:space="preserve">795 25 00 </t>
  </si>
  <si>
    <t>Федеральный закон от 21 декабря 1996 года №159-ФЗ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</si>
  <si>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помещения-ми  детей-сирот и детей, оставших-ся без попечения родителей при наличии судебных решений о предоставлении жилых помещений по договорам социального найма, вынесенных  до 1 января 2013 года и вступивших в законную силу</t>
  </si>
  <si>
    <t>505 21 03</t>
  </si>
  <si>
    <t>Капитальные вложения в объекты недвижимого имущества муниципальной собственности</t>
  </si>
  <si>
    <t>410</t>
  </si>
  <si>
    <t>Бюджетные инвестиции на приобретение объектов
недвижимого имущества в муниципальную собственность</t>
  </si>
  <si>
    <t>412</t>
  </si>
  <si>
    <t xml:space="preserve"> Обеспечение предоставления жи-лых помещений детям-сиротам и детям, оставшимся без попечения родителей, лицам из их числа по договорам найма специализиро-ванных жилых помещений</t>
  </si>
  <si>
    <t>Целевая программа "Миасс - безопасный город"</t>
  </si>
  <si>
    <t>Обеспечение деятельности  подведомственных казенных учреждений в области физической культуры и спорта</t>
  </si>
  <si>
    <t>487 99 01</t>
  </si>
  <si>
    <t>Муниципальная целевая программа "Развитие физической культуры и спорта в Миасском городском округе на 2012-2016 годы"</t>
  </si>
  <si>
    <t>505 52 50</t>
  </si>
  <si>
    <t>505 52 80</t>
  </si>
  <si>
    <t>505 53 80</t>
  </si>
  <si>
    <t xml:space="preserve"> 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</si>
  <si>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505 63 65</t>
  </si>
  <si>
    <t xml:space="preserve">Предоставление субсидий бюджетным,
автономным учреждениям и иным некоммерческим организациям
</t>
  </si>
  <si>
    <t>505 75 00</t>
  </si>
  <si>
    <t>505 75 08</t>
  </si>
  <si>
    <t>505 75 10</t>
  </si>
  <si>
    <t>505 75 22</t>
  </si>
  <si>
    <t>Расходы за счет субвенции из областного бюджета на обеспечение мер социальной поддержки ветеранов труда и тружеников тыла по Закону Челябинской области "О мерах социальной поддержки ветеранов Челябинской области" (компенсация расходов на оплату жилых помещений и коммнальных услуг)</t>
  </si>
  <si>
    <t>505 75 25</t>
  </si>
  <si>
    <t>505 75 32</t>
  </si>
  <si>
    <t>505 75 35</t>
  </si>
  <si>
    <t>505 75 42</t>
  </si>
  <si>
    <t>505 75 51</t>
  </si>
  <si>
    <t>Расходы за счет субвенции из областного бюджета на обеспечение дополнительных мер социальной защиты ветеранов в Челябинской области "О дополнительных мерах социальной защиты ветеранов в Челябинской области" (компенсационные выплаты за пользование услугами связи)</t>
  </si>
  <si>
    <t>505 75 53</t>
  </si>
  <si>
    <t>505 75 60</t>
  </si>
  <si>
    <t>505 75 70</t>
  </si>
  <si>
    <t>505 75 80</t>
  </si>
  <si>
    <t>Предоставление субсидий бюджетным,
автономным учреждениям и иным некоммерческим организациям</t>
  </si>
  <si>
    <t>505 75 90</t>
  </si>
  <si>
    <t>Муниципальные программы</t>
  </si>
  <si>
    <t xml:space="preserve">Муниципальная программа "Формирование доступной среды для инвалидов и маломобильных групп населения Миасского городского округа" на 2014-2016 годы </t>
  </si>
  <si>
    <t>795 00 80</t>
  </si>
  <si>
    <t>Расходы на выплаты персоналу в целях обеспечения
выполнения функций муниципальными органами, казенными учреждениями</t>
  </si>
  <si>
    <t>Расходы на осуществление органами местного самоуправления переданных государственных полномочий по предоставлению гражданам субсидий</t>
  </si>
  <si>
    <t>Муниципальная программа "Оптимизация функций государственного (муниципального) управления в Миасском городском округе и повышение эффективности их обеспечения" на 2014-2016 годы</t>
  </si>
  <si>
    <t>Учреждения культуры, мероприятия в сфере культуры и кинематографии, архивного дела</t>
  </si>
  <si>
    <t>Реализция других функций, связанных с обеспечением национальной безопасности и правоохранительной деятельности</t>
  </si>
  <si>
    <t>Предупреждение и ликвидация последствий чрезвычайных ситуаций и стихийных бедствий</t>
  </si>
  <si>
    <t xml:space="preserve">Мероприятия по предупреждению и ликвидации последствий чрезвычайных ситуаций и стихийных бедствий 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</si>
  <si>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</si>
  <si>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600 05 91</t>
  </si>
  <si>
    <t>Прочие мероприятия по благоустройству
городских округов и поселений</t>
  </si>
  <si>
    <t>Предоставление субсидий бюджетным и автономным организациям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</si>
  <si>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 на финансовое обеспечение муниципального задания на оказание государственых услуг (выполнение работ)</t>
  </si>
  <si>
    <t>Расходы за счет субвенций из областного бюджета на получение общедоступного и бесплатного дошкольного образования в муниципальных дошкольных образовательных организациях</t>
  </si>
  <si>
    <t>Муниципальная программа "Поддержка и  развитие дошкольного образования в МГО на 2014-2015гг."</t>
  </si>
  <si>
    <t xml:space="preserve">Расходы за счет субвенций местным бюджетам на обеспечение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</t>
  </si>
  <si>
    <t>433 9901</t>
  </si>
  <si>
    <t>Расходы за счет субвенции из областного бюджета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</si>
  <si>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Расходы за счет субвенций из областного бюджета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</t>
  </si>
  <si>
    <t>Муниципальная программа "Молодежь Миасса на 2014-2016 годы"</t>
  </si>
  <si>
    <t>Компенсация затрат родителей (законных представителей) детей – инвалидов в части организации обучения по основным общеобразовательным программам на дому.</t>
  </si>
  <si>
    <t>Реализация полномочий Российской Федерации на государственную регистрацию актов гражданского состояния</t>
  </si>
  <si>
    <t>340 82 00</t>
  </si>
  <si>
    <t>340 82 10</t>
  </si>
  <si>
    <t>655 00 20</t>
  </si>
  <si>
    <t>Расходы на реализацию мероприятий по обеспечению своевременной и полной выплаты заработной платы</t>
  </si>
  <si>
    <t>на 2014 год  (тыс. руб.)</t>
  </si>
  <si>
    <t>Коды бюджетной  классификации</t>
  </si>
  <si>
    <t>к Решению Собрания</t>
  </si>
  <si>
    <t>от 23.12.2013 г. №2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</si>
</sst>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* #,##0_-;\-* #,##0_-;_-* &quot;-&quot;_-;_-@_-"/>
    <numFmt numFmtId="176" formatCode="_-&quot;€&quot;* #,##0.00_-;\-&quot;€&quot;* #,##0.00_-;_-&quot;€&quot;* &quot;-&quot;??_-;_-@_-"/>
    <numFmt numFmtId="177" formatCode="_-* #,##0.00_-;\-* #,##0.00_-;_-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р_._-;\-* #,##0.0_р_._-;_-* &quot;-&quot;??_р_._-;_-@_-"/>
    <numFmt numFmtId="187" formatCode="_(* #,##0.0_);_(* \(#,##0.0\);_(* &quot;-&quot;??_);_(@_)"/>
    <numFmt numFmtId="188" formatCode="_-* #,##0.0_р_._-;\-* #,##0.0_р_._-;_-* &quot;-&quot;?_р_._-;_-@_-"/>
    <numFmt numFmtId="189" formatCode="[$-FC19]d\ mmmm\ yyyy\ &quot;г.&quot;"/>
  </numFmts>
  <fonts count="37">
    <font>
      <sz val="10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sz val="11.5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 vertical="justify"/>
    </xf>
    <xf numFmtId="164" fontId="3" fillId="0" borderId="12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5" fillId="0" borderId="13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0" borderId="0" xfId="0" applyFill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164" fontId="5" fillId="0" borderId="13" xfId="0" applyNumberFormat="1" applyFont="1" applyFill="1" applyBorder="1" applyAlignment="1">
      <alignment horizontal="center" vertical="center"/>
    </xf>
    <xf numFmtId="164" fontId="9" fillId="0" borderId="13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14" xfId="0" applyNumberFormat="1" applyFont="1" applyFill="1" applyBorder="1" applyAlignment="1">
      <alignment horizontal="center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65" fontId="5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Alignment="1">
      <alignment/>
    </xf>
    <xf numFmtId="4" fontId="0" fillId="24" borderId="0" xfId="0" applyNumberFormat="1" applyFill="1" applyAlignment="1">
      <alignment/>
    </xf>
    <xf numFmtId="4" fontId="0" fillId="0" borderId="0" xfId="0" applyNumberFormat="1" applyFill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64" fontId="3" fillId="0" borderId="14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4" fillId="0" borderId="15" xfId="0" applyFont="1" applyFill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43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5" fillId="0" borderId="13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164" fontId="2" fillId="0" borderId="0" xfId="0" applyNumberFormat="1" applyFont="1" applyAlignment="1">
      <alignment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164" fontId="9" fillId="0" borderId="13" xfId="0" applyNumberFormat="1" applyFont="1" applyFill="1" applyBorder="1" applyAlignment="1">
      <alignment horizontal="center" vertical="center"/>
    </xf>
    <xf numFmtId="49" fontId="7" fillId="25" borderId="15" xfId="0" applyNumberFormat="1" applyFont="1" applyFill="1" applyBorder="1" applyAlignment="1">
      <alignment horizontal="left" vertical="center" wrapText="1"/>
    </xf>
    <xf numFmtId="165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49" fontId="12" fillId="0" borderId="0" xfId="0" applyNumberFormat="1" applyFont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0" borderId="13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 wrapText="1"/>
    </xf>
    <xf numFmtId="164" fontId="9" fillId="25" borderId="13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12" fillId="0" borderId="18" xfId="0" applyNumberFormat="1" applyFont="1" applyFill="1" applyBorder="1" applyAlignment="1">
      <alignment horizontal="center"/>
    </xf>
    <xf numFmtId="164" fontId="9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justify"/>
    </xf>
    <xf numFmtId="0" fontId="9" fillId="0" borderId="0" xfId="0" applyFont="1" applyAlignment="1">
      <alignment vertical="center" wrapText="1"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justify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9" fillId="25" borderId="0" xfId="0" applyFont="1" applyFill="1" applyAlignment="1">
      <alignment horizontal="center"/>
    </xf>
    <xf numFmtId="0" fontId="9" fillId="25" borderId="0" xfId="0" applyFont="1" applyFill="1" applyAlignment="1">
      <alignment/>
    </xf>
    <xf numFmtId="0" fontId="32" fillId="25" borderId="0" xfId="0" applyFont="1" applyFill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  <xf numFmtId="164" fontId="32" fillId="0" borderId="13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32" fillId="0" borderId="0" xfId="0" applyFont="1" applyAlignment="1">
      <alignment/>
    </xf>
    <xf numFmtId="164" fontId="9" fillId="0" borderId="0" xfId="0" applyNumberFormat="1" applyFont="1" applyAlignment="1">
      <alignment/>
    </xf>
    <xf numFmtId="43" fontId="9" fillId="0" borderId="0" xfId="61" applyFont="1" applyAlignment="1">
      <alignment horizontal="center"/>
    </xf>
    <xf numFmtId="43" fontId="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justify"/>
    </xf>
    <xf numFmtId="0" fontId="7" fillId="25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25" borderId="20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7" fillId="25" borderId="20" xfId="0" applyFont="1" applyFill="1" applyBorder="1" applyAlignment="1">
      <alignment vertical="justify" wrapText="1"/>
    </xf>
    <xf numFmtId="0" fontId="7" fillId="25" borderId="20" xfId="0" applyFont="1" applyFill="1" applyBorder="1" applyAlignment="1">
      <alignment vertical="center" wrapText="1"/>
    </xf>
    <xf numFmtId="0" fontId="6" fillId="25" borderId="20" xfId="0" applyFont="1" applyFill="1" applyBorder="1" applyAlignment="1">
      <alignment vertical="center" wrapText="1"/>
    </xf>
    <xf numFmtId="0" fontId="7" fillId="25" borderId="20" xfId="0" applyNumberFormat="1" applyFont="1" applyFill="1" applyBorder="1" applyAlignment="1">
      <alignment vertical="center" wrapText="1"/>
    </xf>
    <xf numFmtId="0" fontId="11" fillId="0" borderId="21" xfId="0" applyFont="1" applyBorder="1" applyAlignment="1">
      <alignment horizontal="left" vertical="center" wrapText="1"/>
    </xf>
    <xf numFmtId="0" fontId="6" fillId="25" borderId="20" xfId="0" applyFont="1" applyFill="1" applyBorder="1" applyAlignment="1">
      <alignment horizontal="left" vertical="center" wrapText="1"/>
    </xf>
    <xf numFmtId="0" fontId="6" fillId="25" borderId="22" xfId="0" applyFont="1" applyFill="1" applyBorder="1" applyAlignment="1">
      <alignment horizontal="justify"/>
    </xf>
    <xf numFmtId="0" fontId="6" fillId="25" borderId="22" xfId="0" applyFont="1" applyFill="1" applyBorder="1" applyAlignment="1">
      <alignment horizontal="left" wrapText="1"/>
    </xf>
    <xf numFmtId="43" fontId="7" fillId="0" borderId="0" xfId="0" applyNumberFormat="1" applyFont="1" applyAlignment="1">
      <alignment horizontal="center"/>
    </xf>
    <xf numFmtId="49" fontId="4" fillId="0" borderId="16" xfId="0" applyNumberFormat="1" applyFont="1" applyFill="1" applyBorder="1" applyAlignment="1">
      <alignment horizontal="left"/>
    </xf>
    <xf numFmtId="49" fontId="7" fillId="25" borderId="16" xfId="0" applyNumberFormat="1" applyFont="1" applyFill="1" applyBorder="1" applyAlignment="1">
      <alignment horizontal="left" vertical="center" wrapText="1"/>
    </xf>
    <xf numFmtId="0" fontId="7" fillId="0" borderId="23" xfId="0" applyFont="1" applyBorder="1" applyAlignment="1">
      <alignment wrapText="1"/>
    </xf>
    <xf numFmtId="49" fontId="7" fillId="0" borderId="23" xfId="0" applyNumberFormat="1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wrapText="1"/>
    </xf>
    <xf numFmtId="49" fontId="7" fillId="0" borderId="26" xfId="0" applyNumberFormat="1" applyFont="1" applyBorder="1" applyAlignment="1">
      <alignment vertical="justify"/>
    </xf>
    <xf numFmtId="0" fontId="7" fillId="0" borderId="27" xfId="0" applyFont="1" applyBorder="1" applyAlignment="1">
      <alignment vertical="justify"/>
    </xf>
    <xf numFmtId="49" fontId="11" fillId="0" borderId="28" xfId="0" applyNumberFormat="1" applyFont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 vertical="center" wrapText="1"/>
    </xf>
    <xf numFmtId="49" fontId="7" fillId="0" borderId="16" xfId="0" applyNumberFormat="1" applyFont="1" applyFill="1" applyBorder="1" applyAlignment="1">
      <alignment horizontal="left"/>
    </xf>
    <xf numFmtId="49" fontId="11" fillId="0" borderId="16" xfId="0" applyNumberFormat="1" applyFont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7" fillId="25" borderId="16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vertical="justify"/>
    </xf>
    <xf numFmtId="0" fontId="7" fillId="0" borderId="29" xfId="0" applyFont="1" applyBorder="1" applyAlignment="1">
      <alignment/>
    </xf>
    <xf numFmtId="49" fontId="11" fillId="0" borderId="31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left" vertical="center" wrapText="1"/>
    </xf>
    <xf numFmtId="49" fontId="7" fillId="0" borderId="33" xfId="0" applyNumberFormat="1" applyFont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24" borderId="33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11" fillId="0" borderId="33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11" fillId="0" borderId="33" xfId="0" applyNumberFormat="1" applyFont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center"/>
    </xf>
    <xf numFmtId="49" fontId="7" fillId="25" borderId="15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left" vertical="center" wrapText="1"/>
    </xf>
    <xf numFmtId="49" fontId="11" fillId="24" borderId="33" xfId="0" applyNumberFormat="1" applyFont="1" applyFill="1" applyBorder="1" applyAlignment="1">
      <alignment horizontal="left" vertical="center" wrapText="1"/>
    </xf>
    <xf numFmtId="49" fontId="33" fillId="0" borderId="15" xfId="0" applyNumberFormat="1" applyFont="1" applyFill="1" applyBorder="1" applyAlignment="1">
      <alignment horizontal="left" vertical="center" wrapText="1"/>
    </xf>
    <xf numFmtId="49" fontId="11" fillId="25" borderId="15" xfId="0" applyNumberFormat="1" applyFont="1" applyFill="1" applyBorder="1" applyAlignment="1">
      <alignment horizontal="left" vertical="center" wrapText="1"/>
    </xf>
    <xf numFmtId="49" fontId="33" fillId="25" borderId="15" xfId="0" applyNumberFormat="1" applyFont="1" applyFill="1" applyBorder="1" applyAlignment="1">
      <alignment horizontal="left" vertical="center" wrapText="1"/>
    </xf>
    <xf numFmtId="49" fontId="7" fillId="25" borderId="15" xfId="0" applyNumberFormat="1" applyFont="1" applyFill="1" applyBorder="1" applyAlignment="1">
      <alignment horizontal="left"/>
    </xf>
    <xf numFmtId="49" fontId="11" fillId="0" borderId="26" xfId="0" applyNumberFormat="1" applyFont="1" applyBorder="1" applyAlignment="1">
      <alignment horizontal="left" vertical="center" wrapText="1"/>
    </xf>
    <xf numFmtId="49" fontId="11" fillId="0" borderId="34" xfId="0" applyNumberFormat="1" applyFont="1" applyFill="1" applyBorder="1" applyAlignment="1">
      <alignment horizontal="left" vertical="center" wrapText="1"/>
    </xf>
    <xf numFmtId="49" fontId="11" fillId="0" borderId="3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/>
    </xf>
    <xf numFmtId="49" fontId="11" fillId="0" borderId="15" xfId="0" applyNumberFormat="1" applyFont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/>
    </xf>
    <xf numFmtId="49" fontId="11" fillId="0" borderId="15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11" fillId="25" borderId="15" xfId="0" applyNumberFormat="1" applyFont="1" applyFill="1" applyBorder="1" applyAlignment="1">
      <alignment horizontal="center" vertical="center" wrapText="1"/>
    </xf>
    <xf numFmtId="49" fontId="7" fillId="25" borderId="15" xfId="0" applyNumberFormat="1" applyFont="1" applyFill="1" applyBorder="1" applyAlignment="1">
      <alignment horizontal="center" vertical="center" wrapText="1"/>
    </xf>
    <xf numFmtId="49" fontId="33" fillId="25" borderId="15" xfId="0" applyNumberFormat="1" applyFont="1" applyFill="1" applyBorder="1" applyAlignment="1">
      <alignment horizontal="center" vertical="center" wrapText="1"/>
    </xf>
    <xf numFmtId="49" fontId="6" fillId="25" borderId="15" xfId="0" applyNumberFormat="1" applyFont="1" applyFill="1" applyBorder="1" applyAlignment="1">
      <alignment horizontal="center"/>
    </xf>
    <xf numFmtId="49" fontId="33" fillId="25" borderId="15" xfId="0" applyNumberFormat="1" applyFont="1" applyFill="1" applyBorder="1" applyAlignment="1">
      <alignment horizontal="center"/>
    </xf>
    <xf numFmtId="49" fontId="11" fillId="0" borderId="26" xfId="0" applyNumberFormat="1" applyFont="1" applyBorder="1" applyAlignment="1">
      <alignment horizontal="center" vertical="center" wrapText="1"/>
    </xf>
    <xf numFmtId="0" fontId="6" fillId="25" borderId="22" xfId="0" applyFont="1" applyFill="1" applyBorder="1" applyAlignment="1">
      <alignment wrapText="1"/>
    </xf>
    <xf numFmtId="165" fontId="35" fillId="0" borderId="35" xfId="61" applyNumberFormat="1" applyFont="1" applyFill="1" applyBorder="1" applyAlignment="1">
      <alignment horizontal="center"/>
    </xf>
    <xf numFmtId="165" fontId="34" fillId="0" borderId="36" xfId="0" applyNumberFormat="1" applyFont="1" applyFill="1" applyBorder="1" applyAlignment="1">
      <alignment horizontal="center" vertical="center"/>
    </xf>
    <xf numFmtId="165" fontId="35" fillId="0" borderId="35" xfId="0" applyNumberFormat="1" applyFont="1" applyFill="1" applyBorder="1" applyAlignment="1">
      <alignment horizontal="center" vertical="center" wrapText="1"/>
    </xf>
    <xf numFmtId="165" fontId="35" fillId="0" borderId="35" xfId="0" applyNumberFormat="1" applyFont="1" applyFill="1" applyBorder="1" applyAlignment="1">
      <alignment horizontal="center" vertical="center"/>
    </xf>
    <xf numFmtId="165" fontId="34" fillId="0" borderId="35" xfId="0" applyNumberFormat="1" applyFont="1" applyFill="1" applyBorder="1" applyAlignment="1">
      <alignment horizontal="center" vertical="center"/>
    </xf>
    <xf numFmtId="165" fontId="35" fillId="25" borderId="35" xfId="61" applyNumberFormat="1" applyFont="1" applyFill="1" applyBorder="1" applyAlignment="1">
      <alignment horizontal="center"/>
    </xf>
    <xf numFmtId="165" fontId="35" fillId="0" borderId="35" xfId="0" applyNumberFormat="1" applyFont="1" applyBorder="1" applyAlignment="1">
      <alignment horizontal="center"/>
    </xf>
    <xf numFmtId="165" fontId="35" fillId="25" borderId="35" xfId="0" applyNumberFormat="1" applyFont="1" applyFill="1" applyBorder="1" applyAlignment="1">
      <alignment horizontal="center" vertical="center" wrapText="1"/>
    </xf>
    <xf numFmtId="165" fontId="35" fillId="25" borderId="35" xfId="0" applyNumberFormat="1" applyFont="1" applyFill="1" applyBorder="1" applyAlignment="1">
      <alignment horizontal="center" vertical="center"/>
    </xf>
    <xf numFmtId="165" fontId="34" fillId="0" borderId="35" xfId="0" applyNumberFormat="1" applyFont="1" applyFill="1" applyBorder="1" applyAlignment="1">
      <alignment horizontal="center" vertical="center" wrapText="1"/>
    </xf>
    <xf numFmtId="165" fontId="35" fillId="25" borderId="35" xfId="0" applyNumberFormat="1" applyFont="1" applyFill="1" applyBorder="1" applyAlignment="1">
      <alignment horizontal="center"/>
    </xf>
    <xf numFmtId="165" fontId="34" fillId="0" borderId="37" xfId="0" applyNumberFormat="1" applyFont="1" applyFill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39" xfId="0" applyFont="1" applyBorder="1" applyAlignment="1">
      <alignment horizontal="left"/>
    </xf>
    <xf numFmtId="49" fontId="7" fillId="0" borderId="40" xfId="0" applyNumberFormat="1" applyFont="1" applyBorder="1" applyAlignment="1">
      <alignment horizontal="left" vertical="justify"/>
    </xf>
    <xf numFmtId="0" fontId="7" fillId="0" borderId="41" xfId="0" applyFont="1" applyBorder="1" applyAlignment="1">
      <alignment horizontal="left" vertical="justify"/>
    </xf>
    <xf numFmtId="0" fontId="7" fillId="0" borderId="42" xfId="0" applyFont="1" applyBorder="1" applyAlignment="1">
      <alignment horizontal="left" vertical="justify" wrapText="1"/>
    </xf>
    <xf numFmtId="49" fontId="11" fillId="0" borderId="43" xfId="0" applyNumberFormat="1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/>
    </xf>
    <xf numFmtId="0" fontId="7" fillId="0" borderId="46" xfId="0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/>
    </xf>
    <xf numFmtId="0" fontId="7" fillId="0" borderId="20" xfId="0" applyFont="1" applyFill="1" applyBorder="1" applyAlignment="1">
      <alignment horizontal="left" vertical="justify"/>
    </xf>
    <xf numFmtId="49" fontId="7" fillId="25" borderId="33" xfId="0" applyNumberFormat="1" applyFont="1" applyFill="1" applyBorder="1" applyAlignment="1">
      <alignment horizontal="left"/>
    </xf>
    <xf numFmtId="49" fontId="11" fillId="0" borderId="15" xfId="0" applyNumberFormat="1" applyFont="1" applyFill="1" applyBorder="1" applyAlignment="1">
      <alignment horizontal="left"/>
    </xf>
    <xf numFmtId="49" fontId="7" fillId="0" borderId="15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vertical="top" wrapText="1"/>
    </xf>
    <xf numFmtId="49" fontId="7" fillId="0" borderId="33" xfId="0" applyNumberFormat="1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left" wrapText="1"/>
    </xf>
    <xf numFmtId="49" fontId="7" fillId="0" borderId="33" xfId="0" applyNumberFormat="1" applyFont="1" applyFill="1" applyBorder="1" applyAlignment="1">
      <alignment horizontal="left" wrapText="1"/>
    </xf>
    <xf numFmtId="186" fontId="7" fillId="0" borderId="33" xfId="61" applyNumberFormat="1" applyFont="1" applyFill="1" applyBorder="1" applyAlignment="1">
      <alignment horizontal="left"/>
    </xf>
    <xf numFmtId="49" fontId="7" fillId="25" borderId="16" xfId="0" applyNumberFormat="1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/>
    </xf>
    <xf numFmtId="0" fontId="7" fillId="25" borderId="20" xfId="0" applyFont="1" applyFill="1" applyBorder="1" applyAlignment="1">
      <alignment horizontal="left" vertical="justify" wrapText="1"/>
    </xf>
    <xf numFmtId="0" fontId="7" fillId="25" borderId="20" xfId="0" applyNumberFormat="1" applyFont="1" applyFill="1" applyBorder="1" applyAlignment="1">
      <alignment horizontal="left" vertical="center" wrapText="1"/>
    </xf>
    <xf numFmtId="49" fontId="33" fillId="25" borderId="15" xfId="0" applyNumberFormat="1" applyFont="1" applyFill="1" applyBorder="1" applyAlignment="1">
      <alignment horizontal="left"/>
    </xf>
    <xf numFmtId="0" fontId="7" fillId="0" borderId="2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49" fontId="7" fillId="25" borderId="33" xfId="0" applyNumberFormat="1" applyFont="1" applyFill="1" applyBorder="1" applyAlignment="1">
      <alignment horizontal="left" vertical="center" wrapText="1"/>
    </xf>
    <xf numFmtId="0" fontId="6" fillId="25" borderId="22" xfId="0" applyFont="1" applyFill="1" applyBorder="1" applyAlignment="1">
      <alignment horizontal="left"/>
    </xf>
    <xf numFmtId="49" fontId="6" fillId="25" borderId="15" xfId="0" applyNumberFormat="1" applyFont="1" applyFill="1" applyBorder="1" applyAlignment="1">
      <alignment horizontal="left"/>
    </xf>
    <xf numFmtId="0" fontId="6" fillId="25" borderId="33" xfId="0" applyFont="1" applyFill="1" applyBorder="1" applyAlignment="1">
      <alignment horizontal="left"/>
    </xf>
    <xf numFmtId="0" fontId="7" fillId="0" borderId="34" xfId="0" applyFont="1" applyBorder="1" applyAlignment="1">
      <alignment horizontal="left" vertical="justify" wrapText="1"/>
    </xf>
    <xf numFmtId="165" fontId="34" fillId="0" borderId="47" xfId="0" applyNumberFormat="1" applyFont="1" applyFill="1" applyBorder="1" applyAlignment="1">
      <alignment horizontal="center" vertical="center" wrapText="1"/>
    </xf>
    <xf numFmtId="165" fontId="36" fillId="0" borderId="33" xfId="61" applyNumberFormat="1" applyFont="1" applyFill="1" applyBorder="1" applyAlignment="1">
      <alignment horizontal="center"/>
    </xf>
    <xf numFmtId="165" fontId="34" fillId="0" borderId="36" xfId="0" applyNumberFormat="1" applyFont="1" applyFill="1" applyBorder="1" applyAlignment="1">
      <alignment horizontal="center" vertical="center" wrapText="1"/>
    </xf>
    <xf numFmtId="165" fontId="34" fillId="0" borderId="3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607"/>
  <sheetViews>
    <sheetView zoomScalePageLayoutView="0" workbookViewId="0" topLeftCell="A1">
      <selection activeCell="A1" sqref="A1:G43"/>
    </sheetView>
  </sheetViews>
  <sheetFormatPr defaultColWidth="9.125" defaultRowHeight="12.75"/>
  <cols>
    <col min="1" max="1" width="63.125" style="44" customWidth="1"/>
    <col min="2" max="2" width="7.00390625" style="1" hidden="1" customWidth="1"/>
    <col min="3" max="3" width="7.75390625" style="0" customWidth="1"/>
    <col min="4" max="4" width="7.875" style="0" customWidth="1"/>
    <col min="5" max="5" width="12.25390625" style="0" customWidth="1"/>
    <col min="6" max="6" width="11.375" style="0" customWidth="1"/>
    <col min="7" max="7" width="14.875" style="3" customWidth="1"/>
    <col min="8" max="8" width="6.125" style="3" hidden="1" customWidth="1"/>
    <col min="9" max="9" width="10.25390625" style="3" hidden="1" customWidth="1"/>
    <col min="10" max="10" width="13.25390625" style="36" hidden="1" customWidth="1"/>
    <col min="11" max="11" width="11.625" style="0" hidden="1" customWidth="1"/>
    <col min="12" max="13" width="11.375" style="0" hidden="1" customWidth="1"/>
    <col min="14" max="14" width="5.25390625" style="0" hidden="1" customWidth="1"/>
    <col min="15" max="15" width="9.125" style="0" hidden="1" customWidth="1"/>
  </cols>
  <sheetData>
    <row r="1" spans="6:7" ht="12.75">
      <c r="F1" s="16" t="s">
        <v>447</v>
      </c>
      <c r="G1" s="35"/>
    </row>
    <row r="2" spans="6:7" ht="12.75">
      <c r="F2" s="4" t="s">
        <v>598</v>
      </c>
      <c r="G2" s="35"/>
    </row>
    <row r="3" spans="6:7" ht="12.75">
      <c r="F3" s="4" t="s">
        <v>257</v>
      </c>
      <c r="G3" s="35"/>
    </row>
    <row r="4" spans="6:7" ht="12.75">
      <c r="F4" s="4" t="s">
        <v>258</v>
      </c>
      <c r="G4" s="35"/>
    </row>
    <row r="5" spans="6:9" ht="12.75">
      <c r="F5" s="225" t="s">
        <v>599</v>
      </c>
      <c r="G5" s="225"/>
      <c r="H5" s="5"/>
      <c r="I5" s="5"/>
    </row>
    <row r="6" spans="3:6" ht="12.75">
      <c r="C6" s="6" t="s">
        <v>474</v>
      </c>
      <c r="F6" s="4"/>
    </row>
    <row r="7" spans="3:6" ht="12.75">
      <c r="C7" s="6" t="s">
        <v>259</v>
      </c>
      <c r="F7" s="7"/>
    </row>
    <row r="8" spans="3:6" ht="12.75">
      <c r="C8" s="6" t="s">
        <v>260</v>
      </c>
      <c r="F8" s="7"/>
    </row>
    <row r="9" ht="12.75">
      <c r="C9" s="8" t="s">
        <v>261</v>
      </c>
    </row>
    <row r="10" spans="2:9" ht="16.5" thickBot="1">
      <c r="B10" s="9"/>
      <c r="G10" s="5"/>
      <c r="H10" s="5"/>
      <c r="I10" s="5"/>
    </row>
    <row r="11" spans="1:15" ht="15" thickBot="1">
      <c r="A11" s="121" t="s">
        <v>262</v>
      </c>
      <c r="C11" s="122" t="s">
        <v>597</v>
      </c>
      <c r="D11" s="123"/>
      <c r="E11" s="123"/>
      <c r="F11" s="139"/>
      <c r="G11" s="137" t="s">
        <v>264</v>
      </c>
      <c r="H11" s="10" t="s">
        <v>265</v>
      </c>
      <c r="I11" s="10" t="s">
        <v>266</v>
      </c>
      <c r="O11" s="43"/>
    </row>
    <row r="12" spans="1:9" ht="42" customHeight="1" thickBot="1">
      <c r="A12" s="124"/>
      <c r="B12" s="125" t="s">
        <v>267</v>
      </c>
      <c r="C12" s="126" t="s">
        <v>268</v>
      </c>
      <c r="D12" s="126" t="s">
        <v>269</v>
      </c>
      <c r="E12" s="126" t="s">
        <v>270</v>
      </c>
      <c r="F12" s="220" t="s">
        <v>473</v>
      </c>
      <c r="G12" s="138" t="s">
        <v>596</v>
      </c>
      <c r="H12" s="11" t="s">
        <v>420</v>
      </c>
      <c r="I12" s="11" t="s">
        <v>421</v>
      </c>
    </row>
    <row r="13" spans="1:13" s="13" customFormat="1" ht="15.75">
      <c r="A13" s="135" t="s">
        <v>422</v>
      </c>
      <c r="B13" s="160"/>
      <c r="C13" s="127" t="s">
        <v>423</v>
      </c>
      <c r="D13" s="127"/>
      <c r="E13" s="127"/>
      <c r="F13" s="141"/>
      <c r="G13" s="176">
        <f>SUM(G14+G18+G25+G47+G62+G65)</f>
        <v>193357.4</v>
      </c>
      <c r="H13" s="12" t="e">
        <f>SUM(H14+H18+H25+H44+H47+H62+H65+#REF!+H56)</f>
        <v>#REF!</v>
      </c>
      <c r="I13" s="12" t="e">
        <f>SUM(H13/G13*100)</f>
        <v>#REF!</v>
      </c>
      <c r="K13" s="47">
        <f>SUM(J14:J84)</f>
        <v>193357.4</v>
      </c>
      <c r="L13" s="13">
        <f>SUM('ведомствен.2014'!G12+'ведомствен.2014'!G36+'ведомствен.2014'!G55+'ведомствен.2014'!G279)</f>
        <v>193357.4</v>
      </c>
      <c r="M13" s="47">
        <f>SUM(L13-K13)</f>
        <v>0</v>
      </c>
    </row>
    <row r="14" spans="1:15" ht="28.5">
      <c r="A14" s="99" t="s">
        <v>424</v>
      </c>
      <c r="B14" s="161"/>
      <c r="C14" s="55" t="s">
        <v>423</v>
      </c>
      <c r="D14" s="55" t="s">
        <v>425</v>
      </c>
      <c r="E14" s="55"/>
      <c r="F14" s="142"/>
      <c r="G14" s="177">
        <f>SUM(G15)</f>
        <v>1725</v>
      </c>
      <c r="H14" s="14">
        <f>SUM(H15)</f>
        <v>983.5</v>
      </c>
      <c r="I14" s="14">
        <f>SUM(H14/G14*100)</f>
        <v>57.014492753623195</v>
      </c>
      <c r="J14"/>
      <c r="O14" s="43" t="e">
        <f>SUM(G14+G18+G25+G47+#REF!)</f>
        <v>#REF!</v>
      </c>
    </row>
    <row r="15" spans="1:10" ht="42.75">
      <c r="A15" s="99" t="s">
        <v>89</v>
      </c>
      <c r="B15" s="161"/>
      <c r="C15" s="55" t="s">
        <v>423</v>
      </c>
      <c r="D15" s="55" t="s">
        <v>425</v>
      </c>
      <c r="E15" s="55" t="s">
        <v>90</v>
      </c>
      <c r="F15" s="142"/>
      <c r="G15" s="177">
        <f>SUM(G17)</f>
        <v>1725</v>
      </c>
      <c r="H15" s="14">
        <f>SUM(H17:H17)</f>
        <v>983.5</v>
      </c>
      <c r="I15" s="14">
        <f aca="true" t="shared" si="0" ref="I15:I54">SUM(H15/G15*100)</f>
        <v>57.014492753623195</v>
      </c>
      <c r="J15"/>
    </row>
    <row r="16" spans="1:10" ht="15">
      <c r="A16" s="99" t="s">
        <v>91</v>
      </c>
      <c r="B16" s="161"/>
      <c r="C16" s="55" t="s">
        <v>423</v>
      </c>
      <c r="D16" s="55" t="s">
        <v>425</v>
      </c>
      <c r="E16" s="55" t="s">
        <v>92</v>
      </c>
      <c r="F16" s="142"/>
      <c r="G16" s="177">
        <f>SUM(G17)</f>
        <v>1725</v>
      </c>
      <c r="H16" s="14">
        <f>SUM(H17)</f>
        <v>983.5</v>
      </c>
      <c r="I16" s="14">
        <f t="shared" si="0"/>
        <v>57.014492753623195</v>
      </c>
      <c r="J16"/>
    </row>
    <row r="17" spans="1:10" ht="42.75">
      <c r="A17" s="99" t="s">
        <v>459</v>
      </c>
      <c r="B17" s="161"/>
      <c r="C17" s="55" t="s">
        <v>423</v>
      </c>
      <c r="D17" s="55" t="s">
        <v>425</v>
      </c>
      <c r="E17" s="55" t="s">
        <v>92</v>
      </c>
      <c r="F17" s="142" t="s">
        <v>460</v>
      </c>
      <c r="G17" s="177">
        <v>1725</v>
      </c>
      <c r="H17" s="14">
        <v>983.5</v>
      </c>
      <c r="I17" s="14">
        <f t="shared" si="0"/>
        <v>57.014492753623195</v>
      </c>
      <c r="J17" s="36">
        <f>SUM('ведомствен.2014'!G16)</f>
        <v>1725</v>
      </c>
    </row>
    <row r="18" spans="1:10" ht="42.75">
      <c r="A18" s="99" t="s">
        <v>95</v>
      </c>
      <c r="B18" s="161"/>
      <c r="C18" s="55" t="s">
        <v>423</v>
      </c>
      <c r="D18" s="55" t="s">
        <v>96</v>
      </c>
      <c r="E18" s="55"/>
      <c r="F18" s="142"/>
      <c r="G18" s="177">
        <f>SUM(G19)</f>
        <v>11111.5</v>
      </c>
      <c r="H18" s="14">
        <f>SUM(H19)</f>
        <v>8231.8</v>
      </c>
      <c r="I18" s="14">
        <f t="shared" si="0"/>
        <v>74.0836070737524</v>
      </c>
      <c r="J18"/>
    </row>
    <row r="19" spans="1:10" ht="42.75">
      <c r="A19" s="99" t="s">
        <v>89</v>
      </c>
      <c r="B19" s="161"/>
      <c r="C19" s="55" t="s">
        <v>423</v>
      </c>
      <c r="D19" s="55" t="s">
        <v>96</v>
      </c>
      <c r="E19" s="55" t="s">
        <v>90</v>
      </c>
      <c r="F19" s="143"/>
      <c r="G19" s="177">
        <f>SUM(G20+G23)</f>
        <v>11111.5</v>
      </c>
      <c r="H19" s="14">
        <f>SUM(H20+H23)</f>
        <v>8231.8</v>
      </c>
      <c r="I19" s="14">
        <f t="shared" si="0"/>
        <v>74.0836070737524</v>
      </c>
      <c r="J19"/>
    </row>
    <row r="20" spans="1:10" ht="15">
      <c r="A20" s="99" t="s">
        <v>97</v>
      </c>
      <c r="B20" s="161"/>
      <c r="C20" s="55" t="s">
        <v>98</v>
      </c>
      <c r="D20" s="55" t="s">
        <v>96</v>
      </c>
      <c r="E20" s="55" t="s">
        <v>99</v>
      </c>
      <c r="F20" s="143"/>
      <c r="G20" s="177">
        <f>SUM(G21)+G22</f>
        <v>11111.5</v>
      </c>
      <c r="H20" s="14">
        <f>SUM(H21)</f>
        <v>8068.7</v>
      </c>
      <c r="I20" s="14">
        <f t="shared" si="0"/>
        <v>72.6157584484543</v>
      </c>
      <c r="J20"/>
    </row>
    <row r="21" spans="1:10" ht="42.75">
      <c r="A21" s="99" t="s">
        <v>459</v>
      </c>
      <c r="B21" s="161"/>
      <c r="C21" s="55" t="s">
        <v>423</v>
      </c>
      <c r="D21" s="55" t="s">
        <v>96</v>
      </c>
      <c r="E21" s="55" t="s">
        <v>99</v>
      </c>
      <c r="F21" s="142" t="s">
        <v>460</v>
      </c>
      <c r="G21" s="177">
        <v>11104.4</v>
      </c>
      <c r="H21" s="14">
        <v>8068.7</v>
      </c>
      <c r="I21" s="14">
        <f t="shared" si="0"/>
        <v>72.66218796152877</v>
      </c>
      <c r="J21" s="36">
        <f>SUM('ведомствен.2014'!G20)</f>
        <v>11104.4</v>
      </c>
    </row>
    <row r="22" spans="1:10" ht="15">
      <c r="A22" s="99" t="s">
        <v>464</v>
      </c>
      <c r="B22" s="161"/>
      <c r="C22" s="55" t="s">
        <v>423</v>
      </c>
      <c r="D22" s="55" t="s">
        <v>96</v>
      </c>
      <c r="E22" s="55" t="s">
        <v>99</v>
      </c>
      <c r="F22" s="142" t="s">
        <v>110</v>
      </c>
      <c r="G22" s="178">
        <v>7.1</v>
      </c>
      <c r="H22" s="14"/>
      <c r="I22" s="14"/>
      <c r="J22" s="36">
        <f>SUM('ведомствен.2014'!G21)</f>
        <v>7.1</v>
      </c>
    </row>
    <row r="23" spans="1:10" ht="28.5" hidden="1">
      <c r="A23" s="99" t="s">
        <v>100</v>
      </c>
      <c r="B23" s="161"/>
      <c r="C23" s="55" t="s">
        <v>98</v>
      </c>
      <c r="D23" s="55" t="s">
        <v>96</v>
      </c>
      <c r="E23" s="55" t="s">
        <v>101</v>
      </c>
      <c r="F23" s="142"/>
      <c r="G23" s="178">
        <f>SUM(G24)</f>
        <v>0</v>
      </c>
      <c r="H23" s="14">
        <f>SUM(H24)</f>
        <v>163.10000000000002</v>
      </c>
      <c r="I23" s="14" t="e">
        <f t="shared" si="0"/>
        <v>#DIV/0!</v>
      </c>
      <c r="J23"/>
    </row>
    <row r="24" spans="1:10" ht="15" hidden="1">
      <c r="A24" s="99" t="s">
        <v>93</v>
      </c>
      <c r="B24" s="161"/>
      <c r="C24" s="55" t="s">
        <v>98</v>
      </c>
      <c r="D24" s="55" t="s">
        <v>96</v>
      </c>
      <c r="E24" s="55" t="s">
        <v>101</v>
      </c>
      <c r="F24" s="142" t="s">
        <v>94</v>
      </c>
      <c r="G24" s="178"/>
      <c r="H24" s="14">
        <f>913.5-750.4</f>
        <v>163.10000000000002</v>
      </c>
      <c r="I24" s="14" t="e">
        <f t="shared" si="0"/>
        <v>#DIV/0!</v>
      </c>
      <c r="J24"/>
    </row>
    <row r="25" spans="1:10" ht="42.75">
      <c r="A25" s="99" t="s">
        <v>244</v>
      </c>
      <c r="B25" s="161"/>
      <c r="C25" s="55" t="s">
        <v>423</v>
      </c>
      <c r="D25" s="55" t="s">
        <v>112</v>
      </c>
      <c r="E25" s="55"/>
      <c r="F25" s="142"/>
      <c r="G25" s="177">
        <f>SUM(G26)</f>
        <v>96768.9</v>
      </c>
      <c r="H25" s="14">
        <f>SUM(H26)+H41+H39</f>
        <v>52319.90000000001</v>
      </c>
      <c r="I25" s="14">
        <f t="shared" si="0"/>
        <v>54.06685412358724</v>
      </c>
      <c r="J25"/>
    </row>
    <row r="26" spans="1:10" ht="42.75">
      <c r="A26" s="99" t="s">
        <v>89</v>
      </c>
      <c r="B26" s="161"/>
      <c r="C26" s="55" t="s">
        <v>423</v>
      </c>
      <c r="D26" s="55" t="s">
        <v>112</v>
      </c>
      <c r="E26" s="55" t="s">
        <v>90</v>
      </c>
      <c r="F26" s="143"/>
      <c r="G26" s="177">
        <f>SUM(G27+G42+G30+G33+G36+G39)</f>
        <v>96768.9</v>
      </c>
      <c r="H26" s="14">
        <f>SUM(H27+H37)</f>
        <v>51899.200000000004</v>
      </c>
      <c r="I26" s="14">
        <f t="shared" si="0"/>
        <v>53.63210700958676</v>
      </c>
      <c r="J26"/>
    </row>
    <row r="27" spans="1:10" ht="15">
      <c r="A27" s="99" t="s">
        <v>97</v>
      </c>
      <c r="B27" s="161"/>
      <c r="C27" s="55" t="s">
        <v>423</v>
      </c>
      <c r="D27" s="55" t="s">
        <v>112</v>
      </c>
      <c r="E27" s="55" t="s">
        <v>99</v>
      </c>
      <c r="F27" s="143"/>
      <c r="G27" s="177">
        <f>SUM(G28+G29)</f>
        <v>93505</v>
      </c>
      <c r="H27" s="14">
        <f>SUM(H28:H28+H29+H31+H34)+H30</f>
        <v>51161.8</v>
      </c>
      <c r="I27" s="14">
        <f t="shared" si="0"/>
        <v>54.715576707127966</v>
      </c>
      <c r="J27"/>
    </row>
    <row r="28" spans="1:10" ht="42.75">
      <c r="A28" s="99" t="s">
        <v>459</v>
      </c>
      <c r="B28" s="161"/>
      <c r="C28" s="55" t="s">
        <v>423</v>
      </c>
      <c r="D28" s="55" t="s">
        <v>112</v>
      </c>
      <c r="E28" s="55" t="s">
        <v>99</v>
      </c>
      <c r="F28" s="142" t="s">
        <v>460</v>
      </c>
      <c r="G28" s="177">
        <v>93407.5</v>
      </c>
      <c r="H28" s="14">
        <v>50612.1</v>
      </c>
      <c r="I28" s="14">
        <f t="shared" si="0"/>
        <v>54.18419291812756</v>
      </c>
      <c r="J28" s="36">
        <f>SUM('ведомствен.2014'!G59)</f>
        <v>93407.5</v>
      </c>
    </row>
    <row r="29" spans="1:10" ht="15">
      <c r="A29" s="99" t="s">
        <v>464</v>
      </c>
      <c r="B29" s="161"/>
      <c r="C29" s="55" t="s">
        <v>423</v>
      </c>
      <c r="D29" s="55" t="s">
        <v>112</v>
      </c>
      <c r="E29" s="55" t="s">
        <v>99</v>
      </c>
      <c r="F29" s="142" t="s">
        <v>110</v>
      </c>
      <c r="G29" s="178">
        <v>97.5</v>
      </c>
      <c r="H29" s="14">
        <v>507.8</v>
      </c>
      <c r="I29" s="14">
        <f t="shared" si="0"/>
        <v>520.8205128205128</v>
      </c>
      <c r="J29" s="36">
        <f>SUM('ведомствен.2014'!G60)</f>
        <v>97.5</v>
      </c>
    </row>
    <row r="30" spans="1:9" ht="42.75">
      <c r="A30" s="99" t="s">
        <v>116</v>
      </c>
      <c r="B30" s="161"/>
      <c r="C30" s="55" t="s">
        <v>423</v>
      </c>
      <c r="D30" s="55" t="s">
        <v>112</v>
      </c>
      <c r="E30" s="55" t="s">
        <v>117</v>
      </c>
      <c r="F30" s="142"/>
      <c r="G30" s="177">
        <f>SUM(G31:G32)</f>
        <v>1392.3999999999999</v>
      </c>
      <c r="H30" s="14"/>
      <c r="I30" s="14">
        <f t="shared" si="0"/>
        <v>0</v>
      </c>
    </row>
    <row r="31" spans="1:10" ht="42.75">
      <c r="A31" s="99" t="s">
        <v>459</v>
      </c>
      <c r="B31" s="161"/>
      <c r="C31" s="55" t="s">
        <v>423</v>
      </c>
      <c r="D31" s="55" t="s">
        <v>112</v>
      </c>
      <c r="E31" s="55" t="s">
        <v>117</v>
      </c>
      <c r="F31" s="142" t="s">
        <v>460</v>
      </c>
      <c r="G31" s="177">
        <v>1368.8</v>
      </c>
      <c r="H31" s="14">
        <v>41.9</v>
      </c>
      <c r="I31" s="14">
        <f t="shared" si="0"/>
        <v>3.061075394506137</v>
      </c>
      <c r="J31" s="36">
        <f>SUM('ведомствен.2014'!G62)</f>
        <v>1368.8</v>
      </c>
    </row>
    <row r="32" spans="1:10" ht="15">
      <c r="A32" s="99" t="s">
        <v>464</v>
      </c>
      <c r="B32" s="161"/>
      <c r="C32" s="55" t="s">
        <v>423</v>
      </c>
      <c r="D32" s="55" t="s">
        <v>112</v>
      </c>
      <c r="E32" s="55" t="s">
        <v>117</v>
      </c>
      <c r="F32" s="142" t="s">
        <v>110</v>
      </c>
      <c r="G32" s="178">
        <v>23.6</v>
      </c>
      <c r="H32" s="14"/>
      <c r="I32" s="14">
        <f>SUM(H32/G32*100)</f>
        <v>0</v>
      </c>
      <c r="J32" s="36">
        <f>SUM('ведомствен.2014'!G63)</f>
        <v>23.6</v>
      </c>
    </row>
    <row r="33" spans="1:9" ht="42.75">
      <c r="A33" s="99" t="s">
        <v>347</v>
      </c>
      <c r="B33" s="161"/>
      <c r="C33" s="55" t="s">
        <v>423</v>
      </c>
      <c r="D33" s="55" t="s">
        <v>112</v>
      </c>
      <c r="E33" s="55" t="s">
        <v>348</v>
      </c>
      <c r="F33" s="142"/>
      <c r="G33" s="177">
        <f>SUM(G34:G35)</f>
        <v>93.8</v>
      </c>
      <c r="H33" s="14"/>
      <c r="I33" s="14"/>
    </row>
    <row r="34" spans="1:10" ht="42.75">
      <c r="A34" s="99" t="s">
        <v>459</v>
      </c>
      <c r="B34" s="161"/>
      <c r="C34" s="55" t="s">
        <v>423</v>
      </c>
      <c r="D34" s="55" t="s">
        <v>112</v>
      </c>
      <c r="E34" s="55" t="s">
        <v>348</v>
      </c>
      <c r="F34" s="142" t="s">
        <v>460</v>
      </c>
      <c r="G34" s="177">
        <v>72.3</v>
      </c>
      <c r="H34" s="14"/>
      <c r="I34" s="14">
        <f t="shared" si="0"/>
        <v>0</v>
      </c>
      <c r="J34" s="36">
        <f>SUM('ведомствен.2014'!G65)</f>
        <v>72.3</v>
      </c>
    </row>
    <row r="35" spans="1:10" ht="15">
      <c r="A35" s="99" t="s">
        <v>464</v>
      </c>
      <c r="B35" s="161"/>
      <c r="C35" s="55" t="s">
        <v>423</v>
      </c>
      <c r="D35" s="55" t="s">
        <v>112</v>
      </c>
      <c r="E35" s="55" t="s">
        <v>348</v>
      </c>
      <c r="F35" s="142" t="s">
        <v>110</v>
      </c>
      <c r="G35" s="178">
        <v>21.5</v>
      </c>
      <c r="H35" s="14"/>
      <c r="I35" s="14"/>
      <c r="J35" s="36">
        <f>SUM('ведомствен.2014'!G66)</f>
        <v>21.5</v>
      </c>
    </row>
    <row r="36" spans="1:9" ht="28.5">
      <c r="A36" s="103" t="s">
        <v>51</v>
      </c>
      <c r="B36" s="162"/>
      <c r="C36" s="128" t="s">
        <v>423</v>
      </c>
      <c r="D36" s="128" t="s">
        <v>112</v>
      </c>
      <c r="E36" s="128" t="s">
        <v>52</v>
      </c>
      <c r="F36" s="143"/>
      <c r="G36" s="177">
        <f>SUM(G37:G38)</f>
        <v>179.6</v>
      </c>
      <c r="H36" s="14"/>
      <c r="I36" s="14"/>
    </row>
    <row r="37" spans="1:10" ht="42.75">
      <c r="A37" s="99" t="s">
        <v>459</v>
      </c>
      <c r="B37" s="161"/>
      <c r="C37" s="55" t="s">
        <v>423</v>
      </c>
      <c r="D37" s="55" t="s">
        <v>112</v>
      </c>
      <c r="E37" s="128" t="s">
        <v>52</v>
      </c>
      <c r="F37" s="142" t="s">
        <v>460</v>
      </c>
      <c r="G37" s="177">
        <v>140</v>
      </c>
      <c r="H37" s="14">
        <f>SUM(H38)</f>
        <v>737.4</v>
      </c>
      <c r="I37" s="14">
        <f t="shared" si="0"/>
        <v>526.7142857142857</v>
      </c>
      <c r="J37" s="36">
        <f>SUM('ведомствен.2014'!G68)</f>
        <v>140</v>
      </c>
    </row>
    <row r="38" spans="1:10" ht="15">
      <c r="A38" s="99" t="s">
        <v>464</v>
      </c>
      <c r="B38" s="161"/>
      <c r="C38" s="55" t="s">
        <v>423</v>
      </c>
      <c r="D38" s="55" t="s">
        <v>112</v>
      </c>
      <c r="E38" s="128" t="s">
        <v>52</v>
      </c>
      <c r="F38" s="142" t="s">
        <v>110</v>
      </c>
      <c r="G38" s="178">
        <v>39.6</v>
      </c>
      <c r="H38" s="14">
        <v>737.4</v>
      </c>
      <c r="I38" s="14">
        <f t="shared" si="0"/>
        <v>1862.121212121212</v>
      </c>
      <c r="J38" s="36">
        <f>SUM('ведомствен.2014'!G69)</f>
        <v>39.6</v>
      </c>
    </row>
    <row r="39" spans="1:10" ht="28.5">
      <c r="A39" s="103" t="s">
        <v>138</v>
      </c>
      <c r="B39" s="162"/>
      <c r="C39" s="128" t="s">
        <v>423</v>
      </c>
      <c r="D39" s="128" t="s">
        <v>112</v>
      </c>
      <c r="E39" s="128" t="s">
        <v>139</v>
      </c>
      <c r="F39" s="143"/>
      <c r="G39" s="177">
        <f>SUM(G40:G41)</f>
        <v>357.70000000000005</v>
      </c>
      <c r="H39" s="14">
        <f>SUM(H40)</f>
        <v>264.8</v>
      </c>
      <c r="I39" s="14">
        <f t="shared" si="0"/>
        <v>74.02851551579536</v>
      </c>
      <c r="J39"/>
    </row>
    <row r="40" spans="1:10" ht="42.75">
      <c r="A40" s="99" t="s">
        <v>459</v>
      </c>
      <c r="B40" s="161"/>
      <c r="C40" s="55" t="s">
        <v>423</v>
      </c>
      <c r="D40" s="55" t="s">
        <v>112</v>
      </c>
      <c r="E40" s="128" t="s">
        <v>139</v>
      </c>
      <c r="F40" s="142" t="s">
        <v>460</v>
      </c>
      <c r="G40" s="177">
        <v>288.8</v>
      </c>
      <c r="H40" s="14">
        <v>264.8</v>
      </c>
      <c r="I40" s="14">
        <f t="shared" si="0"/>
        <v>91.68975069252078</v>
      </c>
      <c r="J40" s="36">
        <f>SUM('ведомствен.2014'!G71)</f>
        <v>288.8</v>
      </c>
    </row>
    <row r="41" spans="1:10" ht="15">
      <c r="A41" s="99" t="s">
        <v>464</v>
      </c>
      <c r="B41" s="161"/>
      <c r="C41" s="55" t="s">
        <v>423</v>
      </c>
      <c r="D41" s="55" t="s">
        <v>112</v>
      </c>
      <c r="E41" s="128" t="s">
        <v>139</v>
      </c>
      <c r="F41" s="142" t="s">
        <v>110</v>
      </c>
      <c r="G41" s="178">
        <v>68.9</v>
      </c>
      <c r="H41" s="14">
        <f>SUM(H42)</f>
        <v>155.9</v>
      </c>
      <c r="I41" s="14">
        <f t="shared" si="0"/>
        <v>226.26995645863568</v>
      </c>
      <c r="J41" s="36">
        <f>SUM('ведомствен.2014'!G72)</f>
        <v>68.9</v>
      </c>
    </row>
    <row r="42" spans="1:10" ht="28.5">
      <c r="A42" s="99" t="s">
        <v>349</v>
      </c>
      <c r="B42" s="161"/>
      <c r="C42" s="55" t="s">
        <v>98</v>
      </c>
      <c r="D42" s="55" t="s">
        <v>112</v>
      </c>
      <c r="E42" s="55" t="s">
        <v>350</v>
      </c>
      <c r="F42" s="143"/>
      <c r="G42" s="177">
        <f>SUM(G43)</f>
        <v>1240.4</v>
      </c>
      <c r="H42" s="14">
        <f>SUM(H43:H43)</f>
        <v>155.9</v>
      </c>
      <c r="I42" s="14">
        <f t="shared" si="0"/>
        <v>12.568526281844566</v>
      </c>
      <c r="J42"/>
    </row>
    <row r="43" spans="1:10" ht="42" customHeight="1">
      <c r="A43" s="99" t="s">
        <v>459</v>
      </c>
      <c r="B43" s="161"/>
      <c r="C43" s="55" t="s">
        <v>423</v>
      </c>
      <c r="D43" s="55" t="s">
        <v>112</v>
      </c>
      <c r="E43" s="55" t="s">
        <v>350</v>
      </c>
      <c r="F43" s="142" t="s">
        <v>460</v>
      </c>
      <c r="G43" s="177">
        <v>1240.4</v>
      </c>
      <c r="H43" s="14">
        <v>155.9</v>
      </c>
      <c r="I43" s="14">
        <f t="shared" si="0"/>
        <v>12.568526281844566</v>
      </c>
      <c r="J43" s="36">
        <f>SUM('ведомствен.2014'!G74)</f>
        <v>1240.4</v>
      </c>
    </row>
    <row r="44" spans="1:10" ht="15" hidden="1">
      <c r="A44" s="99" t="s">
        <v>120</v>
      </c>
      <c r="B44" s="161"/>
      <c r="C44" s="55" t="s">
        <v>423</v>
      </c>
      <c r="D44" s="55" t="s">
        <v>121</v>
      </c>
      <c r="E44" s="55"/>
      <c r="F44" s="143"/>
      <c r="G44" s="178">
        <f>SUM(G45)</f>
        <v>0</v>
      </c>
      <c r="H44" s="14" t="e">
        <f>SUM(H45)</f>
        <v>#REF!</v>
      </c>
      <c r="I44" s="14" t="e">
        <f t="shared" si="0"/>
        <v>#REF!</v>
      </c>
      <c r="J44"/>
    </row>
    <row r="45" spans="1:10" ht="42.75" hidden="1">
      <c r="A45" s="100" t="s">
        <v>238</v>
      </c>
      <c r="B45" s="161"/>
      <c r="C45" s="55" t="s">
        <v>423</v>
      </c>
      <c r="D45" s="55" t="s">
        <v>121</v>
      </c>
      <c r="E45" s="55" t="s">
        <v>353</v>
      </c>
      <c r="F45" s="143"/>
      <c r="G45" s="178">
        <f>SUM(G46)</f>
        <v>0</v>
      </c>
      <c r="H45" s="14" t="e">
        <f>SUM(H46)</f>
        <v>#REF!</v>
      </c>
      <c r="I45" s="14" t="e">
        <f t="shared" si="0"/>
        <v>#REF!</v>
      </c>
      <c r="J45"/>
    </row>
    <row r="46" spans="1:10" ht="15" hidden="1">
      <c r="A46" s="99" t="s">
        <v>93</v>
      </c>
      <c r="B46" s="161"/>
      <c r="C46" s="55" t="s">
        <v>423</v>
      </c>
      <c r="D46" s="55" t="s">
        <v>121</v>
      </c>
      <c r="E46" s="55" t="s">
        <v>353</v>
      </c>
      <c r="F46" s="142" t="s">
        <v>94</v>
      </c>
      <c r="G46" s="178"/>
      <c r="H46" s="14" t="e">
        <f>SUM('[1]Ведомств.'!G83)</f>
        <v>#REF!</v>
      </c>
      <c r="I46" s="14" t="e">
        <f t="shared" si="0"/>
        <v>#REF!</v>
      </c>
      <c r="J46" s="36">
        <f>SUM('ведомствен.2014'!G77)</f>
        <v>0</v>
      </c>
    </row>
    <row r="47" spans="1:9" s="15" customFormat="1" ht="42.75">
      <c r="A47" s="99" t="s">
        <v>354</v>
      </c>
      <c r="B47" s="161"/>
      <c r="C47" s="55" t="s">
        <v>423</v>
      </c>
      <c r="D47" s="55" t="s">
        <v>355</v>
      </c>
      <c r="E47" s="55"/>
      <c r="F47" s="142"/>
      <c r="G47" s="177">
        <f>SUM(G48)</f>
        <v>23769.4</v>
      </c>
      <c r="H47" s="14">
        <f>SUM(H48)</f>
        <v>12415.9</v>
      </c>
      <c r="I47" s="14">
        <f t="shared" si="0"/>
        <v>52.234806095231676</v>
      </c>
    </row>
    <row r="48" spans="1:9" s="15" customFormat="1" ht="42.75">
      <c r="A48" s="99" t="s">
        <v>89</v>
      </c>
      <c r="B48" s="161"/>
      <c r="C48" s="55" t="s">
        <v>423</v>
      </c>
      <c r="D48" s="55" t="s">
        <v>355</v>
      </c>
      <c r="E48" s="55" t="s">
        <v>90</v>
      </c>
      <c r="F48" s="142"/>
      <c r="G48" s="177">
        <f>SUM(G49)+G52+G54</f>
        <v>23769.4</v>
      </c>
      <c r="H48" s="14">
        <f>SUM(H49+H54)</f>
        <v>12415.9</v>
      </c>
      <c r="I48" s="14">
        <f t="shared" si="0"/>
        <v>52.234806095231676</v>
      </c>
    </row>
    <row r="49" spans="1:9" s="15" customFormat="1" ht="15">
      <c r="A49" s="99" t="s">
        <v>97</v>
      </c>
      <c r="B49" s="161"/>
      <c r="C49" s="55" t="s">
        <v>423</v>
      </c>
      <c r="D49" s="55" t="s">
        <v>355</v>
      </c>
      <c r="E49" s="55" t="s">
        <v>99</v>
      </c>
      <c r="F49" s="142"/>
      <c r="G49" s="177">
        <f>SUM(G50+G51)</f>
        <v>6088.6</v>
      </c>
      <c r="H49" s="14">
        <f>SUM(H50+H52)</f>
        <v>11864.3</v>
      </c>
      <c r="I49" s="14">
        <f t="shared" si="0"/>
        <v>194.8608875603587</v>
      </c>
    </row>
    <row r="50" spans="1:10" s="15" customFormat="1" ht="42.75">
      <c r="A50" s="99" t="s">
        <v>459</v>
      </c>
      <c r="B50" s="161"/>
      <c r="C50" s="55" t="s">
        <v>98</v>
      </c>
      <c r="D50" s="55" t="s">
        <v>355</v>
      </c>
      <c r="E50" s="55" t="s">
        <v>99</v>
      </c>
      <c r="F50" s="144" t="s">
        <v>460</v>
      </c>
      <c r="G50" s="177">
        <v>6072.5</v>
      </c>
      <c r="H50" s="14">
        <v>2278</v>
      </c>
      <c r="I50" s="14">
        <f t="shared" si="0"/>
        <v>37.51337999176616</v>
      </c>
      <c r="J50" s="37">
        <f>SUM('ведомствен.2014'!G40+'ведомствен.2014'!G283)</f>
        <v>6072.5</v>
      </c>
    </row>
    <row r="51" spans="1:10" s="15" customFormat="1" ht="15">
      <c r="A51" s="99" t="s">
        <v>464</v>
      </c>
      <c r="B51" s="161"/>
      <c r="C51" s="55" t="s">
        <v>423</v>
      </c>
      <c r="D51" s="55" t="s">
        <v>355</v>
      </c>
      <c r="E51" s="55" t="s">
        <v>99</v>
      </c>
      <c r="F51" s="142" t="s">
        <v>110</v>
      </c>
      <c r="G51" s="178">
        <v>16.1</v>
      </c>
      <c r="H51" s="14"/>
      <c r="I51" s="14"/>
      <c r="J51" s="37">
        <f>SUM('ведомствен.2014'!G41+'ведомствен.2014'!G284)</f>
        <v>16.1</v>
      </c>
    </row>
    <row r="52" spans="1:10" ht="28.5">
      <c r="A52" s="99" t="s">
        <v>356</v>
      </c>
      <c r="B52" s="161"/>
      <c r="C52" s="55" t="s">
        <v>98</v>
      </c>
      <c r="D52" s="55" t="s">
        <v>355</v>
      </c>
      <c r="E52" s="55" t="s">
        <v>357</v>
      </c>
      <c r="F52" s="142"/>
      <c r="G52" s="177">
        <f>SUM(G53)</f>
        <v>15988.8</v>
      </c>
      <c r="H52" s="14">
        <f>SUM(H53)</f>
        <v>9586.3</v>
      </c>
      <c r="I52" s="14">
        <f t="shared" si="0"/>
        <v>59.956344441108776</v>
      </c>
      <c r="J52"/>
    </row>
    <row r="53" spans="1:10" s="16" customFormat="1" ht="42.75">
      <c r="A53" s="99" t="s">
        <v>459</v>
      </c>
      <c r="B53" s="161"/>
      <c r="C53" s="55" t="s">
        <v>98</v>
      </c>
      <c r="D53" s="55" t="s">
        <v>355</v>
      </c>
      <c r="E53" s="55" t="s">
        <v>357</v>
      </c>
      <c r="F53" s="144" t="s">
        <v>460</v>
      </c>
      <c r="G53" s="177">
        <v>15988.8</v>
      </c>
      <c r="H53" s="14">
        <v>9586.3</v>
      </c>
      <c r="I53" s="14">
        <f t="shared" si="0"/>
        <v>59.956344441108776</v>
      </c>
      <c r="J53" s="37">
        <f>SUM('ведомствен.2014'!G286)</f>
        <v>15988.8</v>
      </c>
    </row>
    <row r="54" spans="1:10" ht="28.5">
      <c r="A54" s="99" t="s">
        <v>358</v>
      </c>
      <c r="B54" s="161"/>
      <c r="C54" s="55" t="s">
        <v>98</v>
      </c>
      <c r="D54" s="55" t="s">
        <v>355</v>
      </c>
      <c r="E54" s="55" t="s">
        <v>359</v>
      </c>
      <c r="F54" s="144"/>
      <c r="G54" s="177">
        <f>SUM(G55)</f>
        <v>1692</v>
      </c>
      <c r="H54" s="14">
        <f>SUM(H55)</f>
        <v>551.6</v>
      </c>
      <c r="I54" s="14">
        <f t="shared" si="0"/>
        <v>32.600472813238774</v>
      </c>
      <c r="J54"/>
    </row>
    <row r="55" spans="1:10" ht="42.75">
      <c r="A55" s="99" t="s">
        <v>459</v>
      </c>
      <c r="B55" s="161"/>
      <c r="C55" s="55" t="s">
        <v>98</v>
      </c>
      <c r="D55" s="55" t="s">
        <v>355</v>
      </c>
      <c r="E55" s="55" t="s">
        <v>359</v>
      </c>
      <c r="F55" s="142" t="s">
        <v>460</v>
      </c>
      <c r="G55" s="177">
        <v>1692</v>
      </c>
      <c r="H55" s="14">
        <v>551.6</v>
      </c>
      <c r="I55" s="14">
        <f aca="true" t="shared" si="1" ref="I55:I85">SUM(H55/G55*100)</f>
        <v>32.600472813238774</v>
      </c>
      <c r="J55" s="36">
        <f>SUM('ведомствен.2014'!G43)</f>
        <v>1692</v>
      </c>
    </row>
    <row r="56" spans="1:10" ht="15" hidden="1">
      <c r="A56" s="103" t="s">
        <v>360</v>
      </c>
      <c r="B56" s="162"/>
      <c r="C56" s="128" t="s">
        <v>423</v>
      </c>
      <c r="D56" s="128" t="s">
        <v>107</v>
      </c>
      <c r="E56" s="128"/>
      <c r="F56" s="143"/>
      <c r="G56" s="178">
        <f>SUM(G57)</f>
        <v>0</v>
      </c>
      <c r="H56" s="14">
        <f>SUM(H57)</f>
        <v>4219.8</v>
      </c>
      <c r="I56" s="14" t="e">
        <f t="shared" si="1"/>
        <v>#DIV/0!</v>
      </c>
      <c r="J56"/>
    </row>
    <row r="57" spans="1:10" ht="15" hidden="1">
      <c r="A57" s="103" t="s">
        <v>360</v>
      </c>
      <c r="B57" s="162"/>
      <c r="C57" s="128" t="s">
        <v>423</v>
      </c>
      <c r="D57" s="128" t="s">
        <v>107</v>
      </c>
      <c r="E57" s="128" t="s">
        <v>361</v>
      </c>
      <c r="F57" s="143"/>
      <c r="G57" s="178">
        <f>SUM(G58+G60)</f>
        <v>0</v>
      </c>
      <c r="H57" s="14">
        <f>SUM(H58+H60)</f>
        <v>4219.8</v>
      </c>
      <c r="I57" s="14" t="e">
        <f t="shared" si="1"/>
        <v>#DIV/0!</v>
      </c>
      <c r="J57"/>
    </row>
    <row r="58" spans="1:10" ht="28.5" hidden="1">
      <c r="A58" s="99" t="s">
        <v>362</v>
      </c>
      <c r="B58" s="162"/>
      <c r="C58" s="128" t="s">
        <v>423</v>
      </c>
      <c r="D58" s="128" t="s">
        <v>107</v>
      </c>
      <c r="E58" s="128" t="s">
        <v>363</v>
      </c>
      <c r="F58" s="143"/>
      <c r="G58" s="178">
        <f>SUM(G59:G59)</f>
        <v>0</v>
      </c>
      <c r="H58" s="14">
        <f>SUM(H59:H59)</f>
        <v>2142.4</v>
      </c>
      <c r="I58" s="14" t="e">
        <f t="shared" si="1"/>
        <v>#DIV/0!</v>
      </c>
      <c r="J58"/>
    </row>
    <row r="59" spans="1:10" ht="15" hidden="1">
      <c r="A59" s="99" t="s">
        <v>93</v>
      </c>
      <c r="B59" s="162"/>
      <c r="C59" s="128" t="s">
        <v>423</v>
      </c>
      <c r="D59" s="128" t="s">
        <v>107</v>
      </c>
      <c r="E59" s="128" t="s">
        <v>363</v>
      </c>
      <c r="F59" s="143" t="s">
        <v>94</v>
      </c>
      <c r="G59" s="178"/>
      <c r="H59" s="14">
        <v>2142.4</v>
      </c>
      <c r="I59" s="14" t="e">
        <f t="shared" si="1"/>
        <v>#DIV/0!</v>
      </c>
      <c r="J59"/>
    </row>
    <row r="60" spans="1:10" ht="15" hidden="1">
      <c r="A60" s="99" t="s">
        <v>364</v>
      </c>
      <c r="B60" s="162"/>
      <c r="C60" s="128" t="s">
        <v>423</v>
      </c>
      <c r="D60" s="128" t="s">
        <v>107</v>
      </c>
      <c r="E60" s="128" t="s">
        <v>365</v>
      </c>
      <c r="F60" s="143"/>
      <c r="G60" s="178">
        <f>SUM(G61)</f>
        <v>0</v>
      </c>
      <c r="H60" s="14">
        <f>SUM(H61)</f>
        <v>2077.4</v>
      </c>
      <c r="I60" s="14" t="e">
        <f t="shared" si="1"/>
        <v>#DIV/0!</v>
      </c>
      <c r="J60"/>
    </row>
    <row r="61" spans="1:10" ht="15" hidden="1">
      <c r="A61" s="99" t="s">
        <v>93</v>
      </c>
      <c r="B61" s="162"/>
      <c r="C61" s="128" t="s">
        <v>423</v>
      </c>
      <c r="D61" s="128" t="s">
        <v>107</v>
      </c>
      <c r="E61" s="128" t="s">
        <v>365</v>
      </c>
      <c r="F61" s="143" t="s">
        <v>94</v>
      </c>
      <c r="G61" s="178"/>
      <c r="H61" s="14">
        <v>2077.4</v>
      </c>
      <c r="I61" s="14" t="e">
        <f t="shared" si="1"/>
        <v>#DIV/0!</v>
      </c>
      <c r="J61"/>
    </row>
    <row r="62" spans="1:9" s="15" customFormat="1" ht="15">
      <c r="A62" s="99" t="s">
        <v>371</v>
      </c>
      <c r="B62" s="161"/>
      <c r="C62" s="55" t="s">
        <v>423</v>
      </c>
      <c r="D62" s="55" t="s">
        <v>383</v>
      </c>
      <c r="E62" s="55"/>
      <c r="F62" s="142"/>
      <c r="G62" s="177">
        <f>SUM(G63)</f>
        <v>5000</v>
      </c>
      <c r="H62" s="14" t="e">
        <f>SUM(H63)</f>
        <v>#REF!</v>
      </c>
      <c r="I62" s="14" t="e">
        <f t="shared" si="1"/>
        <v>#REF!</v>
      </c>
    </row>
    <row r="63" spans="1:9" s="15" customFormat="1" ht="15">
      <c r="A63" s="99" t="s">
        <v>351</v>
      </c>
      <c r="B63" s="161"/>
      <c r="C63" s="55" t="s">
        <v>423</v>
      </c>
      <c r="D63" s="55" t="s">
        <v>383</v>
      </c>
      <c r="E63" s="55" t="s">
        <v>471</v>
      </c>
      <c r="F63" s="142"/>
      <c r="G63" s="177">
        <f>SUM(G64)</f>
        <v>5000</v>
      </c>
      <c r="H63" s="14" t="e">
        <f>SUM(#REF!)</f>
        <v>#REF!</v>
      </c>
      <c r="I63" s="14" t="e">
        <f t="shared" si="1"/>
        <v>#REF!</v>
      </c>
    </row>
    <row r="64" spans="1:10" s="15" customFormat="1" ht="15">
      <c r="A64" s="99" t="s">
        <v>465</v>
      </c>
      <c r="B64" s="161"/>
      <c r="C64" s="55" t="s">
        <v>423</v>
      </c>
      <c r="D64" s="55" t="s">
        <v>383</v>
      </c>
      <c r="E64" s="55" t="s">
        <v>471</v>
      </c>
      <c r="F64" s="142" t="s">
        <v>165</v>
      </c>
      <c r="G64" s="177">
        <v>5000</v>
      </c>
      <c r="H64" s="14" t="e">
        <f>SUM(#REF!)</f>
        <v>#REF!</v>
      </c>
      <c r="I64" s="14" t="e">
        <f t="shared" si="1"/>
        <v>#REF!</v>
      </c>
      <c r="J64" s="15">
        <f>SUM('ведомствен.2014'!G289)</f>
        <v>5000</v>
      </c>
    </row>
    <row r="65" spans="1:10" ht="15">
      <c r="A65" s="99" t="s">
        <v>102</v>
      </c>
      <c r="B65" s="161"/>
      <c r="C65" s="55" t="s">
        <v>423</v>
      </c>
      <c r="D65" s="55" t="s">
        <v>224</v>
      </c>
      <c r="E65" s="55"/>
      <c r="F65" s="143"/>
      <c r="G65" s="177">
        <f>SUM(G66+G78)</f>
        <v>54982.6</v>
      </c>
      <c r="H65" s="14" t="e">
        <f>SUM(H66+H80+#REF!+#REF!+#REF!+#REF!+H71+H77)</f>
        <v>#REF!</v>
      </c>
      <c r="I65" s="14" t="e">
        <f t="shared" si="1"/>
        <v>#REF!</v>
      </c>
      <c r="J65"/>
    </row>
    <row r="66" spans="1:10" ht="28.5">
      <c r="A66" s="103" t="s">
        <v>461</v>
      </c>
      <c r="B66" s="163"/>
      <c r="C66" s="129" t="s">
        <v>423</v>
      </c>
      <c r="D66" s="129" t="s">
        <v>224</v>
      </c>
      <c r="E66" s="129" t="s">
        <v>462</v>
      </c>
      <c r="F66" s="198"/>
      <c r="G66" s="175">
        <f>G67+G70+G72+G74</f>
        <v>52516.2</v>
      </c>
      <c r="H66" s="14">
        <f>SUM(H67+H69)</f>
        <v>2749.5</v>
      </c>
      <c r="I66" s="14">
        <f t="shared" si="1"/>
        <v>5.235527322997475</v>
      </c>
      <c r="J66"/>
    </row>
    <row r="67" spans="1:10" ht="28.5">
      <c r="A67" s="103" t="s">
        <v>450</v>
      </c>
      <c r="B67" s="150"/>
      <c r="C67" s="129" t="s">
        <v>423</v>
      </c>
      <c r="D67" s="129" t="s">
        <v>224</v>
      </c>
      <c r="E67" s="129" t="s">
        <v>463</v>
      </c>
      <c r="F67" s="147"/>
      <c r="G67" s="175">
        <f>G68+G69</f>
        <v>4469.2</v>
      </c>
      <c r="H67" s="14">
        <f>SUM(H68)</f>
        <v>2749.5</v>
      </c>
      <c r="I67" s="14">
        <f t="shared" si="1"/>
        <v>61.52107759778036</v>
      </c>
      <c r="J67"/>
    </row>
    <row r="68" spans="1:10" ht="15">
      <c r="A68" s="103" t="s">
        <v>464</v>
      </c>
      <c r="B68" s="150"/>
      <c r="C68" s="129" t="s">
        <v>423</v>
      </c>
      <c r="D68" s="129" t="s">
        <v>224</v>
      </c>
      <c r="E68" s="129" t="s">
        <v>463</v>
      </c>
      <c r="F68" s="147" t="s">
        <v>110</v>
      </c>
      <c r="G68" s="175">
        <v>4337.3</v>
      </c>
      <c r="H68" s="14">
        <v>2749.5</v>
      </c>
      <c r="I68" s="14">
        <f t="shared" si="1"/>
        <v>63.39197196412515</v>
      </c>
      <c r="J68" s="36">
        <f>SUM('ведомствен.2014'!G27+'ведомствен.2014'!G47+'ведомствен.2014'!G81+'ведомствен.2014'!G293)</f>
        <v>4337.3</v>
      </c>
    </row>
    <row r="69" spans="1:10" ht="15">
      <c r="A69" s="103" t="s">
        <v>465</v>
      </c>
      <c r="B69" s="150"/>
      <c r="C69" s="129" t="s">
        <v>423</v>
      </c>
      <c r="D69" s="129" t="s">
        <v>224</v>
      </c>
      <c r="E69" s="129" t="s">
        <v>463</v>
      </c>
      <c r="F69" s="147" t="s">
        <v>165</v>
      </c>
      <c r="G69" s="175">
        <v>131.9</v>
      </c>
      <c r="H69" s="14">
        <f>SUM(H70)</f>
        <v>0</v>
      </c>
      <c r="I69" s="14">
        <f t="shared" si="1"/>
        <v>0</v>
      </c>
      <c r="J69" s="36">
        <f>SUM('ведомствен.2014'!G28+'ведомствен.2014'!G48+'ведомствен.2014'!G82+'ведомствен.2014'!G294)</f>
        <v>131.9</v>
      </c>
    </row>
    <row r="70" spans="1:9" ht="28.5">
      <c r="A70" s="103" t="s">
        <v>451</v>
      </c>
      <c r="B70" s="150"/>
      <c r="C70" s="129" t="s">
        <v>423</v>
      </c>
      <c r="D70" s="129" t="s">
        <v>224</v>
      </c>
      <c r="E70" s="129" t="s">
        <v>466</v>
      </c>
      <c r="F70" s="147"/>
      <c r="G70" s="175">
        <f>SUM(G71)</f>
        <v>9133.5</v>
      </c>
      <c r="H70" s="14"/>
      <c r="I70" s="14">
        <f t="shared" si="1"/>
        <v>0</v>
      </c>
    </row>
    <row r="71" spans="1:10" ht="15">
      <c r="A71" s="103" t="s">
        <v>464</v>
      </c>
      <c r="B71" s="150"/>
      <c r="C71" s="129" t="s">
        <v>423</v>
      </c>
      <c r="D71" s="129" t="s">
        <v>224</v>
      </c>
      <c r="E71" s="129" t="s">
        <v>466</v>
      </c>
      <c r="F71" s="147" t="s">
        <v>110</v>
      </c>
      <c r="G71" s="175">
        <v>9133.5</v>
      </c>
      <c r="H71" s="14">
        <f>SUM(H74+H73)</f>
        <v>836.4</v>
      </c>
      <c r="I71" s="14">
        <f t="shared" si="1"/>
        <v>9.157497125964854</v>
      </c>
      <c r="J71" s="36">
        <f>SUM('ведомствен.2014'!G30+'ведомствен.2014'!G50+'ведомствен.2014'!G84+'ведомствен.2014'!G296)</f>
        <v>9133.5</v>
      </c>
    </row>
    <row r="72" spans="1:10" ht="28.5">
      <c r="A72" s="103" t="s">
        <v>486</v>
      </c>
      <c r="B72" s="150"/>
      <c r="C72" s="129" t="s">
        <v>423</v>
      </c>
      <c r="D72" s="129" t="s">
        <v>224</v>
      </c>
      <c r="E72" s="129" t="s">
        <v>487</v>
      </c>
      <c r="F72" s="147"/>
      <c r="G72" s="175">
        <f>SUM(G73)</f>
        <v>15862</v>
      </c>
      <c r="H72" s="14">
        <f>SUM(H73)</f>
        <v>0</v>
      </c>
      <c r="I72" s="14">
        <f t="shared" si="1"/>
        <v>0</v>
      </c>
      <c r="J72"/>
    </row>
    <row r="73" spans="1:10" ht="15">
      <c r="A73" s="103" t="s">
        <v>464</v>
      </c>
      <c r="B73" s="150"/>
      <c r="C73" s="129" t="s">
        <v>423</v>
      </c>
      <c r="D73" s="129" t="s">
        <v>224</v>
      </c>
      <c r="E73" s="129" t="s">
        <v>487</v>
      </c>
      <c r="F73" s="147" t="s">
        <v>110</v>
      </c>
      <c r="G73" s="175">
        <f>15612+250</f>
        <v>15862</v>
      </c>
      <c r="H73" s="14"/>
      <c r="I73" s="14">
        <f t="shared" si="1"/>
        <v>0</v>
      </c>
      <c r="J73">
        <f>SUM('ведомствен.2014'!G86)</f>
        <v>15862</v>
      </c>
    </row>
    <row r="74" spans="1:10" ht="28.5">
      <c r="A74" s="103" t="s">
        <v>467</v>
      </c>
      <c r="B74" s="150"/>
      <c r="C74" s="129" t="s">
        <v>423</v>
      </c>
      <c r="D74" s="129" t="s">
        <v>224</v>
      </c>
      <c r="E74" s="129" t="s">
        <v>468</v>
      </c>
      <c r="F74" s="147"/>
      <c r="G74" s="175">
        <f>SUM(G75:G77)</f>
        <v>23051.5</v>
      </c>
      <c r="H74" s="14">
        <f>SUM(H75)</f>
        <v>836.4</v>
      </c>
      <c r="I74" s="14">
        <f t="shared" si="1"/>
        <v>3.628397284341583</v>
      </c>
      <c r="J74"/>
    </row>
    <row r="75" spans="1:10" ht="15">
      <c r="A75" s="103" t="s">
        <v>464</v>
      </c>
      <c r="B75" s="150"/>
      <c r="C75" s="129" t="s">
        <v>423</v>
      </c>
      <c r="D75" s="129" t="s">
        <v>224</v>
      </c>
      <c r="E75" s="129" t="s">
        <v>468</v>
      </c>
      <c r="F75" s="147" t="s">
        <v>110</v>
      </c>
      <c r="G75" s="175">
        <v>19733.4</v>
      </c>
      <c r="H75" s="14">
        <v>836.4</v>
      </c>
      <c r="I75" s="14">
        <f t="shared" si="1"/>
        <v>4.238499194259479</v>
      </c>
      <c r="J75">
        <f>SUM('ведомствен.2014'!G32+'ведомствен.2014'!G52+'ведомствен.2014'!G88+'ведомствен.2014'!G298)</f>
        <v>19733.4</v>
      </c>
    </row>
    <row r="76" spans="1:10" ht="15">
      <c r="A76" s="99" t="s">
        <v>469</v>
      </c>
      <c r="B76" s="161"/>
      <c r="C76" s="55" t="s">
        <v>423</v>
      </c>
      <c r="D76" s="55" t="s">
        <v>224</v>
      </c>
      <c r="E76" s="55" t="s">
        <v>468</v>
      </c>
      <c r="F76" s="144" t="s">
        <v>470</v>
      </c>
      <c r="G76" s="177">
        <v>666</v>
      </c>
      <c r="H76" s="14"/>
      <c r="I76" s="14"/>
      <c r="J76">
        <f>SUM('ведомствен.2014'!G33)</f>
        <v>666</v>
      </c>
    </row>
    <row r="77" spans="1:10" ht="15">
      <c r="A77" s="103" t="s">
        <v>465</v>
      </c>
      <c r="B77" s="150"/>
      <c r="C77" s="129" t="s">
        <v>423</v>
      </c>
      <c r="D77" s="129" t="s">
        <v>224</v>
      </c>
      <c r="E77" s="129" t="s">
        <v>468</v>
      </c>
      <c r="F77" s="147" t="s">
        <v>165</v>
      </c>
      <c r="G77" s="175">
        <v>2652.1</v>
      </c>
      <c r="H77" s="14">
        <f>SUM(H79)</f>
        <v>536.9</v>
      </c>
      <c r="I77" s="14">
        <f t="shared" si="1"/>
        <v>20.244334678179555</v>
      </c>
      <c r="J77">
        <f>SUM('ведомствен.2014'!G34+'ведомствен.2014'!G53+'ведомствен.2014'!G89+'ведомствен.2014'!G299)</f>
        <v>2652.1</v>
      </c>
    </row>
    <row r="78" spans="1:10" ht="28.5">
      <c r="A78" s="103" t="s">
        <v>574</v>
      </c>
      <c r="B78" s="150"/>
      <c r="C78" s="129" t="s">
        <v>423</v>
      </c>
      <c r="D78" s="129" t="s">
        <v>224</v>
      </c>
      <c r="E78" s="129" t="s">
        <v>126</v>
      </c>
      <c r="F78" s="147"/>
      <c r="G78" s="175">
        <f>G79</f>
        <v>2466.4</v>
      </c>
      <c r="H78" s="14">
        <f>SUM(H79)</f>
        <v>536.9</v>
      </c>
      <c r="I78" s="14">
        <f t="shared" si="1"/>
        <v>21.7685695750892</v>
      </c>
      <c r="J78"/>
    </row>
    <row r="79" spans="1:10" ht="15">
      <c r="A79" s="103" t="s">
        <v>46</v>
      </c>
      <c r="B79" s="150"/>
      <c r="C79" s="129" t="s">
        <v>423</v>
      </c>
      <c r="D79" s="129" t="s">
        <v>224</v>
      </c>
      <c r="E79" s="129" t="s">
        <v>192</v>
      </c>
      <c r="F79" s="147"/>
      <c r="G79" s="175">
        <f>G80+G82</f>
        <v>2466.4</v>
      </c>
      <c r="H79" s="14">
        <f>423.2+113.7</f>
        <v>536.9</v>
      </c>
      <c r="I79" s="14">
        <f t="shared" si="1"/>
        <v>21.7685695750892</v>
      </c>
      <c r="J79"/>
    </row>
    <row r="80" spans="1:10" ht="28.5">
      <c r="A80" s="103" t="s">
        <v>488</v>
      </c>
      <c r="B80" s="150"/>
      <c r="C80" s="129" t="s">
        <v>423</v>
      </c>
      <c r="D80" s="129" t="s">
        <v>224</v>
      </c>
      <c r="E80" s="129" t="s">
        <v>194</v>
      </c>
      <c r="F80" s="147"/>
      <c r="G80" s="175">
        <f>SUM(G81)</f>
        <v>2380.8</v>
      </c>
      <c r="H80" s="14">
        <f>SUM(H82)</f>
        <v>917.7</v>
      </c>
      <c r="I80" s="14">
        <f t="shared" si="1"/>
        <v>38.54586693548387</v>
      </c>
      <c r="J80"/>
    </row>
    <row r="81" spans="1:10" ht="28.5">
      <c r="A81" s="103" t="s">
        <v>489</v>
      </c>
      <c r="B81" s="150"/>
      <c r="C81" s="129" t="s">
        <v>423</v>
      </c>
      <c r="D81" s="129" t="s">
        <v>224</v>
      </c>
      <c r="E81" s="129" t="s">
        <v>194</v>
      </c>
      <c r="F81" s="147" t="s">
        <v>477</v>
      </c>
      <c r="G81" s="175">
        <v>2380.8</v>
      </c>
      <c r="H81" s="14"/>
      <c r="I81" s="14"/>
      <c r="J81">
        <f>SUM('ведомствен.2014'!G93)</f>
        <v>2380.8</v>
      </c>
    </row>
    <row r="82" spans="1:10" ht="28.5">
      <c r="A82" s="99" t="s">
        <v>148</v>
      </c>
      <c r="B82" s="150"/>
      <c r="C82" s="129" t="s">
        <v>423</v>
      </c>
      <c r="D82" s="129" t="s">
        <v>224</v>
      </c>
      <c r="E82" s="129" t="s">
        <v>379</v>
      </c>
      <c r="F82" s="147"/>
      <c r="G82" s="175">
        <f>SUM(G83)</f>
        <v>85.6</v>
      </c>
      <c r="H82" s="14">
        <f>SUM(H83)</f>
        <v>917.7</v>
      </c>
      <c r="I82" s="14">
        <f t="shared" si="1"/>
        <v>1072.0794392523367</v>
      </c>
      <c r="J82"/>
    </row>
    <row r="83" spans="1:10" ht="28.5">
      <c r="A83" s="103" t="s">
        <v>134</v>
      </c>
      <c r="B83" s="150"/>
      <c r="C83" s="129" t="s">
        <v>423</v>
      </c>
      <c r="D83" s="129" t="s">
        <v>224</v>
      </c>
      <c r="E83" s="129" t="s">
        <v>380</v>
      </c>
      <c r="F83" s="147"/>
      <c r="G83" s="175">
        <f>SUM(G84)</f>
        <v>85.6</v>
      </c>
      <c r="H83" s="14">
        <v>917.7</v>
      </c>
      <c r="I83" s="14">
        <f t="shared" si="1"/>
        <v>1072.0794392523367</v>
      </c>
      <c r="J83">
        <f>SUM('ведомствен.2014'!G95)</f>
        <v>85.6</v>
      </c>
    </row>
    <row r="84" spans="1:9" ht="28.5">
      <c r="A84" s="103" t="s">
        <v>489</v>
      </c>
      <c r="B84" s="150"/>
      <c r="C84" s="129" t="s">
        <v>423</v>
      </c>
      <c r="D84" s="129" t="s">
        <v>224</v>
      </c>
      <c r="E84" s="129" t="s">
        <v>380</v>
      </c>
      <c r="F84" s="147" t="s">
        <v>477</v>
      </c>
      <c r="G84" s="175">
        <v>85.6</v>
      </c>
      <c r="H84" s="14"/>
      <c r="I84" s="14"/>
    </row>
    <row r="85" spans="1:12" s="13" customFormat="1" ht="30">
      <c r="A85" s="102" t="s">
        <v>129</v>
      </c>
      <c r="B85" s="164"/>
      <c r="C85" s="131" t="s">
        <v>96</v>
      </c>
      <c r="D85" s="131"/>
      <c r="E85" s="131"/>
      <c r="F85" s="146"/>
      <c r="G85" s="179">
        <f>SUM(G86+G92)</f>
        <v>21129.699999999997</v>
      </c>
      <c r="H85" s="17" t="e">
        <f>SUM(#REF!+H90)+H110</f>
        <v>#REF!</v>
      </c>
      <c r="I85" s="17" t="e">
        <f t="shared" si="1"/>
        <v>#REF!</v>
      </c>
      <c r="K85" s="13">
        <f>SUM(J86:J115)</f>
        <v>21129.7</v>
      </c>
      <c r="L85" s="13">
        <f>SUM('ведомствен.2014'!G98)</f>
        <v>21129.699999999997</v>
      </c>
    </row>
    <row r="86" spans="1:9" s="16" customFormat="1" ht="15">
      <c r="A86" s="104" t="s">
        <v>50</v>
      </c>
      <c r="B86" s="150"/>
      <c r="C86" s="129" t="s">
        <v>96</v>
      </c>
      <c r="D86" s="129" t="s">
        <v>112</v>
      </c>
      <c r="E86" s="129"/>
      <c r="F86" s="147"/>
      <c r="G86" s="175">
        <f>SUM(G88)</f>
        <v>4966.7</v>
      </c>
      <c r="H86" s="14">
        <f>SUM(H88)</f>
        <v>0</v>
      </c>
      <c r="I86" s="14" t="e">
        <f>SUM(H86/#REF!*100)</f>
        <v>#REF!</v>
      </c>
    </row>
    <row r="87" spans="1:9" s="16" customFormat="1" ht="15">
      <c r="A87" s="103" t="s">
        <v>374</v>
      </c>
      <c r="B87" s="150"/>
      <c r="C87" s="129" t="s">
        <v>96</v>
      </c>
      <c r="D87" s="129" t="s">
        <v>112</v>
      </c>
      <c r="E87" s="129" t="s">
        <v>375</v>
      </c>
      <c r="F87" s="147"/>
      <c r="G87" s="175">
        <f>SUM(G88)</f>
        <v>4966.7</v>
      </c>
      <c r="H87" s="14"/>
      <c r="I87" s="14"/>
    </row>
    <row r="88" spans="1:9" s="16" customFormat="1" ht="28.5">
      <c r="A88" s="103" t="s">
        <v>591</v>
      </c>
      <c r="B88" s="150"/>
      <c r="C88" s="129" t="s">
        <v>96</v>
      </c>
      <c r="D88" s="129" t="s">
        <v>112</v>
      </c>
      <c r="E88" s="129" t="s">
        <v>493</v>
      </c>
      <c r="F88" s="147"/>
      <c r="G88" s="175">
        <f>G89+G90+G91</f>
        <v>4966.7</v>
      </c>
      <c r="H88" s="14">
        <f>SUM(H89)</f>
        <v>0</v>
      </c>
      <c r="I88" s="14" t="e">
        <f>SUM(H88/#REF!*100)</f>
        <v>#REF!</v>
      </c>
    </row>
    <row r="89" spans="1:10" s="16" customFormat="1" ht="42.75">
      <c r="A89" s="103" t="s">
        <v>459</v>
      </c>
      <c r="B89" s="150"/>
      <c r="C89" s="129" t="s">
        <v>96</v>
      </c>
      <c r="D89" s="129" t="s">
        <v>112</v>
      </c>
      <c r="E89" s="129" t="s">
        <v>493</v>
      </c>
      <c r="F89" s="147" t="s">
        <v>460</v>
      </c>
      <c r="G89" s="175">
        <v>3843.6</v>
      </c>
      <c r="H89" s="14"/>
      <c r="I89" s="14" t="e">
        <f>SUM(H89/#REF!*100)</f>
        <v>#REF!</v>
      </c>
      <c r="J89" s="16">
        <f>SUM('ведомствен.2014'!G102)</f>
        <v>3843.6</v>
      </c>
    </row>
    <row r="90" spans="1:10" ht="15">
      <c r="A90" s="103" t="s">
        <v>464</v>
      </c>
      <c r="B90" s="150"/>
      <c r="C90" s="129" t="s">
        <v>96</v>
      </c>
      <c r="D90" s="129" t="s">
        <v>112</v>
      </c>
      <c r="E90" s="129" t="s">
        <v>493</v>
      </c>
      <c r="F90" s="147" t="s">
        <v>110</v>
      </c>
      <c r="G90" s="175">
        <v>1025.1</v>
      </c>
      <c r="H90" s="14" t="e">
        <f>SUM(#REF!+H95+H98+H101)+#REF!</f>
        <v>#REF!</v>
      </c>
      <c r="I90" s="14" t="e">
        <f>SUM(H90/G92*100)</f>
        <v>#REF!</v>
      </c>
      <c r="J90" s="16">
        <f>SUM('ведомствен.2014'!G103)</f>
        <v>1025.1</v>
      </c>
    </row>
    <row r="91" spans="1:10" ht="15">
      <c r="A91" s="103" t="s">
        <v>465</v>
      </c>
      <c r="B91" s="150"/>
      <c r="C91" s="129" t="s">
        <v>96</v>
      </c>
      <c r="D91" s="129" t="s">
        <v>112</v>
      </c>
      <c r="E91" s="129" t="s">
        <v>493</v>
      </c>
      <c r="F91" s="147" t="s">
        <v>165</v>
      </c>
      <c r="G91" s="175">
        <v>98</v>
      </c>
      <c r="H91" s="14" t="e">
        <f>SUM(#REF!)</f>
        <v>#REF!</v>
      </c>
      <c r="I91" s="14" t="e">
        <f>SUM(H91/G93*100)</f>
        <v>#REF!</v>
      </c>
      <c r="J91" s="16">
        <f>SUM('ведомствен.2014'!G104)</f>
        <v>98</v>
      </c>
    </row>
    <row r="92" spans="1:9" ht="42.75">
      <c r="A92" s="105" t="s">
        <v>287</v>
      </c>
      <c r="B92" s="151"/>
      <c r="C92" s="132" t="s">
        <v>96</v>
      </c>
      <c r="D92" s="132" t="s">
        <v>288</v>
      </c>
      <c r="E92" s="132"/>
      <c r="F92" s="201"/>
      <c r="G92" s="180">
        <f>G103+G108+G93+G113</f>
        <v>16162.999999999998</v>
      </c>
      <c r="H92" s="14">
        <v>438.8</v>
      </c>
      <c r="I92" s="14" t="e">
        <f>SUM(H92/G98*100)</f>
        <v>#DIV/0!</v>
      </c>
    </row>
    <row r="93" spans="1:10" ht="42.75">
      <c r="A93" s="103" t="s">
        <v>575</v>
      </c>
      <c r="B93" s="150"/>
      <c r="C93" s="129" t="s">
        <v>96</v>
      </c>
      <c r="D93" s="129" t="s">
        <v>288</v>
      </c>
      <c r="E93" s="129" t="s">
        <v>494</v>
      </c>
      <c r="F93" s="147"/>
      <c r="G93" s="175">
        <f>SUM(G94)</f>
        <v>12112.999999999998</v>
      </c>
      <c r="H93" s="14">
        <f>SUM(H94)</f>
        <v>9825.3</v>
      </c>
      <c r="I93" s="14">
        <f>SUM(H93/G99*100)</f>
        <v>459.27639882204454</v>
      </c>
      <c r="J93"/>
    </row>
    <row r="94" spans="1:9" ht="28.5">
      <c r="A94" s="103" t="s">
        <v>47</v>
      </c>
      <c r="B94" s="150"/>
      <c r="C94" s="129" t="s">
        <v>96</v>
      </c>
      <c r="D94" s="129" t="s">
        <v>288</v>
      </c>
      <c r="E94" s="129" t="s">
        <v>495</v>
      </c>
      <c r="F94" s="147"/>
      <c r="G94" s="175">
        <f>G95+G99+G102</f>
        <v>12112.999999999998</v>
      </c>
      <c r="H94" s="14">
        <v>9825.3</v>
      </c>
      <c r="I94" s="14" t="e">
        <f>SUM(H94/G100*100)</f>
        <v>#DIV/0!</v>
      </c>
    </row>
    <row r="95" spans="1:10" ht="42.75">
      <c r="A95" s="103" t="s">
        <v>459</v>
      </c>
      <c r="B95" s="150"/>
      <c r="C95" s="129" t="s">
        <v>96</v>
      </c>
      <c r="D95" s="129" t="s">
        <v>288</v>
      </c>
      <c r="E95" s="129" t="s">
        <v>495</v>
      </c>
      <c r="F95" s="147" t="s">
        <v>460</v>
      </c>
      <c r="G95" s="175">
        <v>9868.3</v>
      </c>
      <c r="H95" s="14">
        <f>SUM(H96)</f>
        <v>227.3</v>
      </c>
      <c r="I95" s="14" t="e">
        <f>SUM(H95/G101*100)</f>
        <v>#DIV/0!</v>
      </c>
      <c r="J95">
        <f>SUM('ведомствен.2014'!G108)</f>
        <v>9868.3</v>
      </c>
    </row>
    <row r="96" spans="1:10" ht="15" hidden="1">
      <c r="A96" s="103" t="s">
        <v>496</v>
      </c>
      <c r="B96" s="150"/>
      <c r="C96" s="129" t="s">
        <v>96</v>
      </c>
      <c r="D96" s="129" t="s">
        <v>288</v>
      </c>
      <c r="E96" s="129" t="s">
        <v>495</v>
      </c>
      <c r="F96" s="147" t="s">
        <v>497</v>
      </c>
      <c r="G96" s="175"/>
      <c r="H96" s="14">
        <f>SUM(H97)</f>
        <v>227.3</v>
      </c>
      <c r="I96" s="14">
        <f aca="true" t="shared" si="2" ref="I96:I101">SUM(H96/G103*100)</f>
        <v>8.265454545454546</v>
      </c>
      <c r="J96"/>
    </row>
    <row r="97" spans="1:9" ht="28.5" hidden="1">
      <c r="A97" s="103" t="s">
        <v>498</v>
      </c>
      <c r="B97" s="165"/>
      <c r="C97" s="129" t="s">
        <v>96</v>
      </c>
      <c r="D97" s="129" t="s">
        <v>288</v>
      </c>
      <c r="E97" s="129" t="s">
        <v>495</v>
      </c>
      <c r="F97" s="147" t="s">
        <v>499</v>
      </c>
      <c r="G97" s="175"/>
      <c r="H97" s="14">
        <v>227.3</v>
      </c>
      <c r="I97" s="14">
        <f t="shared" si="2"/>
        <v>30.306666666666672</v>
      </c>
    </row>
    <row r="98" spans="1:10" ht="28.5" hidden="1">
      <c r="A98" s="103" t="s">
        <v>500</v>
      </c>
      <c r="B98" s="165"/>
      <c r="C98" s="129" t="s">
        <v>96</v>
      </c>
      <c r="D98" s="129" t="s">
        <v>288</v>
      </c>
      <c r="E98" s="129" t="s">
        <v>495</v>
      </c>
      <c r="F98" s="147" t="s">
        <v>501</v>
      </c>
      <c r="G98" s="175"/>
      <c r="H98" s="14">
        <f>SUM(H99)</f>
        <v>5387.8</v>
      </c>
      <c r="I98" s="14">
        <f t="shared" si="2"/>
        <v>718.3733333333333</v>
      </c>
      <c r="J98"/>
    </row>
    <row r="99" spans="1:10" ht="15.75">
      <c r="A99" s="103" t="s">
        <v>464</v>
      </c>
      <c r="B99" s="165"/>
      <c r="C99" s="129" t="s">
        <v>96</v>
      </c>
      <c r="D99" s="129" t="s">
        <v>288</v>
      </c>
      <c r="E99" s="129" t="s">
        <v>495</v>
      </c>
      <c r="F99" s="147" t="s">
        <v>110</v>
      </c>
      <c r="G99" s="175">
        <v>2139.3</v>
      </c>
      <c r="H99" s="14">
        <f>SUM(H100)</f>
        <v>5387.8</v>
      </c>
      <c r="I99" s="14">
        <f t="shared" si="2"/>
        <v>269.39000000000004</v>
      </c>
      <c r="J99">
        <f>SUM('ведомствен.2014'!G112)</f>
        <v>2139.3</v>
      </c>
    </row>
    <row r="100" spans="1:9" ht="28.5" hidden="1">
      <c r="A100" s="103" t="s">
        <v>482</v>
      </c>
      <c r="B100" s="165"/>
      <c r="C100" s="129" t="s">
        <v>96</v>
      </c>
      <c r="D100" s="129" t="s">
        <v>288</v>
      </c>
      <c r="E100" s="129" t="s">
        <v>495</v>
      </c>
      <c r="F100" s="147" t="s">
        <v>483</v>
      </c>
      <c r="G100" s="175"/>
      <c r="H100" s="14">
        <v>5387.8</v>
      </c>
      <c r="I100" s="14">
        <f t="shared" si="2"/>
        <v>269.39000000000004</v>
      </c>
    </row>
    <row r="101" spans="1:9" s="19" customFormat="1" ht="28.5" hidden="1">
      <c r="A101" s="103" t="s">
        <v>484</v>
      </c>
      <c r="B101" s="150"/>
      <c r="C101" s="129" t="s">
        <v>96</v>
      </c>
      <c r="D101" s="129" t="s">
        <v>288</v>
      </c>
      <c r="E101" s="129" t="s">
        <v>495</v>
      </c>
      <c r="F101" s="147" t="s">
        <v>485</v>
      </c>
      <c r="G101" s="175"/>
      <c r="H101" s="14">
        <f>SUM(H104)</f>
        <v>0</v>
      </c>
      <c r="I101" s="14" t="e">
        <f t="shared" si="2"/>
        <v>#DIV/0!</v>
      </c>
    </row>
    <row r="102" spans="1:10" s="19" customFormat="1" ht="15">
      <c r="A102" s="103" t="s">
        <v>465</v>
      </c>
      <c r="B102" s="150"/>
      <c r="C102" s="129" t="s">
        <v>96</v>
      </c>
      <c r="D102" s="129" t="s">
        <v>288</v>
      </c>
      <c r="E102" s="129" t="s">
        <v>495</v>
      </c>
      <c r="F102" s="147" t="s">
        <v>165</v>
      </c>
      <c r="G102" s="175">
        <v>105.4</v>
      </c>
      <c r="H102" s="14"/>
      <c r="I102" s="14"/>
      <c r="J102" s="19">
        <f>SUM('ведомствен.2014'!G114)</f>
        <v>105.4</v>
      </c>
    </row>
    <row r="103" spans="1:9" s="19" customFormat="1" ht="28.5">
      <c r="A103" s="103" t="s">
        <v>576</v>
      </c>
      <c r="B103" s="150"/>
      <c r="C103" s="129" t="s">
        <v>96</v>
      </c>
      <c r="D103" s="129" t="s">
        <v>288</v>
      </c>
      <c r="E103" s="129" t="s">
        <v>502</v>
      </c>
      <c r="F103" s="147"/>
      <c r="G103" s="175">
        <f>SUM(G105+G107)</f>
        <v>2750</v>
      </c>
      <c r="H103" s="14">
        <f>SUM(H104)</f>
        <v>0</v>
      </c>
      <c r="I103" s="14" t="e">
        <f>SUM(H103/G109*100)</f>
        <v>#DIV/0!</v>
      </c>
    </row>
    <row r="104" spans="1:10" ht="28.5">
      <c r="A104" s="103" t="s">
        <v>577</v>
      </c>
      <c r="B104" s="150"/>
      <c r="C104" s="129" t="s">
        <v>96</v>
      </c>
      <c r="D104" s="129" t="s">
        <v>288</v>
      </c>
      <c r="E104" s="129" t="s">
        <v>503</v>
      </c>
      <c r="F104" s="147"/>
      <c r="G104" s="175">
        <f>SUM(G105)</f>
        <v>750</v>
      </c>
      <c r="H104" s="14"/>
      <c r="I104" s="14" t="e">
        <f>SUM(H104/G110*100)</f>
        <v>#DIV/0!</v>
      </c>
      <c r="J104"/>
    </row>
    <row r="105" spans="1:10" ht="15">
      <c r="A105" s="103" t="s">
        <v>464</v>
      </c>
      <c r="B105" s="150"/>
      <c r="C105" s="129" t="s">
        <v>96</v>
      </c>
      <c r="D105" s="129" t="s">
        <v>288</v>
      </c>
      <c r="E105" s="129" t="s">
        <v>503</v>
      </c>
      <c r="F105" s="147" t="s">
        <v>110</v>
      </c>
      <c r="G105" s="175">
        <v>750</v>
      </c>
      <c r="H105" s="14"/>
      <c r="I105" s="14"/>
      <c r="J105">
        <f>SUM('ведомствен.2014'!G117)</f>
        <v>750</v>
      </c>
    </row>
    <row r="106" spans="1:10" ht="28.5">
      <c r="A106" s="103" t="s">
        <v>0</v>
      </c>
      <c r="B106" s="150"/>
      <c r="C106" s="129" t="s">
        <v>96</v>
      </c>
      <c r="D106" s="129" t="s">
        <v>288</v>
      </c>
      <c r="E106" s="129" t="s">
        <v>504</v>
      </c>
      <c r="F106" s="147"/>
      <c r="G106" s="175">
        <f>SUM(G107)</f>
        <v>2000</v>
      </c>
      <c r="H106" s="14"/>
      <c r="I106" s="14"/>
      <c r="J106"/>
    </row>
    <row r="107" spans="1:10" ht="15">
      <c r="A107" s="103" t="s">
        <v>465</v>
      </c>
      <c r="B107" s="150"/>
      <c r="C107" s="129" t="s">
        <v>96</v>
      </c>
      <c r="D107" s="129" t="s">
        <v>288</v>
      </c>
      <c r="E107" s="129" t="s">
        <v>504</v>
      </c>
      <c r="F107" s="147" t="s">
        <v>165</v>
      </c>
      <c r="G107" s="175">
        <v>2000</v>
      </c>
      <c r="H107" s="14"/>
      <c r="I107" s="14"/>
      <c r="J107">
        <f>SUM('ведомствен.2014'!G119)</f>
        <v>2000</v>
      </c>
    </row>
    <row r="108" spans="1:10" ht="15" hidden="1">
      <c r="A108" s="103" t="s">
        <v>1</v>
      </c>
      <c r="B108" s="148"/>
      <c r="C108" s="204" t="s">
        <v>96</v>
      </c>
      <c r="D108" s="204" t="s">
        <v>288</v>
      </c>
      <c r="E108" s="204" t="s">
        <v>505</v>
      </c>
      <c r="F108" s="205"/>
      <c r="G108" s="175"/>
      <c r="H108" s="14"/>
      <c r="I108" s="14"/>
      <c r="J108"/>
    </row>
    <row r="109" spans="1:10" ht="28.5" hidden="1">
      <c r="A109" s="103" t="s">
        <v>2</v>
      </c>
      <c r="B109" s="148"/>
      <c r="C109" s="206" t="s">
        <v>96</v>
      </c>
      <c r="D109" s="206" t="s">
        <v>288</v>
      </c>
      <c r="E109" s="206" t="s">
        <v>506</v>
      </c>
      <c r="F109" s="207"/>
      <c r="G109" s="175"/>
      <c r="H109" s="14"/>
      <c r="I109" s="14"/>
      <c r="J109"/>
    </row>
    <row r="110" spans="1:10" ht="15" hidden="1">
      <c r="A110" s="103" t="s">
        <v>464</v>
      </c>
      <c r="B110" s="148"/>
      <c r="C110" s="206" t="s">
        <v>96</v>
      </c>
      <c r="D110" s="206" t="s">
        <v>288</v>
      </c>
      <c r="E110" s="206" t="s">
        <v>506</v>
      </c>
      <c r="F110" s="207" t="s">
        <v>110</v>
      </c>
      <c r="G110" s="175"/>
      <c r="H110" s="14">
        <f>SUM(H111+H114)</f>
        <v>0</v>
      </c>
      <c r="I110" s="14" t="e">
        <f>SUM(H110/#REF!*100)</f>
        <v>#REF!</v>
      </c>
      <c r="J110"/>
    </row>
    <row r="111" spans="1:10" ht="28.5" hidden="1">
      <c r="A111" s="103" t="s">
        <v>482</v>
      </c>
      <c r="B111" s="148"/>
      <c r="C111" s="206" t="s">
        <v>96</v>
      </c>
      <c r="D111" s="206" t="s">
        <v>288</v>
      </c>
      <c r="E111" s="206" t="s">
        <v>506</v>
      </c>
      <c r="F111" s="207" t="s">
        <v>483</v>
      </c>
      <c r="G111" s="175"/>
      <c r="H111" s="14">
        <f>SUM(H112)</f>
        <v>0</v>
      </c>
      <c r="I111" s="14" t="e">
        <f>SUM(H111/#REF!*100)</f>
        <v>#REF!</v>
      </c>
      <c r="J111"/>
    </row>
    <row r="112" spans="1:10" ht="28.5" hidden="1">
      <c r="A112" s="103" t="s">
        <v>484</v>
      </c>
      <c r="B112" s="148"/>
      <c r="C112" s="206" t="s">
        <v>96</v>
      </c>
      <c r="D112" s="206" t="s">
        <v>288</v>
      </c>
      <c r="E112" s="206" t="s">
        <v>506</v>
      </c>
      <c r="F112" s="207" t="s">
        <v>485</v>
      </c>
      <c r="G112" s="175"/>
      <c r="H112" s="14">
        <f>SUM(H113)</f>
        <v>0</v>
      </c>
      <c r="I112" s="14" t="e">
        <f>SUM(H112/#REF!*100)</f>
        <v>#REF!</v>
      </c>
      <c r="J112"/>
    </row>
    <row r="113" spans="1:10" ht="15">
      <c r="A113" s="106" t="s">
        <v>517</v>
      </c>
      <c r="B113" s="148"/>
      <c r="C113" s="120" t="s">
        <v>96</v>
      </c>
      <c r="D113" s="120" t="s">
        <v>288</v>
      </c>
      <c r="E113" s="128" t="s">
        <v>119</v>
      </c>
      <c r="F113" s="208"/>
      <c r="G113" s="181">
        <f>SUM(G114)</f>
        <v>1300</v>
      </c>
      <c r="H113" s="14"/>
      <c r="I113" s="14" t="e">
        <f>SUM(H113/#REF!*100)</f>
        <v>#REF!</v>
      </c>
      <c r="J113"/>
    </row>
    <row r="114" spans="1:10" ht="15">
      <c r="A114" s="103" t="s">
        <v>541</v>
      </c>
      <c r="B114" s="161"/>
      <c r="C114" s="120" t="s">
        <v>96</v>
      </c>
      <c r="D114" s="120" t="s">
        <v>288</v>
      </c>
      <c r="E114" s="128" t="s">
        <v>128</v>
      </c>
      <c r="F114" s="143"/>
      <c r="G114" s="177">
        <f>SUM(G115)</f>
        <v>1300</v>
      </c>
      <c r="H114" s="14">
        <f>SUM(H115)</f>
        <v>0</v>
      </c>
      <c r="I114" s="14" t="e">
        <f>SUM(H114/#REF!*100)</f>
        <v>#REF!</v>
      </c>
      <c r="J114"/>
    </row>
    <row r="115" spans="1:10" ht="15">
      <c r="A115" s="103" t="s">
        <v>464</v>
      </c>
      <c r="B115" s="161"/>
      <c r="C115" s="120" t="s">
        <v>96</v>
      </c>
      <c r="D115" s="120" t="s">
        <v>288</v>
      </c>
      <c r="E115" s="128" t="s">
        <v>128</v>
      </c>
      <c r="F115" s="143" t="s">
        <v>110</v>
      </c>
      <c r="G115" s="177">
        <v>1300</v>
      </c>
      <c r="H115" s="14"/>
      <c r="I115" s="14" t="e">
        <f>SUM(H115/#REF!*100)</f>
        <v>#REF!</v>
      </c>
      <c r="J115">
        <f>SUM('ведомствен.2014'!G127)</f>
        <v>1300</v>
      </c>
    </row>
    <row r="116" spans="1:12" ht="15">
      <c r="A116" s="102" t="s">
        <v>111</v>
      </c>
      <c r="B116" s="164"/>
      <c r="C116" s="130" t="s">
        <v>112</v>
      </c>
      <c r="D116" s="130"/>
      <c r="E116" s="130"/>
      <c r="F116" s="149"/>
      <c r="G116" s="179">
        <f>SUM(G117+G129+G135)</f>
        <v>147704.4</v>
      </c>
      <c r="H116" s="14"/>
      <c r="I116" s="14">
        <f>SUM(H116/G125*100)</f>
        <v>0</v>
      </c>
      <c r="J116"/>
      <c r="K116">
        <f>SUM(J117:J154)</f>
        <v>147704.4</v>
      </c>
      <c r="L116">
        <f>SUM('ведомствен.2014'!G130+'ведомствен.2014'!G323+'ведомствен.2014'!G302)</f>
        <v>147704.4</v>
      </c>
    </row>
    <row r="117" spans="1:10" ht="15">
      <c r="A117" s="103" t="s">
        <v>113</v>
      </c>
      <c r="B117" s="150"/>
      <c r="C117" s="129" t="s">
        <v>112</v>
      </c>
      <c r="D117" s="129" t="s">
        <v>114</v>
      </c>
      <c r="E117" s="129"/>
      <c r="F117" s="147"/>
      <c r="G117" s="175">
        <f>G118</f>
        <v>51100</v>
      </c>
      <c r="H117" s="14">
        <v>870.4</v>
      </c>
      <c r="I117" s="14" t="e">
        <f>SUM(H117/G127*100)</f>
        <v>#DIV/0!</v>
      </c>
      <c r="J117"/>
    </row>
    <row r="118" spans="1:10" ht="28.5">
      <c r="A118" s="103" t="s">
        <v>507</v>
      </c>
      <c r="B118" s="150"/>
      <c r="C118" s="129" t="s">
        <v>112</v>
      </c>
      <c r="D118" s="129" t="s">
        <v>114</v>
      </c>
      <c r="E118" s="129" t="s">
        <v>508</v>
      </c>
      <c r="F118" s="147"/>
      <c r="G118" s="175">
        <f>G119+G123</f>
        <v>51100</v>
      </c>
      <c r="H118" s="14">
        <f>SUM(H125)</f>
        <v>30706.4</v>
      </c>
      <c r="I118" s="14" t="e">
        <f>SUM(H118/G128*100)</f>
        <v>#DIV/0!</v>
      </c>
      <c r="J118"/>
    </row>
    <row r="119" spans="1:10" ht="15">
      <c r="A119" s="103" t="s">
        <v>509</v>
      </c>
      <c r="B119" s="150"/>
      <c r="C119" s="129" t="s">
        <v>112</v>
      </c>
      <c r="D119" s="129" t="s">
        <v>114</v>
      </c>
      <c r="E119" s="129" t="s">
        <v>510</v>
      </c>
      <c r="F119" s="147"/>
      <c r="G119" s="175">
        <f>G120</f>
        <v>19520.2</v>
      </c>
      <c r="H119" s="14"/>
      <c r="I119" s="14"/>
      <c r="J119"/>
    </row>
    <row r="120" spans="1:10" ht="28.5">
      <c r="A120" s="103" t="s">
        <v>6</v>
      </c>
      <c r="B120" s="150"/>
      <c r="C120" s="129" t="s">
        <v>112</v>
      </c>
      <c r="D120" s="129" t="s">
        <v>114</v>
      </c>
      <c r="E120" s="129" t="s">
        <v>511</v>
      </c>
      <c r="F120" s="147"/>
      <c r="G120" s="175">
        <f>SUM(G121)</f>
        <v>19520.2</v>
      </c>
      <c r="H120" s="14"/>
      <c r="I120" s="14"/>
      <c r="J120"/>
    </row>
    <row r="121" spans="1:10" ht="15">
      <c r="A121" s="103" t="s">
        <v>465</v>
      </c>
      <c r="B121" s="150"/>
      <c r="C121" s="129" t="s">
        <v>112</v>
      </c>
      <c r="D121" s="129" t="s">
        <v>114</v>
      </c>
      <c r="E121" s="129" t="s">
        <v>511</v>
      </c>
      <c r="F121" s="147" t="s">
        <v>165</v>
      </c>
      <c r="G121" s="175">
        <v>19520.2</v>
      </c>
      <c r="H121" s="14"/>
      <c r="I121" s="14"/>
      <c r="J121">
        <f>SUM('ведомствен.2014'!G135)</f>
        <v>19520.2</v>
      </c>
    </row>
    <row r="122" spans="1:10" ht="42.75" hidden="1">
      <c r="A122" s="103" t="s">
        <v>512</v>
      </c>
      <c r="B122" s="150"/>
      <c r="C122" s="129" t="s">
        <v>112</v>
      </c>
      <c r="D122" s="129" t="s">
        <v>114</v>
      </c>
      <c r="E122" s="129" t="s">
        <v>511</v>
      </c>
      <c r="F122" s="147" t="s">
        <v>197</v>
      </c>
      <c r="G122" s="175"/>
      <c r="H122" s="14"/>
      <c r="I122" s="14"/>
      <c r="J122"/>
    </row>
    <row r="123" spans="1:10" ht="15">
      <c r="A123" s="103" t="s">
        <v>115</v>
      </c>
      <c r="B123" s="150"/>
      <c r="C123" s="129" t="s">
        <v>112</v>
      </c>
      <c r="D123" s="129" t="s">
        <v>114</v>
      </c>
      <c r="E123" s="129" t="s">
        <v>381</v>
      </c>
      <c r="F123" s="147"/>
      <c r="G123" s="175">
        <f>G124</f>
        <v>31579.8</v>
      </c>
      <c r="H123" s="14"/>
      <c r="I123" s="14"/>
      <c r="J123"/>
    </row>
    <row r="124" spans="1:10" ht="28.5">
      <c r="A124" s="103" t="s">
        <v>11</v>
      </c>
      <c r="B124" s="150"/>
      <c r="C124" s="129" t="s">
        <v>112</v>
      </c>
      <c r="D124" s="129" t="s">
        <v>114</v>
      </c>
      <c r="E124" s="129" t="s">
        <v>66</v>
      </c>
      <c r="F124" s="147"/>
      <c r="G124" s="175">
        <f>SUM(G125)</f>
        <v>31579.8</v>
      </c>
      <c r="H124" s="14"/>
      <c r="I124" s="14"/>
      <c r="J124"/>
    </row>
    <row r="125" spans="1:10" ht="28.5">
      <c r="A125" s="103" t="s">
        <v>193</v>
      </c>
      <c r="B125" s="150"/>
      <c r="C125" s="129" t="s">
        <v>112</v>
      </c>
      <c r="D125" s="129" t="s">
        <v>114</v>
      </c>
      <c r="E125" s="129" t="s">
        <v>67</v>
      </c>
      <c r="F125" s="147"/>
      <c r="G125" s="175">
        <f>SUM(G126)</f>
        <v>31579.8</v>
      </c>
      <c r="H125" s="14">
        <f>SUM(H126)+H127</f>
        <v>30706.4</v>
      </c>
      <c r="I125" s="14">
        <f>SUM(H125/G131*100)</f>
        <v>41.6640434192673</v>
      </c>
      <c r="J125"/>
    </row>
    <row r="126" spans="1:10" ht="28.5">
      <c r="A126" s="103" t="s">
        <v>489</v>
      </c>
      <c r="B126" s="150"/>
      <c r="C126" s="129" t="s">
        <v>112</v>
      </c>
      <c r="D126" s="129" t="s">
        <v>114</v>
      </c>
      <c r="E126" s="129" t="s">
        <v>67</v>
      </c>
      <c r="F126" s="147" t="s">
        <v>477</v>
      </c>
      <c r="G126" s="175">
        <v>31579.8</v>
      </c>
      <c r="H126" s="14">
        <v>30706.4</v>
      </c>
      <c r="I126" s="14" t="e">
        <f>SUM(H126/G132*100)</f>
        <v>#DIV/0!</v>
      </c>
      <c r="J126" s="36">
        <f>SUM('ведомствен.2014'!G140)</f>
        <v>31579.8</v>
      </c>
    </row>
    <row r="127" spans="1:10" ht="15" hidden="1">
      <c r="A127" s="103" t="s">
        <v>490</v>
      </c>
      <c r="B127" s="150"/>
      <c r="C127" s="129" t="s">
        <v>112</v>
      </c>
      <c r="D127" s="129" t="s">
        <v>114</v>
      </c>
      <c r="E127" s="129" t="s">
        <v>67</v>
      </c>
      <c r="F127" s="147" t="s">
        <v>491</v>
      </c>
      <c r="G127" s="175"/>
      <c r="H127" s="14">
        <f>SUM(H128)</f>
        <v>0</v>
      </c>
      <c r="I127" s="14" t="e">
        <f>SUM(H127/G133*100)</f>
        <v>#DIV/0!</v>
      </c>
      <c r="J127"/>
    </row>
    <row r="128" spans="1:10" ht="57" hidden="1">
      <c r="A128" s="105" t="s">
        <v>492</v>
      </c>
      <c r="B128" s="150"/>
      <c r="C128" s="129" t="s">
        <v>112</v>
      </c>
      <c r="D128" s="129" t="s">
        <v>114</v>
      </c>
      <c r="E128" s="129" t="s">
        <v>67</v>
      </c>
      <c r="F128" s="147" t="s">
        <v>49</v>
      </c>
      <c r="G128" s="175"/>
      <c r="H128" s="14"/>
      <c r="I128" s="14" t="e">
        <f>SUM(H128/G134*100)</f>
        <v>#DIV/0!</v>
      </c>
      <c r="J128"/>
    </row>
    <row r="129" spans="1:10" ht="15">
      <c r="A129" s="103" t="s">
        <v>137</v>
      </c>
      <c r="B129" s="150"/>
      <c r="C129" s="129" t="s">
        <v>112</v>
      </c>
      <c r="D129" s="129" t="s">
        <v>288</v>
      </c>
      <c r="E129" s="129"/>
      <c r="F129" s="147"/>
      <c r="G129" s="175">
        <f>G130</f>
        <v>73700</v>
      </c>
      <c r="H129" s="14"/>
      <c r="I129" s="14"/>
      <c r="J129"/>
    </row>
    <row r="130" spans="1:9" s="49" customFormat="1" ht="42.75">
      <c r="A130" s="103" t="s">
        <v>28</v>
      </c>
      <c r="B130" s="150"/>
      <c r="C130" s="129" t="s">
        <v>112</v>
      </c>
      <c r="D130" s="129" t="s">
        <v>288</v>
      </c>
      <c r="E130" s="129" t="s">
        <v>29</v>
      </c>
      <c r="F130" s="147"/>
      <c r="G130" s="175">
        <f>G131</f>
        <v>73700</v>
      </c>
      <c r="H130" s="18"/>
      <c r="I130" s="18"/>
    </row>
    <row r="131" spans="1:10" s="49" customFormat="1" ht="15">
      <c r="A131" s="103" t="s">
        <v>464</v>
      </c>
      <c r="B131" s="150"/>
      <c r="C131" s="129" t="s">
        <v>112</v>
      </c>
      <c r="D131" s="129" t="s">
        <v>288</v>
      </c>
      <c r="E131" s="129" t="s">
        <v>29</v>
      </c>
      <c r="F131" s="147" t="s">
        <v>110</v>
      </c>
      <c r="G131" s="175">
        <v>73700</v>
      </c>
      <c r="H131" s="18"/>
      <c r="I131" s="18"/>
      <c r="J131" s="36">
        <f>SUM('ведомствен.2014'!G145)</f>
        <v>73700</v>
      </c>
    </row>
    <row r="132" spans="1:9" s="2" customFormat="1" ht="28.5" hidden="1">
      <c r="A132" s="103" t="s">
        <v>482</v>
      </c>
      <c r="B132" s="150"/>
      <c r="C132" s="129" t="s">
        <v>112</v>
      </c>
      <c r="D132" s="129" t="s">
        <v>288</v>
      </c>
      <c r="E132" s="129" t="s">
        <v>29</v>
      </c>
      <c r="F132" s="147" t="s">
        <v>483</v>
      </c>
      <c r="G132" s="175"/>
      <c r="H132" s="18"/>
      <c r="I132" s="18"/>
    </row>
    <row r="133" spans="1:9" s="52" customFormat="1" ht="28.5" hidden="1">
      <c r="A133" s="103" t="s">
        <v>484</v>
      </c>
      <c r="B133" s="150"/>
      <c r="C133" s="129" t="s">
        <v>112</v>
      </c>
      <c r="D133" s="129" t="s">
        <v>288</v>
      </c>
      <c r="E133" s="129" t="s">
        <v>29</v>
      </c>
      <c r="F133" s="147" t="s">
        <v>485</v>
      </c>
      <c r="G133" s="175"/>
      <c r="H133" s="51"/>
      <c r="I133" s="51"/>
    </row>
    <row r="134" spans="1:9" s="15" customFormat="1" ht="28.5" hidden="1">
      <c r="A134" s="103" t="s">
        <v>513</v>
      </c>
      <c r="B134" s="150"/>
      <c r="C134" s="129" t="s">
        <v>112</v>
      </c>
      <c r="D134" s="129" t="s">
        <v>288</v>
      </c>
      <c r="E134" s="129" t="s">
        <v>29</v>
      </c>
      <c r="F134" s="147" t="s">
        <v>485</v>
      </c>
      <c r="G134" s="175"/>
      <c r="H134" s="14"/>
      <c r="I134" s="14"/>
    </row>
    <row r="135" spans="1:9" s="15" customFormat="1" ht="15">
      <c r="A135" s="103" t="s">
        <v>382</v>
      </c>
      <c r="B135" s="150"/>
      <c r="C135" s="129" t="s">
        <v>112</v>
      </c>
      <c r="D135" s="129" t="s">
        <v>372</v>
      </c>
      <c r="E135" s="129"/>
      <c r="F135" s="147"/>
      <c r="G135" s="175">
        <f>SUM(G136+G146+G152)+G150</f>
        <v>22904.4</v>
      </c>
      <c r="H135" s="14"/>
      <c r="I135" s="14"/>
    </row>
    <row r="136" spans="1:9" s="15" customFormat="1" ht="28.5">
      <c r="A136" s="103" t="s">
        <v>507</v>
      </c>
      <c r="B136" s="150"/>
      <c r="C136" s="129" t="s">
        <v>112</v>
      </c>
      <c r="D136" s="129" t="s">
        <v>372</v>
      </c>
      <c r="E136" s="129" t="s">
        <v>508</v>
      </c>
      <c r="F136" s="147"/>
      <c r="G136" s="175">
        <f>SUM(G137)</f>
        <v>5584.1</v>
      </c>
      <c r="H136" s="14"/>
      <c r="I136" s="14"/>
    </row>
    <row r="137" spans="1:9" s="15" customFormat="1" ht="15">
      <c r="A137" s="103" t="s">
        <v>387</v>
      </c>
      <c r="B137" s="150"/>
      <c r="C137" s="129" t="s">
        <v>112</v>
      </c>
      <c r="D137" s="129" t="s">
        <v>372</v>
      </c>
      <c r="E137" s="129" t="s">
        <v>514</v>
      </c>
      <c r="F137" s="147"/>
      <c r="G137" s="175">
        <f>SUM(G138,G142)</f>
        <v>5584.1</v>
      </c>
      <c r="H137" s="14"/>
      <c r="I137" s="14"/>
    </row>
    <row r="138" spans="1:9" s="52" customFormat="1" ht="28.5">
      <c r="A138" s="103" t="s">
        <v>519</v>
      </c>
      <c r="B138" s="150"/>
      <c r="C138" s="129" t="s">
        <v>112</v>
      </c>
      <c r="D138" s="129" t="s">
        <v>372</v>
      </c>
      <c r="E138" s="206" t="s">
        <v>515</v>
      </c>
      <c r="F138" s="147"/>
      <c r="G138" s="175">
        <f>SUM(G139)</f>
        <v>1704.7</v>
      </c>
      <c r="H138" s="51"/>
      <c r="I138" s="51"/>
    </row>
    <row r="139" spans="1:10" s="52" customFormat="1" ht="18.75" customHeight="1">
      <c r="A139" s="103" t="s">
        <v>464</v>
      </c>
      <c r="B139" s="150"/>
      <c r="C139" s="129" t="s">
        <v>112</v>
      </c>
      <c r="D139" s="129" t="s">
        <v>372</v>
      </c>
      <c r="E139" s="206" t="s">
        <v>515</v>
      </c>
      <c r="F139" s="147" t="s">
        <v>110</v>
      </c>
      <c r="G139" s="175">
        <v>1704.7</v>
      </c>
      <c r="H139" s="51"/>
      <c r="I139" s="51"/>
      <c r="J139" s="36">
        <f>SUM('ведомствен.2014'!G153)</f>
        <v>1704.7</v>
      </c>
    </row>
    <row r="140" spans="1:9" s="52" customFormat="1" ht="28.5" hidden="1">
      <c r="A140" s="103" t="s">
        <v>482</v>
      </c>
      <c r="B140" s="150"/>
      <c r="C140" s="129" t="s">
        <v>112</v>
      </c>
      <c r="D140" s="129" t="s">
        <v>372</v>
      </c>
      <c r="E140" s="206" t="s">
        <v>515</v>
      </c>
      <c r="F140" s="147" t="s">
        <v>483</v>
      </c>
      <c r="G140" s="175"/>
      <c r="H140" s="51"/>
      <c r="I140" s="51"/>
    </row>
    <row r="141" spans="1:9" s="52" customFormat="1" ht="28.5">
      <c r="A141" s="103" t="s">
        <v>11</v>
      </c>
      <c r="B141" s="150"/>
      <c r="C141" s="129" t="s">
        <v>112</v>
      </c>
      <c r="D141" s="129" t="s">
        <v>372</v>
      </c>
      <c r="E141" s="129" t="s">
        <v>520</v>
      </c>
      <c r="F141" s="147"/>
      <c r="G141" s="175">
        <f>SUM(G142)</f>
        <v>3879.4</v>
      </c>
      <c r="H141" s="51"/>
      <c r="I141" s="51"/>
    </row>
    <row r="142" spans="1:9" s="52" customFormat="1" ht="28.5">
      <c r="A142" s="103" t="s">
        <v>193</v>
      </c>
      <c r="B142" s="150"/>
      <c r="C142" s="129" t="s">
        <v>112</v>
      </c>
      <c r="D142" s="129" t="s">
        <v>372</v>
      </c>
      <c r="E142" s="129" t="s">
        <v>516</v>
      </c>
      <c r="F142" s="147"/>
      <c r="G142" s="175">
        <f>G143</f>
        <v>3879.4</v>
      </c>
      <c r="H142" s="51"/>
      <c r="I142" s="51"/>
    </row>
    <row r="143" spans="1:10" s="52" customFormat="1" ht="28.5">
      <c r="A143" s="103" t="s">
        <v>489</v>
      </c>
      <c r="B143" s="150"/>
      <c r="C143" s="129" t="s">
        <v>112</v>
      </c>
      <c r="D143" s="129" t="s">
        <v>372</v>
      </c>
      <c r="E143" s="129" t="s">
        <v>516</v>
      </c>
      <c r="F143" s="147" t="s">
        <v>477</v>
      </c>
      <c r="G143" s="175">
        <v>3879.4</v>
      </c>
      <c r="H143" s="51"/>
      <c r="I143" s="51"/>
      <c r="J143" s="36">
        <f>SUM('ведомствен.2014'!G157)</f>
        <v>3879.4</v>
      </c>
    </row>
    <row r="144" spans="1:9" s="52" customFormat="1" ht="15" hidden="1">
      <c r="A144" s="103" t="s">
        <v>490</v>
      </c>
      <c r="B144" s="150"/>
      <c r="C144" s="129" t="s">
        <v>112</v>
      </c>
      <c r="D144" s="129" t="s">
        <v>372</v>
      </c>
      <c r="E144" s="129" t="s">
        <v>516</v>
      </c>
      <c r="F144" s="147" t="s">
        <v>491</v>
      </c>
      <c r="G144" s="175"/>
      <c r="H144" s="51"/>
      <c r="I144" s="51"/>
    </row>
    <row r="145" spans="1:9" s="52" customFormat="1" ht="57" hidden="1">
      <c r="A145" s="105" t="s">
        <v>492</v>
      </c>
      <c r="B145" s="151"/>
      <c r="C145" s="132" t="s">
        <v>112</v>
      </c>
      <c r="D145" s="132" t="s">
        <v>372</v>
      </c>
      <c r="E145" s="132" t="s">
        <v>516</v>
      </c>
      <c r="F145" s="201" t="s">
        <v>49</v>
      </c>
      <c r="G145" s="180"/>
      <c r="H145" s="51"/>
      <c r="I145" s="51"/>
    </row>
    <row r="146" spans="1:9" s="52" customFormat="1" ht="28.5">
      <c r="A146" s="103" t="s">
        <v>384</v>
      </c>
      <c r="B146" s="161"/>
      <c r="C146" s="129" t="s">
        <v>112</v>
      </c>
      <c r="D146" s="129" t="s">
        <v>372</v>
      </c>
      <c r="E146" s="128" t="s">
        <v>385</v>
      </c>
      <c r="F146" s="143"/>
      <c r="G146" s="177">
        <f>SUM(G147)</f>
        <v>2765.8</v>
      </c>
      <c r="H146" s="51"/>
      <c r="I146" s="51"/>
    </row>
    <row r="147" spans="1:9" s="52" customFormat="1" ht="28.5">
      <c r="A147" s="103" t="s">
        <v>11</v>
      </c>
      <c r="B147" s="150"/>
      <c r="C147" s="129" t="s">
        <v>112</v>
      </c>
      <c r="D147" s="129" t="s">
        <v>372</v>
      </c>
      <c r="E147" s="129" t="s">
        <v>592</v>
      </c>
      <c r="F147" s="147"/>
      <c r="G147" s="175">
        <f>SUM(G148)</f>
        <v>2765.8</v>
      </c>
      <c r="H147" s="51"/>
      <c r="I147" s="51"/>
    </row>
    <row r="148" spans="1:9" s="52" customFormat="1" ht="28.5">
      <c r="A148" s="103" t="s">
        <v>193</v>
      </c>
      <c r="B148" s="150"/>
      <c r="C148" s="129" t="s">
        <v>112</v>
      </c>
      <c r="D148" s="129" t="s">
        <v>372</v>
      </c>
      <c r="E148" s="129" t="s">
        <v>593</v>
      </c>
      <c r="F148" s="147"/>
      <c r="G148" s="175">
        <f>G149</f>
        <v>2765.8</v>
      </c>
      <c r="H148" s="51"/>
      <c r="I148" s="51"/>
    </row>
    <row r="149" spans="1:10" s="52" customFormat="1" ht="28.5">
      <c r="A149" s="103" t="s">
        <v>489</v>
      </c>
      <c r="B149" s="150"/>
      <c r="C149" s="129" t="s">
        <v>112</v>
      </c>
      <c r="D149" s="129" t="s">
        <v>372</v>
      </c>
      <c r="E149" s="129" t="s">
        <v>593</v>
      </c>
      <c r="F149" s="147" t="s">
        <v>477</v>
      </c>
      <c r="G149" s="175">
        <v>2765.8</v>
      </c>
      <c r="H149" s="51"/>
      <c r="I149" s="51"/>
      <c r="J149" s="52">
        <f>SUM('ведомствен.2014'!G328)</f>
        <v>2765.8</v>
      </c>
    </row>
    <row r="150" spans="1:9" s="52" customFormat="1" ht="15">
      <c r="A150" s="100" t="s">
        <v>475</v>
      </c>
      <c r="B150" s="161"/>
      <c r="C150" s="129" t="s">
        <v>112</v>
      </c>
      <c r="D150" s="129" t="s">
        <v>372</v>
      </c>
      <c r="E150" s="55" t="s">
        <v>476</v>
      </c>
      <c r="F150" s="142"/>
      <c r="G150" s="177">
        <f>SUM(G151)</f>
        <v>8871</v>
      </c>
      <c r="H150" s="51"/>
      <c r="I150" s="51"/>
    </row>
    <row r="151" spans="1:10" s="52" customFormat="1" ht="15">
      <c r="A151" s="99" t="s">
        <v>465</v>
      </c>
      <c r="B151" s="161"/>
      <c r="C151" s="129" t="s">
        <v>112</v>
      </c>
      <c r="D151" s="129" t="s">
        <v>372</v>
      </c>
      <c r="E151" s="55" t="s">
        <v>476</v>
      </c>
      <c r="F151" s="142" t="s">
        <v>165</v>
      </c>
      <c r="G151" s="177">
        <v>8871</v>
      </c>
      <c r="H151" s="51"/>
      <c r="I151" s="51"/>
      <c r="J151" s="52">
        <f>SUM('ведомствен.2014'!G305)</f>
        <v>8871</v>
      </c>
    </row>
    <row r="152" spans="1:9" s="52" customFormat="1" ht="15">
      <c r="A152" s="107" t="s">
        <v>517</v>
      </c>
      <c r="B152" s="151"/>
      <c r="C152" s="132" t="s">
        <v>112</v>
      </c>
      <c r="D152" s="132" t="s">
        <v>372</v>
      </c>
      <c r="E152" s="132" t="s">
        <v>119</v>
      </c>
      <c r="F152" s="201"/>
      <c r="G152" s="180">
        <f>G153</f>
        <v>5683.5</v>
      </c>
      <c r="H152" s="51"/>
      <c r="I152" s="51"/>
    </row>
    <row r="153" spans="1:9" s="52" customFormat="1" ht="28.5">
      <c r="A153" s="107" t="s">
        <v>518</v>
      </c>
      <c r="B153" s="151"/>
      <c r="C153" s="132" t="s">
        <v>112</v>
      </c>
      <c r="D153" s="132" t="s">
        <v>372</v>
      </c>
      <c r="E153" s="132" t="s">
        <v>44</v>
      </c>
      <c r="F153" s="201"/>
      <c r="G153" s="180">
        <f>SUM(G154)</f>
        <v>5683.5</v>
      </c>
      <c r="H153" s="51"/>
      <c r="I153" s="51"/>
    </row>
    <row r="154" spans="1:10" s="52" customFormat="1" ht="28.5">
      <c r="A154" s="105" t="s">
        <v>489</v>
      </c>
      <c r="B154" s="151"/>
      <c r="C154" s="132" t="s">
        <v>112</v>
      </c>
      <c r="D154" s="132" t="s">
        <v>372</v>
      </c>
      <c r="E154" s="132" t="s">
        <v>44</v>
      </c>
      <c r="F154" s="201" t="s">
        <v>477</v>
      </c>
      <c r="G154" s="180">
        <v>5683.5</v>
      </c>
      <c r="H154" s="51"/>
      <c r="I154" s="51"/>
      <c r="J154" s="52">
        <f>SUM('ведомствен.2014'!G162)</f>
        <v>5683.5</v>
      </c>
    </row>
    <row r="155" spans="1:12" ht="15">
      <c r="A155" s="101" t="s">
        <v>388</v>
      </c>
      <c r="B155" s="166"/>
      <c r="C155" s="131" t="s">
        <v>121</v>
      </c>
      <c r="D155" s="131"/>
      <c r="E155" s="131"/>
      <c r="F155" s="153"/>
      <c r="G155" s="179">
        <f>SUM(G156+G208+G216+G228)</f>
        <v>87342.5</v>
      </c>
      <c r="H155" s="14">
        <f>SUM(H156)</f>
        <v>0</v>
      </c>
      <c r="I155" s="14" t="e">
        <f aca="true" t="shared" si="3" ref="I155:I178">SUM(H155/G161*100)</f>
        <v>#DIV/0!</v>
      </c>
      <c r="J155"/>
      <c r="K155">
        <f>SUM(J156:J239)</f>
        <v>87342.5</v>
      </c>
      <c r="L155">
        <f>SUM('ведомствен.2014'!G163)+'ведомствен.2014'!G306</f>
        <v>87342.5</v>
      </c>
    </row>
    <row r="156" spans="1:10" ht="15" hidden="1">
      <c r="A156" s="99" t="s">
        <v>389</v>
      </c>
      <c r="B156" s="161"/>
      <c r="C156" s="55" t="s">
        <v>121</v>
      </c>
      <c r="D156" s="55" t="s">
        <v>423</v>
      </c>
      <c r="E156" s="55"/>
      <c r="F156" s="142"/>
      <c r="G156" s="177"/>
      <c r="H156" s="14"/>
      <c r="I156" s="14" t="e">
        <f t="shared" si="3"/>
        <v>#DIV/0!</v>
      </c>
      <c r="J156">
        <f>SUM('ведомствен.2014'!G170)</f>
        <v>0</v>
      </c>
    </row>
    <row r="157" spans="1:10" ht="42.75" hidden="1">
      <c r="A157" s="103" t="s">
        <v>390</v>
      </c>
      <c r="B157" s="161"/>
      <c r="C157" s="55" t="s">
        <v>121</v>
      </c>
      <c r="D157" s="55" t="s">
        <v>423</v>
      </c>
      <c r="E157" s="55" t="s">
        <v>391</v>
      </c>
      <c r="F157" s="142"/>
      <c r="G157" s="177">
        <f>SUM(G158+G165)</f>
        <v>0</v>
      </c>
      <c r="H157" s="14">
        <f>SUM(H158)</f>
        <v>4761.6</v>
      </c>
      <c r="I157" s="14" t="e">
        <f t="shared" si="3"/>
        <v>#DIV/0!</v>
      </c>
      <c r="J157"/>
    </row>
    <row r="158" spans="1:10" ht="71.25" hidden="1">
      <c r="A158" s="103" t="s">
        <v>392</v>
      </c>
      <c r="B158" s="161"/>
      <c r="C158" s="55" t="s">
        <v>121</v>
      </c>
      <c r="D158" s="55" t="s">
        <v>423</v>
      </c>
      <c r="E158" s="55" t="s">
        <v>393</v>
      </c>
      <c r="F158" s="142"/>
      <c r="G158" s="177">
        <f>SUM(G159+G161+G163)</f>
        <v>0</v>
      </c>
      <c r="H158" s="14">
        <v>4761.6</v>
      </c>
      <c r="I158" s="14" t="e">
        <f t="shared" si="3"/>
        <v>#DIV/0!</v>
      </c>
      <c r="J158"/>
    </row>
    <row r="159" spans="1:10" ht="57" hidden="1">
      <c r="A159" s="103" t="s">
        <v>24</v>
      </c>
      <c r="B159" s="161"/>
      <c r="C159" s="55" t="s">
        <v>121</v>
      </c>
      <c r="D159" s="55" t="s">
        <v>423</v>
      </c>
      <c r="E159" s="55" t="s">
        <v>25</v>
      </c>
      <c r="F159" s="142"/>
      <c r="G159" s="177">
        <f>SUM(G160)</f>
        <v>0</v>
      </c>
      <c r="H159" s="14">
        <f>SUM(H160)+H170+H166</f>
        <v>3383.9</v>
      </c>
      <c r="I159" s="14" t="e">
        <f t="shared" si="3"/>
        <v>#DIV/0!</v>
      </c>
      <c r="J159"/>
    </row>
    <row r="160" spans="1:10" ht="15" hidden="1">
      <c r="A160" s="99" t="s">
        <v>7</v>
      </c>
      <c r="B160" s="161"/>
      <c r="C160" s="55" t="s">
        <v>121</v>
      </c>
      <c r="D160" s="55" t="s">
        <v>423</v>
      </c>
      <c r="E160" s="55" t="s">
        <v>25</v>
      </c>
      <c r="F160" s="142" t="s">
        <v>8</v>
      </c>
      <c r="G160" s="177"/>
      <c r="H160" s="14">
        <f>SUM(H161+H162)</f>
        <v>1562</v>
      </c>
      <c r="I160" s="14" t="e">
        <f t="shared" si="3"/>
        <v>#DIV/0!</v>
      </c>
      <c r="J160"/>
    </row>
    <row r="161" spans="1:9" ht="57" hidden="1">
      <c r="A161" s="103" t="s">
        <v>26</v>
      </c>
      <c r="B161" s="161"/>
      <c r="C161" s="55" t="s">
        <v>121</v>
      </c>
      <c r="D161" s="55" t="s">
        <v>423</v>
      </c>
      <c r="E161" s="55" t="s">
        <v>27</v>
      </c>
      <c r="F161" s="142"/>
      <c r="G161" s="177">
        <f>SUM(G162)</f>
        <v>0</v>
      </c>
      <c r="H161" s="14">
        <v>233.9</v>
      </c>
      <c r="I161" s="14" t="e">
        <f t="shared" si="3"/>
        <v>#DIV/0!</v>
      </c>
    </row>
    <row r="162" spans="1:10" ht="15" hidden="1">
      <c r="A162" s="108" t="s">
        <v>124</v>
      </c>
      <c r="B162" s="161"/>
      <c r="C162" s="55" t="s">
        <v>121</v>
      </c>
      <c r="D162" s="55" t="s">
        <v>423</v>
      </c>
      <c r="E162" s="55" t="s">
        <v>27</v>
      </c>
      <c r="F162" s="142" t="s">
        <v>125</v>
      </c>
      <c r="G162" s="177"/>
      <c r="H162" s="14">
        <v>1328.1</v>
      </c>
      <c r="I162" s="14" t="e">
        <f t="shared" si="3"/>
        <v>#DIV/0!</v>
      </c>
      <c r="J162"/>
    </row>
    <row r="163" spans="1:10" ht="71.25" hidden="1">
      <c r="A163" s="103" t="s">
        <v>243</v>
      </c>
      <c r="B163" s="161"/>
      <c r="C163" s="55" t="s">
        <v>121</v>
      </c>
      <c r="D163" s="55" t="s">
        <v>423</v>
      </c>
      <c r="E163" s="55" t="s">
        <v>130</v>
      </c>
      <c r="F163" s="142"/>
      <c r="G163" s="177">
        <f>SUM(G164)</f>
        <v>0</v>
      </c>
      <c r="H163" s="14">
        <f>SUM(H164)</f>
        <v>0</v>
      </c>
      <c r="I163" s="14" t="e">
        <f t="shared" si="3"/>
        <v>#DIV/0!</v>
      </c>
      <c r="J163"/>
    </row>
    <row r="164" spans="1:10" ht="15" hidden="1">
      <c r="A164" s="108" t="s">
        <v>124</v>
      </c>
      <c r="B164" s="161"/>
      <c r="C164" s="55" t="s">
        <v>121</v>
      </c>
      <c r="D164" s="55" t="s">
        <v>423</v>
      </c>
      <c r="E164" s="55" t="s">
        <v>130</v>
      </c>
      <c r="F164" s="142" t="s">
        <v>125</v>
      </c>
      <c r="G164" s="177"/>
      <c r="H164" s="14">
        <f>SUM(H165)</f>
        <v>0</v>
      </c>
      <c r="I164" s="14" t="e">
        <f t="shared" si="3"/>
        <v>#DIV/0!</v>
      </c>
      <c r="J164"/>
    </row>
    <row r="165" spans="1:10" ht="42.75" hidden="1">
      <c r="A165" s="103" t="s">
        <v>394</v>
      </c>
      <c r="B165" s="161"/>
      <c r="C165" s="55" t="s">
        <v>121</v>
      </c>
      <c r="D165" s="55" t="s">
        <v>423</v>
      </c>
      <c r="E165" s="55" t="s">
        <v>395</v>
      </c>
      <c r="F165" s="142"/>
      <c r="G165" s="177">
        <f>SUM(G166)+G172+G175</f>
        <v>0</v>
      </c>
      <c r="H165" s="14"/>
      <c r="I165" s="14" t="e">
        <f t="shared" si="3"/>
        <v>#DIV/0!</v>
      </c>
      <c r="J165"/>
    </row>
    <row r="166" spans="1:10" ht="28.5" hidden="1">
      <c r="A166" s="103" t="s">
        <v>396</v>
      </c>
      <c r="B166" s="161"/>
      <c r="C166" s="55" t="s">
        <v>121</v>
      </c>
      <c r="D166" s="55" t="s">
        <v>423</v>
      </c>
      <c r="E166" s="55" t="s">
        <v>397</v>
      </c>
      <c r="F166" s="142"/>
      <c r="G166" s="177">
        <f>SUM(G167+G168)</f>
        <v>0</v>
      </c>
      <c r="H166" s="14">
        <f>SUM(H168+H169)</f>
        <v>0</v>
      </c>
      <c r="I166" s="14" t="e">
        <f t="shared" si="3"/>
        <v>#DIV/0!</v>
      </c>
      <c r="J166"/>
    </row>
    <row r="167" spans="1:9" s="16" customFormat="1" ht="15" hidden="1">
      <c r="A167" s="103" t="s">
        <v>7</v>
      </c>
      <c r="B167" s="161"/>
      <c r="C167" s="55" t="s">
        <v>121</v>
      </c>
      <c r="D167" s="55" t="s">
        <v>423</v>
      </c>
      <c r="E167" s="55" t="s">
        <v>397</v>
      </c>
      <c r="F167" s="142" t="s">
        <v>8</v>
      </c>
      <c r="G167" s="177"/>
      <c r="H167" s="14">
        <v>1821.9</v>
      </c>
      <c r="I167" s="14" t="e">
        <f t="shared" si="3"/>
        <v>#DIV/0!</v>
      </c>
    </row>
    <row r="168" spans="1:10" ht="28.5" hidden="1">
      <c r="A168" s="103" t="s">
        <v>398</v>
      </c>
      <c r="B168" s="161"/>
      <c r="C168" s="55" t="s">
        <v>121</v>
      </c>
      <c r="D168" s="55" t="s">
        <v>423</v>
      </c>
      <c r="E168" s="55" t="s">
        <v>397</v>
      </c>
      <c r="F168" s="142" t="s">
        <v>399</v>
      </c>
      <c r="G168" s="177"/>
      <c r="H168" s="14"/>
      <c r="I168" s="14" t="e">
        <f t="shared" si="3"/>
        <v>#DIV/0!</v>
      </c>
      <c r="J168"/>
    </row>
    <row r="169" spans="1:10" ht="28.5" hidden="1">
      <c r="A169" s="103" t="s">
        <v>237</v>
      </c>
      <c r="B169" s="161"/>
      <c r="C169" s="55" t="s">
        <v>121</v>
      </c>
      <c r="D169" s="55" t="s">
        <v>423</v>
      </c>
      <c r="E169" s="55" t="s">
        <v>386</v>
      </c>
      <c r="F169" s="142"/>
      <c r="G169" s="177">
        <f>SUM(G170)</f>
        <v>0</v>
      </c>
      <c r="H169" s="14"/>
      <c r="I169" s="14" t="e">
        <f t="shared" si="3"/>
        <v>#DIV/0!</v>
      </c>
      <c r="J169"/>
    </row>
    <row r="170" spans="1:10" ht="28.5" hidden="1">
      <c r="A170" s="103" t="s">
        <v>122</v>
      </c>
      <c r="B170" s="161"/>
      <c r="C170" s="55" t="s">
        <v>121</v>
      </c>
      <c r="D170" s="55" t="s">
        <v>423</v>
      </c>
      <c r="E170" s="55" t="s">
        <v>123</v>
      </c>
      <c r="F170" s="142"/>
      <c r="G170" s="177">
        <f>SUM(G171)</f>
        <v>0</v>
      </c>
      <c r="H170" s="14">
        <f>SUM(H171)</f>
        <v>1821.9</v>
      </c>
      <c r="I170" s="14" t="e">
        <f t="shared" si="3"/>
        <v>#DIV/0!</v>
      </c>
      <c r="J170"/>
    </row>
    <row r="171" spans="1:9" ht="15" hidden="1">
      <c r="A171" s="103" t="s">
        <v>124</v>
      </c>
      <c r="B171" s="161"/>
      <c r="C171" s="55" t="s">
        <v>121</v>
      </c>
      <c r="D171" s="55" t="s">
        <v>423</v>
      </c>
      <c r="E171" s="55" t="s">
        <v>123</v>
      </c>
      <c r="F171" s="142" t="s">
        <v>125</v>
      </c>
      <c r="G171" s="177"/>
      <c r="H171" s="14">
        <v>1821.9</v>
      </c>
      <c r="I171" s="14" t="e">
        <f t="shared" si="3"/>
        <v>#DIV/0!</v>
      </c>
    </row>
    <row r="172" spans="1:10" ht="28.5" hidden="1">
      <c r="A172" s="103" t="s">
        <v>400</v>
      </c>
      <c r="B172" s="161"/>
      <c r="C172" s="55" t="s">
        <v>121</v>
      </c>
      <c r="D172" s="55" t="s">
        <v>423</v>
      </c>
      <c r="E172" s="55" t="s">
        <v>401</v>
      </c>
      <c r="F172" s="142"/>
      <c r="G172" s="177">
        <f>SUM(G173+G174)</f>
        <v>0</v>
      </c>
      <c r="H172" s="14">
        <f>SUM(H173+H175)</f>
        <v>0</v>
      </c>
      <c r="I172" s="14" t="e">
        <f t="shared" si="3"/>
        <v>#DIV/0!</v>
      </c>
      <c r="J172"/>
    </row>
    <row r="173" spans="1:10" ht="42.75" hidden="1">
      <c r="A173" s="99" t="s">
        <v>12</v>
      </c>
      <c r="B173" s="161"/>
      <c r="C173" s="55" t="s">
        <v>121</v>
      </c>
      <c r="D173" s="55" t="s">
        <v>423</v>
      </c>
      <c r="E173" s="55" t="s">
        <v>401</v>
      </c>
      <c r="F173" s="142" t="s">
        <v>49</v>
      </c>
      <c r="G173" s="177"/>
      <c r="H173" s="14">
        <f>SUM(H174)</f>
        <v>0</v>
      </c>
      <c r="I173" s="14" t="e">
        <f t="shared" si="3"/>
        <v>#DIV/0!</v>
      </c>
      <c r="J173"/>
    </row>
    <row r="174" spans="1:10" ht="15" hidden="1">
      <c r="A174" s="108" t="s">
        <v>124</v>
      </c>
      <c r="B174" s="161"/>
      <c r="C174" s="55" t="s">
        <v>121</v>
      </c>
      <c r="D174" s="55" t="s">
        <v>423</v>
      </c>
      <c r="E174" s="55" t="s">
        <v>401</v>
      </c>
      <c r="F174" s="142" t="s">
        <v>125</v>
      </c>
      <c r="G174" s="177"/>
      <c r="H174" s="14"/>
      <c r="I174" s="14" t="e">
        <f t="shared" si="3"/>
        <v>#DIV/0!</v>
      </c>
      <c r="J174"/>
    </row>
    <row r="175" spans="1:9" s="16" customFormat="1" ht="57" hidden="1">
      <c r="A175" s="103" t="s">
        <v>402</v>
      </c>
      <c r="B175" s="161"/>
      <c r="C175" s="55" t="s">
        <v>121</v>
      </c>
      <c r="D175" s="55" t="s">
        <v>423</v>
      </c>
      <c r="E175" s="55" t="s">
        <v>403</v>
      </c>
      <c r="F175" s="142"/>
      <c r="G175" s="177">
        <f>SUM(G176)</f>
        <v>0</v>
      </c>
      <c r="H175" s="14">
        <f>SUM(H176)</f>
        <v>0</v>
      </c>
      <c r="I175" s="14" t="e">
        <f t="shared" si="3"/>
        <v>#DIV/0!</v>
      </c>
    </row>
    <row r="176" spans="1:9" s="20" customFormat="1" ht="15" hidden="1">
      <c r="A176" s="108" t="s">
        <v>124</v>
      </c>
      <c r="B176" s="161"/>
      <c r="C176" s="55" t="s">
        <v>121</v>
      </c>
      <c r="D176" s="55" t="s">
        <v>423</v>
      </c>
      <c r="E176" s="55" t="s">
        <v>403</v>
      </c>
      <c r="F176" s="142" t="s">
        <v>125</v>
      </c>
      <c r="G176" s="177"/>
      <c r="H176" s="18"/>
      <c r="I176" s="14" t="e">
        <f t="shared" si="3"/>
        <v>#DIV/0!</v>
      </c>
    </row>
    <row r="177" spans="1:9" s="19" customFormat="1" ht="15" hidden="1">
      <c r="A177" s="99" t="s">
        <v>404</v>
      </c>
      <c r="B177" s="161"/>
      <c r="C177" s="55" t="s">
        <v>121</v>
      </c>
      <c r="D177" s="55" t="s">
        <v>423</v>
      </c>
      <c r="E177" s="55" t="s">
        <v>405</v>
      </c>
      <c r="F177" s="142"/>
      <c r="G177" s="177">
        <f>SUM(G178+G180)</f>
        <v>0</v>
      </c>
      <c r="H177" s="21" t="e">
        <f>SUM(H180)+#REF!+H178</f>
        <v>#REF!</v>
      </c>
      <c r="I177" s="14" t="e">
        <f t="shared" si="3"/>
        <v>#REF!</v>
      </c>
    </row>
    <row r="178" spans="1:9" s="19" customFormat="1" ht="42.75" hidden="1">
      <c r="A178" s="100" t="s">
        <v>406</v>
      </c>
      <c r="B178" s="161"/>
      <c r="C178" s="55" t="s">
        <v>121</v>
      </c>
      <c r="D178" s="55" t="s">
        <v>423</v>
      </c>
      <c r="E178" s="55" t="s">
        <v>407</v>
      </c>
      <c r="F178" s="142"/>
      <c r="G178" s="177">
        <f>SUM(G179)</f>
        <v>0</v>
      </c>
      <c r="H178" s="21">
        <f>SUM(H179)</f>
        <v>0</v>
      </c>
      <c r="I178" s="14" t="e">
        <f t="shared" si="3"/>
        <v>#DIV/0!</v>
      </c>
    </row>
    <row r="179" spans="1:9" s="19" customFormat="1" ht="15" hidden="1">
      <c r="A179" s="99" t="s">
        <v>7</v>
      </c>
      <c r="B179" s="161"/>
      <c r="C179" s="55" t="s">
        <v>121</v>
      </c>
      <c r="D179" s="55" t="s">
        <v>423</v>
      </c>
      <c r="E179" s="55" t="s">
        <v>407</v>
      </c>
      <c r="F179" s="142" t="s">
        <v>8</v>
      </c>
      <c r="G179" s="177"/>
      <c r="H179" s="21"/>
      <c r="I179" s="14" t="e">
        <f>SUM(H179/#REF!*100)</f>
        <v>#REF!</v>
      </c>
    </row>
    <row r="180" spans="1:9" s="19" customFormat="1" ht="28.5" hidden="1">
      <c r="A180" s="100" t="s">
        <v>408</v>
      </c>
      <c r="B180" s="162"/>
      <c r="C180" s="55" t="s">
        <v>121</v>
      </c>
      <c r="D180" s="55" t="s">
        <v>423</v>
      </c>
      <c r="E180" s="55" t="s">
        <v>409</v>
      </c>
      <c r="F180" s="143"/>
      <c r="G180" s="177">
        <f>SUM(G181)</f>
        <v>0</v>
      </c>
      <c r="H180" s="21" t="e">
        <f>SUM(H181+H183)</f>
        <v>#REF!</v>
      </c>
      <c r="I180" s="14" t="e">
        <f>SUM(H180/G185*100)</f>
        <v>#REF!</v>
      </c>
    </row>
    <row r="181" spans="1:9" s="19" customFormat="1" ht="15" hidden="1">
      <c r="A181" s="99" t="s">
        <v>93</v>
      </c>
      <c r="B181" s="167"/>
      <c r="C181" s="55" t="s">
        <v>121</v>
      </c>
      <c r="D181" s="55" t="s">
        <v>423</v>
      </c>
      <c r="E181" s="55" t="s">
        <v>409</v>
      </c>
      <c r="F181" s="142" t="s">
        <v>94</v>
      </c>
      <c r="G181" s="177"/>
      <c r="H181" s="21">
        <f>SUM(H182)</f>
        <v>0</v>
      </c>
      <c r="I181" s="14" t="e">
        <f>SUM(H181/G186*100)</f>
        <v>#DIV/0!</v>
      </c>
    </row>
    <row r="182" spans="1:9" s="19" customFormat="1" ht="15" hidden="1">
      <c r="A182" s="100" t="s">
        <v>3</v>
      </c>
      <c r="B182" s="161"/>
      <c r="C182" s="55" t="s">
        <v>121</v>
      </c>
      <c r="D182" s="55" t="s">
        <v>423</v>
      </c>
      <c r="E182" s="55" t="s">
        <v>4</v>
      </c>
      <c r="F182" s="142"/>
      <c r="G182" s="177">
        <f>SUM(G185)+G190+G183</f>
        <v>0</v>
      </c>
      <c r="H182" s="14">
        <v>0</v>
      </c>
      <c r="I182" s="14" t="e">
        <f>SUM(H182/G187*100)</f>
        <v>#DIV/0!</v>
      </c>
    </row>
    <row r="183" spans="1:9" s="19" customFormat="1" ht="42.75" hidden="1">
      <c r="A183" s="100" t="s">
        <v>410</v>
      </c>
      <c r="B183" s="161"/>
      <c r="C183" s="55" t="s">
        <v>121</v>
      </c>
      <c r="D183" s="55" t="s">
        <v>423</v>
      </c>
      <c r="E183" s="55" t="s">
        <v>411</v>
      </c>
      <c r="F183" s="142"/>
      <c r="G183" s="177">
        <f>SUM(G184)</f>
        <v>0</v>
      </c>
      <c r="H183" s="14" t="e">
        <f>SUM(H184)</f>
        <v>#REF!</v>
      </c>
      <c r="I183" s="14" t="e">
        <f>SUM(H183/G188*100)</f>
        <v>#REF!</v>
      </c>
    </row>
    <row r="184" spans="1:9" s="19" customFormat="1" ht="15" hidden="1">
      <c r="A184" s="100" t="s">
        <v>124</v>
      </c>
      <c r="B184" s="161"/>
      <c r="C184" s="55" t="s">
        <v>121</v>
      </c>
      <c r="D184" s="55" t="s">
        <v>423</v>
      </c>
      <c r="E184" s="55" t="s">
        <v>411</v>
      </c>
      <c r="F184" s="142" t="s">
        <v>125</v>
      </c>
      <c r="G184" s="177"/>
      <c r="H184" s="14" t="e">
        <f>SUM('[1]Ведомств.'!G180)</f>
        <v>#REF!</v>
      </c>
      <c r="I184" s="14" t="e">
        <f>SUM(H184/G189*100)</f>
        <v>#REF!</v>
      </c>
    </row>
    <row r="185" spans="1:9" s="19" customFormat="1" ht="42.75" hidden="1">
      <c r="A185" s="99" t="s">
        <v>412</v>
      </c>
      <c r="B185" s="161"/>
      <c r="C185" s="55" t="s">
        <v>121</v>
      </c>
      <c r="D185" s="55" t="s">
        <v>423</v>
      </c>
      <c r="E185" s="55" t="s">
        <v>413</v>
      </c>
      <c r="F185" s="142"/>
      <c r="G185" s="177">
        <f>SUM(G186+G188)</f>
        <v>0</v>
      </c>
      <c r="H185" s="14">
        <f>SUM(H186)</f>
        <v>0</v>
      </c>
      <c r="I185" s="14" t="e">
        <f>SUM(H185/G191*100)</f>
        <v>#DIV/0!</v>
      </c>
    </row>
    <row r="186" spans="1:9" s="19" customFormat="1" ht="42.75" hidden="1">
      <c r="A186" s="100" t="s">
        <v>414</v>
      </c>
      <c r="B186" s="161"/>
      <c r="C186" s="55" t="s">
        <v>121</v>
      </c>
      <c r="D186" s="55" t="s">
        <v>423</v>
      </c>
      <c r="E186" s="55" t="s">
        <v>415</v>
      </c>
      <c r="F186" s="142"/>
      <c r="G186" s="177">
        <f>SUM(G187)</f>
        <v>0</v>
      </c>
      <c r="H186" s="14"/>
      <c r="I186" s="14" t="e">
        <f>SUM(H186/G192*100)</f>
        <v>#DIV/0!</v>
      </c>
    </row>
    <row r="187" spans="1:9" s="19" customFormat="1" ht="15" hidden="1">
      <c r="A187" s="103" t="s">
        <v>124</v>
      </c>
      <c r="B187" s="161"/>
      <c r="C187" s="55" t="s">
        <v>121</v>
      </c>
      <c r="D187" s="55" t="s">
        <v>423</v>
      </c>
      <c r="E187" s="55" t="s">
        <v>415</v>
      </c>
      <c r="F187" s="142" t="s">
        <v>125</v>
      </c>
      <c r="G187" s="177"/>
      <c r="H187" s="14">
        <f>SUM(H188)</f>
        <v>0</v>
      </c>
      <c r="I187" s="14" t="e">
        <f>SUM(H187/G193*100)</f>
        <v>#DIV/0!</v>
      </c>
    </row>
    <row r="188" spans="1:9" s="19" customFormat="1" ht="15" hidden="1">
      <c r="A188" s="103" t="s">
        <v>416</v>
      </c>
      <c r="B188" s="161"/>
      <c r="C188" s="55" t="s">
        <v>121</v>
      </c>
      <c r="D188" s="55" t="s">
        <v>423</v>
      </c>
      <c r="E188" s="55" t="s">
        <v>417</v>
      </c>
      <c r="F188" s="142"/>
      <c r="G188" s="177">
        <f>SUM(G189)</f>
        <v>0</v>
      </c>
      <c r="H188" s="14"/>
      <c r="I188" s="14" t="e">
        <f>SUM(H188/G194*100)</f>
        <v>#DIV/0!</v>
      </c>
    </row>
    <row r="189" spans="1:9" s="16" customFormat="1" ht="15" hidden="1">
      <c r="A189" s="99" t="s">
        <v>93</v>
      </c>
      <c r="B189" s="167"/>
      <c r="C189" s="55" t="s">
        <v>121</v>
      </c>
      <c r="D189" s="55" t="s">
        <v>423</v>
      </c>
      <c r="E189" s="55" t="s">
        <v>417</v>
      </c>
      <c r="F189" s="142" t="s">
        <v>94</v>
      </c>
      <c r="G189" s="177"/>
      <c r="H189" s="14"/>
      <c r="I189" s="14"/>
    </row>
    <row r="190" spans="1:9" s="16" customFormat="1" ht="28.5" hidden="1">
      <c r="A190" s="99" t="s">
        <v>418</v>
      </c>
      <c r="B190" s="167"/>
      <c r="C190" s="55" t="s">
        <v>121</v>
      </c>
      <c r="D190" s="55" t="s">
        <v>423</v>
      </c>
      <c r="E190" s="55" t="s">
        <v>419</v>
      </c>
      <c r="F190" s="142"/>
      <c r="G190" s="177"/>
      <c r="H190" s="14"/>
      <c r="I190" s="14"/>
    </row>
    <row r="191" spans="1:9" s="16" customFormat="1" ht="42.75" hidden="1">
      <c r="A191" s="99" t="s">
        <v>34</v>
      </c>
      <c r="B191" s="167"/>
      <c r="C191" s="55" t="s">
        <v>121</v>
      </c>
      <c r="D191" s="55" t="s">
        <v>423</v>
      </c>
      <c r="E191" s="55" t="s">
        <v>35</v>
      </c>
      <c r="F191" s="142"/>
      <c r="G191" s="177">
        <f>SUM(G192)</f>
        <v>0</v>
      </c>
      <c r="H191" s="14"/>
      <c r="I191" s="14"/>
    </row>
    <row r="192" spans="1:10" ht="15" hidden="1">
      <c r="A192" s="99" t="s">
        <v>7</v>
      </c>
      <c r="B192" s="167"/>
      <c r="C192" s="55" t="s">
        <v>121</v>
      </c>
      <c r="D192" s="55" t="s">
        <v>423</v>
      </c>
      <c r="E192" s="55" t="s">
        <v>35</v>
      </c>
      <c r="F192" s="142" t="s">
        <v>8</v>
      </c>
      <c r="G192" s="177"/>
      <c r="H192" s="14"/>
      <c r="I192" s="14"/>
      <c r="J192"/>
    </row>
    <row r="193" spans="1:10" ht="42.75" hidden="1">
      <c r="A193" s="99" t="s">
        <v>36</v>
      </c>
      <c r="B193" s="167"/>
      <c r="C193" s="55" t="s">
        <v>121</v>
      </c>
      <c r="D193" s="55" t="s">
        <v>423</v>
      </c>
      <c r="E193" s="55" t="s">
        <v>37</v>
      </c>
      <c r="F193" s="142"/>
      <c r="G193" s="177">
        <f>SUM(G194)</f>
        <v>0</v>
      </c>
      <c r="H193" s="14"/>
      <c r="I193" s="14"/>
      <c r="J193"/>
    </row>
    <row r="194" spans="1:9" s="19" customFormat="1" ht="15" hidden="1">
      <c r="A194" s="99" t="s">
        <v>7</v>
      </c>
      <c r="B194" s="167"/>
      <c r="C194" s="55" t="s">
        <v>121</v>
      </c>
      <c r="D194" s="55" t="s">
        <v>423</v>
      </c>
      <c r="E194" s="55" t="s">
        <v>37</v>
      </c>
      <c r="F194" s="142" t="s">
        <v>8</v>
      </c>
      <c r="G194" s="177"/>
      <c r="H194" s="14" t="e">
        <f>SUM(#REF!+#REF!)+H199</f>
        <v>#REF!</v>
      </c>
      <c r="I194" s="14" t="e">
        <f aca="true" t="shared" si="4" ref="I194:I232">SUM(H194/G200*100)</f>
        <v>#REF!</v>
      </c>
    </row>
    <row r="195" spans="1:9" s="19" customFormat="1" ht="15" hidden="1">
      <c r="A195" s="99" t="s">
        <v>404</v>
      </c>
      <c r="B195" s="167"/>
      <c r="C195" s="55" t="s">
        <v>121</v>
      </c>
      <c r="D195" s="55" t="s">
        <v>423</v>
      </c>
      <c r="E195" s="55" t="s">
        <v>405</v>
      </c>
      <c r="F195" s="142"/>
      <c r="G195" s="177">
        <f>SUM(G196)</f>
        <v>0</v>
      </c>
      <c r="H195" s="22" t="e">
        <f>SUM('[1]Ведомств.'!G188)</f>
        <v>#REF!</v>
      </c>
      <c r="I195" s="14" t="e">
        <f t="shared" si="4"/>
        <v>#REF!</v>
      </c>
    </row>
    <row r="196" spans="1:10" s="19" customFormat="1" ht="42.75" hidden="1">
      <c r="A196" s="99" t="s">
        <v>275</v>
      </c>
      <c r="B196" s="167"/>
      <c r="C196" s="55" t="s">
        <v>121</v>
      </c>
      <c r="D196" s="55" t="s">
        <v>423</v>
      </c>
      <c r="E196" s="55" t="s">
        <v>409</v>
      </c>
      <c r="F196" s="142"/>
      <c r="G196" s="177">
        <f>SUM(G197)</f>
        <v>0</v>
      </c>
      <c r="H196" s="22"/>
      <c r="I196" s="14" t="e">
        <f t="shared" si="4"/>
        <v>#DIV/0!</v>
      </c>
      <c r="J196" s="16"/>
    </row>
    <row r="197" spans="1:9" s="19" customFormat="1" ht="15" hidden="1">
      <c r="A197" s="99" t="s">
        <v>93</v>
      </c>
      <c r="B197" s="167"/>
      <c r="C197" s="55" t="s">
        <v>121</v>
      </c>
      <c r="D197" s="55" t="s">
        <v>423</v>
      </c>
      <c r="E197" s="55" t="s">
        <v>409</v>
      </c>
      <c r="F197" s="142" t="s">
        <v>94</v>
      </c>
      <c r="G197" s="177"/>
      <c r="H197" s="14">
        <f>SUM(H198)</f>
        <v>167.7</v>
      </c>
      <c r="I197" s="14" t="e">
        <f t="shared" si="4"/>
        <v>#DIV/0!</v>
      </c>
    </row>
    <row r="198" spans="1:9" s="19" customFormat="1" ht="15" hidden="1">
      <c r="A198" s="108" t="s">
        <v>118</v>
      </c>
      <c r="B198" s="161"/>
      <c r="C198" s="55" t="s">
        <v>121</v>
      </c>
      <c r="D198" s="55" t="s">
        <v>423</v>
      </c>
      <c r="E198" s="55" t="s">
        <v>119</v>
      </c>
      <c r="F198" s="142"/>
      <c r="G198" s="177">
        <f>SUM(G199+G202)+G206</f>
        <v>0</v>
      </c>
      <c r="H198" s="14">
        <v>167.7</v>
      </c>
      <c r="I198" s="14" t="e">
        <f t="shared" si="4"/>
        <v>#DIV/0!</v>
      </c>
    </row>
    <row r="199" spans="1:9" s="19" customFormat="1" ht="42.75" hidden="1">
      <c r="A199" s="108" t="s">
        <v>456</v>
      </c>
      <c r="B199" s="161"/>
      <c r="C199" s="55" t="s">
        <v>121</v>
      </c>
      <c r="D199" s="55" t="s">
        <v>423</v>
      </c>
      <c r="E199" s="55" t="s">
        <v>286</v>
      </c>
      <c r="F199" s="142"/>
      <c r="G199" s="178">
        <f>SUM(G200)</f>
        <v>0</v>
      </c>
      <c r="H199" s="14">
        <f>SUM(H200)</f>
        <v>110.4</v>
      </c>
      <c r="I199" s="14" t="e">
        <f t="shared" si="4"/>
        <v>#DIV/0!</v>
      </c>
    </row>
    <row r="200" spans="1:9" s="19" customFormat="1" ht="15" hidden="1">
      <c r="A200" s="103" t="s">
        <v>7</v>
      </c>
      <c r="B200" s="161"/>
      <c r="C200" s="55" t="s">
        <v>121</v>
      </c>
      <c r="D200" s="55" t="s">
        <v>423</v>
      </c>
      <c r="E200" s="55" t="s">
        <v>286</v>
      </c>
      <c r="F200" s="142" t="s">
        <v>8</v>
      </c>
      <c r="G200" s="178"/>
      <c r="H200" s="14">
        <v>110.4</v>
      </c>
      <c r="I200" s="14" t="e">
        <f t="shared" si="4"/>
        <v>#DIV/0!</v>
      </c>
    </row>
    <row r="201" spans="1:9" s="16" customFormat="1" ht="15" hidden="1">
      <c r="A201" s="108" t="s">
        <v>38</v>
      </c>
      <c r="B201" s="161"/>
      <c r="C201" s="55" t="s">
        <v>121</v>
      </c>
      <c r="D201" s="55" t="s">
        <v>423</v>
      </c>
      <c r="E201" s="55" t="s">
        <v>39</v>
      </c>
      <c r="F201" s="142" t="s">
        <v>94</v>
      </c>
      <c r="G201" s="177"/>
      <c r="H201" s="14">
        <f>SUM(H209+H223)+H204+H219+H206</f>
        <v>24530.6</v>
      </c>
      <c r="I201" s="14" t="e">
        <f t="shared" si="4"/>
        <v>#DIV/0!</v>
      </c>
    </row>
    <row r="202" spans="1:9" s="16" customFormat="1" ht="15" hidden="1">
      <c r="A202" s="108" t="s">
        <v>124</v>
      </c>
      <c r="B202" s="161"/>
      <c r="C202" s="55" t="s">
        <v>121</v>
      </c>
      <c r="D202" s="55" t="s">
        <v>423</v>
      </c>
      <c r="E202" s="55" t="s">
        <v>119</v>
      </c>
      <c r="F202" s="142" t="s">
        <v>125</v>
      </c>
      <c r="G202" s="177">
        <f>SUM(G203)</f>
        <v>0</v>
      </c>
      <c r="H202" s="14"/>
      <c r="I202" s="14">
        <f t="shared" si="4"/>
        <v>0</v>
      </c>
    </row>
    <row r="203" spans="1:9" s="16" customFormat="1" ht="28.5" hidden="1">
      <c r="A203" s="103" t="s">
        <v>40</v>
      </c>
      <c r="B203" s="161"/>
      <c r="C203" s="55" t="s">
        <v>121</v>
      </c>
      <c r="D203" s="55" t="s">
        <v>423</v>
      </c>
      <c r="E203" s="55" t="s">
        <v>41</v>
      </c>
      <c r="F203" s="142" t="s">
        <v>125</v>
      </c>
      <c r="G203" s="177">
        <f>SUM(G205)</f>
        <v>0</v>
      </c>
      <c r="H203" s="14"/>
      <c r="I203" s="14">
        <f t="shared" si="4"/>
        <v>0</v>
      </c>
    </row>
    <row r="204" spans="1:9" s="16" customFormat="1" ht="28.5" hidden="1">
      <c r="A204" s="103" t="s">
        <v>56</v>
      </c>
      <c r="B204" s="161"/>
      <c r="C204" s="55"/>
      <c r="D204" s="55"/>
      <c r="E204" s="55"/>
      <c r="F204" s="142"/>
      <c r="G204" s="177"/>
      <c r="H204" s="14">
        <f>SUM(H205)</f>
        <v>0</v>
      </c>
      <c r="I204" s="14">
        <f t="shared" si="4"/>
        <v>0</v>
      </c>
    </row>
    <row r="205" spans="1:9" s="16" customFormat="1" ht="42.75" hidden="1">
      <c r="A205" s="100" t="s">
        <v>414</v>
      </c>
      <c r="B205" s="161"/>
      <c r="C205" s="55" t="s">
        <v>121</v>
      </c>
      <c r="D205" s="55" t="s">
        <v>423</v>
      </c>
      <c r="E205" s="55" t="s">
        <v>42</v>
      </c>
      <c r="F205" s="142" t="s">
        <v>125</v>
      </c>
      <c r="G205" s="177"/>
      <c r="H205" s="14"/>
      <c r="I205" s="14">
        <f t="shared" si="4"/>
        <v>0</v>
      </c>
    </row>
    <row r="206" spans="1:9" s="16" customFormat="1" ht="28.5" hidden="1">
      <c r="A206" s="99" t="s">
        <v>43</v>
      </c>
      <c r="B206" s="161"/>
      <c r="C206" s="55" t="s">
        <v>121</v>
      </c>
      <c r="D206" s="55" t="s">
        <v>423</v>
      </c>
      <c r="E206" s="55" t="s">
        <v>44</v>
      </c>
      <c r="F206" s="142"/>
      <c r="G206" s="177">
        <f>SUM(G207)</f>
        <v>0</v>
      </c>
      <c r="H206" s="14">
        <f>SUM(H207)</f>
        <v>9483.6</v>
      </c>
      <c r="I206" s="14" t="e">
        <f t="shared" si="4"/>
        <v>#DIV/0!</v>
      </c>
    </row>
    <row r="207" spans="1:9" s="16" customFormat="1" ht="15" hidden="1">
      <c r="A207" s="108" t="s">
        <v>124</v>
      </c>
      <c r="B207" s="161"/>
      <c r="C207" s="55" t="s">
        <v>121</v>
      </c>
      <c r="D207" s="55" t="s">
        <v>423</v>
      </c>
      <c r="E207" s="55" t="s">
        <v>44</v>
      </c>
      <c r="F207" s="142" t="s">
        <v>125</v>
      </c>
      <c r="G207" s="177"/>
      <c r="H207" s="14">
        <f>SUM(H208)</f>
        <v>9483.6</v>
      </c>
      <c r="I207" s="14" t="e">
        <f t="shared" si="4"/>
        <v>#DIV/0!</v>
      </c>
    </row>
    <row r="208" spans="1:9" s="16" customFormat="1" ht="15">
      <c r="A208" s="103" t="s">
        <v>45</v>
      </c>
      <c r="B208" s="150"/>
      <c r="C208" s="129" t="s">
        <v>121</v>
      </c>
      <c r="D208" s="129" t="s">
        <v>425</v>
      </c>
      <c r="E208" s="129"/>
      <c r="F208" s="147"/>
      <c r="G208" s="175">
        <f>G209+G214</f>
        <v>18406.9</v>
      </c>
      <c r="H208" s="14">
        <v>9483.6</v>
      </c>
      <c r="I208" s="14">
        <f aca="true" t="shared" si="5" ref="I208:I213">SUM(H208/G216*100)</f>
        <v>18.31319903602546</v>
      </c>
    </row>
    <row r="209" spans="1:9" s="16" customFormat="1" ht="15">
      <c r="A209" s="103" t="s">
        <v>283</v>
      </c>
      <c r="B209" s="150"/>
      <c r="C209" s="129" t="s">
        <v>121</v>
      </c>
      <c r="D209" s="129" t="s">
        <v>425</v>
      </c>
      <c r="E209" s="129" t="s">
        <v>521</v>
      </c>
      <c r="F209" s="147"/>
      <c r="G209" s="175">
        <f>G210</f>
        <v>9806.9</v>
      </c>
      <c r="H209" s="14">
        <f>SUM(H210+H212+H216)</f>
        <v>15047</v>
      </c>
      <c r="I209" s="14">
        <f t="shared" si="5"/>
        <v>29.05633998640549</v>
      </c>
    </row>
    <row r="210" spans="1:9" s="16" customFormat="1" ht="15">
      <c r="A210" s="103" t="s">
        <v>31</v>
      </c>
      <c r="B210" s="150"/>
      <c r="C210" s="129" t="s">
        <v>121</v>
      </c>
      <c r="D210" s="129" t="s">
        <v>425</v>
      </c>
      <c r="E210" s="129" t="s">
        <v>522</v>
      </c>
      <c r="F210" s="147"/>
      <c r="G210" s="175">
        <f>SUM(G211)</f>
        <v>9806.9</v>
      </c>
      <c r="H210" s="14">
        <f>SUM(H211)</f>
        <v>0</v>
      </c>
      <c r="I210" s="14">
        <f t="shared" si="5"/>
        <v>0</v>
      </c>
    </row>
    <row r="211" spans="1:10" s="16" customFormat="1" ht="14.25" customHeight="1">
      <c r="A211" s="103" t="s">
        <v>464</v>
      </c>
      <c r="B211" s="150"/>
      <c r="C211" s="129" t="s">
        <v>121</v>
      </c>
      <c r="D211" s="129" t="s">
        <v>425</v>
      </c>
      <c r="E211" s="129" t="s">
        <v>522</v>
      </c>
      <c r="F211" s="147" t="s">
        <v>110</v>
      </c>
      <c r="G211" s="175">
        <v>9806.9</v>
      </c>
      <c r="H211" s="14"/>
      <c r="I211" s="14">
        <f t="shared" si="5"/>
        <v>0</v>
      </c>
      <c r="J211" s="16">
        <f>SUM('ведомствен.2014'!G220)</f>
        <v>9806.9</v>
      </c>
    </row>
    <row r="212" spans="1:9" s="16" customFormat="1" ht="28.5" hidden="1">
      <c r="A212" s="103" t="s">
        <v>484</v>
      </c>
      <c r="B212" s="150"/>
      <c r="C212" s="129" t="s">
        <v>121</v>
      </c>
      <c r="D212" s="129" t="s">
        <v>425</v>
      </c>
      <c r="E212" s="129" t="s">
        <v>522</v>
      </c>
      <c r="F212" s="147" t="s">
        <v>485</v>
      </c>
      <c r="G212" s="175"/>
      <c r="H212" s="14">
        <f>SUM(H213)</f>
        <v>0</v>
      </c>
      <c r="I212" s="14" t="e">
        <f t="shared" si="5"/>
        <v>#DIV/0!</v>
      </c>
    </row>
    <row r="213" spans="1:9" s="16" customFormat="1" ht="28.5" hidden="1">
      <c r="A213" s="103" t="s">
        <v>484</v>
      </c>
      <c r="B213" s="150"/>
      <c r="C213" s="129" t="s">
        <v>121</v>
      </c>
      <c r="D213" s="129" t="s">
        <v>425</v>
      </c>
      <c r="E213" s="129" t="s">
        <v>522</v>
      </c>
      <c r="F213" s="147" t="s">
        <v>485</v>
      </c>
      <c r="G213" s="175"/>
      <c r="H213" s="14"/>
      <c r="I213" s="14" t="e">
        <f t="shared" si="5"/>
        <v>#DIV/0!</v>
      </c>
    </row>
    <row r="214" spans="1:9" s="16" customFormat="1" ht="15">
      <c r="A214" s="100" t="s">
        <v>475</v>
      </c>
      <c r="B214" s="161"/>
      <c r="C214" s="129" t="s">
        <v>121</v>
      </c>
      <c r="D214" s="129" t="s">
        <v>425</v>
      </c>
      <c r="E214" s="55" t="s">
        <v>476</v>
      </c>
      <c r="F214" s="142"/>
      <c r="G214" s="175">
        <f>G215</f>
        <v>8600</v>
      </c>
      <c r="H214" s="14"/>
      <c r="I214" s="14"/>
    </row>
    <row r="215" spans="1:10" s="16" customFormat="1" ht="15">
      <c r="A215" s="99" t="s">
        <v>465</v>
      </c>
      <c r="B215" s="161"/>
      <c r="C215" s="129" t="s">
        <v>121</v>
      </c>
      <c r="D215" s="129" t="s">
        <v>425</v>
      </c>
      <c r="E215" s="55" t="s">
        <v>476</v>
      </c>
      <c r="F215" s="142" t="s">
        <v>165</v>
      </c>
      <c r="G215" s="177">
        <v>8600</v>
      </c>
      <c r="H215" s="14"/>
      <c r="I215" s="14"/>
      <c r="J215" s="16">
        <f>SUM('ведомствен.2014'!G309)</f>
        <v>8600</v>
      </c>
    </row>
    <row r="216" spans="1:9" s="16" customFormat="1" ht="15">
      <c r="A216" s="103" t="s">
        <v>33</v>
      </c>
      <c r="B216" s="150"/>
      <c r="C216" s="129" t="s">
        <v>121</v>
      </c>
      <c r="D216" s="129" t="s">
        <v>96</v>
      </c>
      <c r="E216" s="129"/>
      <c r="F216" s="147"/>
      <c r="G216" s="175">
        <f>G217</f>
        <v>51785.6</v>
      </c>
      <c r="H216" s="14">
        <f>SUM(H217)+H218</f>
        <v>15047</v>
      </c>
      <c r="I216" s="14">
        <f t="shared" si="4"/>
        <v>124.17065522363427</v>
      </c>
    </row>
    <row r="217" spans="1:10" s="16" customFormat="1" ht="15">
      <c r="A217" s="103" t="s">
        <v>33</v>
      </c>
      <c r="B217" s="148"/>
      <c r="C217" s="129" t="s">
        <v>121</v>
      </c>
      <c r="D217" s="129" t="s">
        <v>96</v>
      </c>
      <c r="E217" s="206" t="s">
        <v>61</v>
      </c>
      <c r="F217" s="207"/>
      <c r="G217" s="175">
        <f>G218+G222+G226</f>
        <v>51785.6</v>
      </c>
      <c r="H217" s="18">
        <f>878+4272.1+2990.6</f>
        <v>8140.700000000001</v>
      </c>
      <c r="I217" s="14">
        <f t="shared" si="4"/>
        <v>67.17857732299059</v>
      </c>
      <c r="J217" s="36"/>
    </row>
    <row r="218" spans="1:10" s="16" customFormat="1" ht="15">
      <c r="A218" s="106" t="s">
        <v>62</v>
      </c>
      <c r="B218" s="148"/>
      <c r="C218" s="129" t="s">
        <v>121</v>
      </c>
      <c r="D218" s="129" t="s">
        <v>96</v>
      </c>
      <c r="E218" s="206" t="s">
        <v>63</v>
      </c>
      <c r="F218" s="207"/>
      <c r="G218" s="175">
        <f>SUM(G219)</f>
        <v>39469.2</v>
      </c>
      <c r="H218" s="18">
        <v>6906.3</v>
      </c>
      <c r="I218" s="14" t="e">
        <f t="shared" si="4"/>
        <v>#DIV/0!</v>
      </c>
      <c r="J218" s="36"/>
    </row>
    <row r="219" spans="1:10" s="16" customFormat="1" ht="15">
      <c r="A219" s="103" t="s">
        <v>464</v>
      </c>
      <c r="B219" s="148"/>
      <c r="C219" s="129" t="s">
        <v>121</v>
      </c>
      <c r="D219" s="129" t="s">
        <v>96</v>
      </c>
      <c r="E219" s="206" t="s">
        <v>63</v>
      </c>
      <c r="F219" s="207" t="s">
        <v>110</v>
      </c>
      <c r="G219" s="175">
        <v>39469.2</v>
      </c>
      <c r="H219" s="18">
        <f>SUM(H220)</f>
        <v>0</v>
      </c>
      <c r="I219" s="14" t="e">
        <f t="shared" si="4"/>
        <v>#DIV/0!</v>
      </c>
      <c r="J219" s="16">
        <f>SUM('ведомствен.2014'!G226)</f>
        <v>39469.2</v>
      </c>
    </row>
    <row r="220" spans="1:9" s="16" customFormat="1" ht="28.5" hidden="1">
      <c r="A220" s="103" t="s">
        <v>482</v>
      </c>
      <c r="B220" s="148"/>
      <c r="C220" s="129" t="s">
        <v>121</v>
      </c>
      <c r="D220" s="129" t="s">
        <v>96</v>
      </c>
      <c r="E220" s="206" t="s">
        <v>63</v>
      </c>
      <c r="F220" s="207" t="s">
        <v>483</v>
      </c>
      <c r="G220" s="175"/>
      <c r="H220" s="18">
        <f>SUM(H221)</f>
        <v>0</v>
      </c>
      <c r="I220" s="14">
        <f t="shared" si="4"/>
        <v>0</v>
      </c>
    </row>
    <row r="221" spans="1:9" s="16" customFormat="1" ht="28.5" hidden="1">
      <c r="A221" s="103" t="s">
        <v>484</v>
      </c>
      <c r="B221" s="148"/>
      <c r="C221" s="129" t="s">
        <v>121</v>
      </c>
      <c r="D221" s="129" t="s">
        <v>96</v>
      </c>
      <c r="E221" s="206" t="s">
        <v>63</v>
      </c>
      <c r="F221" s="207" t="s">
        <v>485</v>
      </c>
      <c r="G221" s="175"/>
      <c r="H221" s="18">
        <f>SUM(H222)</f>
        <v>0</v>
      </c>
      <c r="I221" s="14">
        <f t="shared" si="4"/>
        <v>0</v>
      </c>
    </row>
    <row r="222" spans="1:9" s="16" customFormat="1" ht="28.5" hidden="1">
      <c r="A222" s="103" t="s">
        <v>580</v>
      </c>
      <c r="B222" s="148"/>
      <c r="C222" s="129" t="s">
        <v>121</v>
      </c>
      <c r="D222" s="129" t="s">
        <v>96</v>
      </c>
      <c r="E222" s="206" t="s">
        <v>30</v>
      </c>
      <c r="F222" s="207"/>
      <c r="G222" s="175">
        <f>G223</f>
        <v>12118</v>
      </c>
      <c r="H222" s="18"/>
      <c r="I222" s="14">
        <f t="shared" si="4"/>
        <v>0</v>
      </c>
    </row>
    <row r="223" spans="1:10" s="16" customFormat="1" ht="15">
      <c r="A223" s="103" t="s">
        <v>464</v>
      </c>
      <c r="B223" s="148"/>
      <c r="C223" s="129" t="s">
        <v>121</v>
      </c>
      <c r="D223" s="129" t="s">
        <v>96</v>
      </c>
      <c r="E223" s="206" t="s">
        <v>30</v>
      </c>
      <c r="F223" s="207" t="s">
        <v>110</v>
      </c>
      <c r="G223" s="175">
        <f>12118</f>
        <v>12118</v>
      </c>
      <c r="H223" s="18">
        <f>SUM(H224)</f>
        <v>0</v>
      </c>
      <c r="I223" s="14">
        <f aca="true" t="shared" si="6" ref="I223:I228">SUM(H223/G231*100)</f>
        <v>0</v>
      </c>
      <c r="J223" s="16">
        <f>SUM('ведомствен.2014'!G230)</f>
        <v>12118</v>
      </c>
    </row>
    <row r="224" spans="1:9" s="16" customFormat="1" ht="28.5" hidden="1">
      <c r="A224" s="103" t="s">
        <v>482</v>
      </c>
      <c r="B224" s="148"/>
      <c r="C224" s="129" t="s">
        <v>121</v>
      </c>
      <c r="D224" s="129" t="s">
        <v>96</v>
      </c>
      <c r="E224" s="206" t="s">
        <v>30</v>
      </c>
      <c r="F224" s="207" t="s">
        <v>483</v>
      </c>
      <c r="G224" s="175"/>
      <c r="H224" s="18">
        <f>SUM(H225:H228)</f>
        <v>0</v>
      </c>
      <c r="I224" s="14">
        <f t="shared" si="6"/>
        <v>0</v>
      </c>
    </row>
    <row r="225" spans="1:9" s="16" customFormat="1" ht="28.5" hidden="1">
      <c r="A225" s="103" t="s">
        <v>484</v>
      </c>
      <c r="B225" s="148"/>
      <c r="C225" s="129" t="s">
        <v>121</v>
      </c>
      <c r="D225" s="129" t="s">
        <v>96</v>
      </c>
      <c r="E225" s="206" t="s">
        <v>30</v>
      </c>
      <c r="F225" s="207" t="s">
        <v>485</v>
      </c>
      <c r="G225" s="175"/>
      <c r="H225" s="18"/>
      <c r="I225" s="14">
        <f t="shared" si="6"/>
        <v>0</v>
      </c>
    </row>
    <row r="226" spans="1:9" s="16" customFormat="1" ht="57">
      <c r="A226" s="105" t="s">
        <v>578</v>
      </c>
      <c r="B226" s="151"/>
      <c r="C226" s="132" t="s">
        <v>121</v>
      </c>
      <c r="D226" s="132" t="s">
        <v>96</v>
      </c>
      <c r="E226" s="209" t="s">
        <v>579</v>
      </c>
      <c r="F226" s="201"/>
      <c r="G226" s="180">
        <f>SUM(G227)</f>
        <v>198.4</v>
      </c>
      <c r="H226" s="18"/>
      <c r="I226" s="14">
        <f t="shared" si="6"/>
        <v>0</v>
      </c>
    </row>
    <row r="227" spans="1:10" s="16" customFormat="1" ht="15">
      <c r="A227" s="103" t="s">
        <v>464</v>
      </c>
      <c r="B227" s="148"/>
      <c r="C227" s="129" t="s">
        <v>121</v>
      </c>
      <c r="D227" s="129" t="s">
        <v>96</v>
      </c>
      <c r="E227" s="209" t="s">
        <v>579</v>
      </c>
      <c r="F227" s="207" t="s">
        <v>110</v>
      </c>
      <c r="G227" s="175">
        <v>198.4</v>
      </c>
      <c r="H227" s="18"/>
      <c r="I227" s="14">
        <f t="shared" si="6"/>
        <v>0</v>
      </c>
      <c r="J227" s="16">
        <f>SUM('ведомствен.2014'!G234)</f>
        <v>198.4</v>
      </c>
    </row>
    <row r="228" spans="1:9" s="16" customFormat="1" ht="28.5">
      <c r="A228" s="103" t="s">
        <v>54</v>
      </c>
      <c r="B228" s="148"/>
      <c r="C228" s="129" t="s">
        <v>121</v>
      </c>
      <c r="D228" s="129" t="s">
        <v>121</v>
      </c>
      <c r="E228" s="206"/>
      <c r="F228" s="207"/>
      <c r="G228" s="175">
        <f>G231+G229</f>
        <v>17150</v>
      </c>
      <c r="H228" s="18">
        <f>SUM(H231)</f>
        <v>0</v>
      </c>
      <c r="I228" s="14">
        <f t="shared" si="6"/>
        <v>0</v>
      </c>
    </row>
    <row r="229" spans="1:9" s="16" customFormat="1" ht="15">
      <c r="A229" s="100" t="s">
        <v>475</v>
      </c>
      <c r="B229" s="161"/>
      <c r="C229" s="129" t="s">
        <v>121</v>
      </c>
      <c r="D229" s="129" t="s">
        <v>121</v>
      </c>
      <c r="E229" s="55" t="s">
        <v>476</v>
      </c>
      <c r="F229" s="142"/>
      <c r="G229" s="175">
        <f>G230</f>
        <v>11800</v>
      </c>
      <c r="H229" s="18"/>
      <c r="I229" s="14"/>
    </row>
    <row r="230" spans="1:10" s="16" customFormat="1" ht="15">
      <c r="A230" s="99" t="s">
        <v>465</v>
      </c>
      <c r="B230" s="161"/>
      <c r="C230" s="129" t="s">
        <v>121</v>
      </c>
      <c r="D230" s="129" t="s">
        <v>121</v>
      </c>
      <c r="E230" s="55" t="s">
        <v>476</v>
      </c>
      <c r="F230" s="142" t="s">
        <v>165</v>
      </c>
      <c r="G230" s="177">
        <v>11800</v>
      </c>
      <c r="H230" s="18"/>
      <c r="I230" s="14"/>
      <c r="J230" s="16">
        <f>SUM('ведомствен.2014'!G312)</f>
        <v>11800</v>
      </c>
    </row>
    <row r="231" spans="1:9" s="16" customFormat="1" ht="15">
      <c r="A231" s="103" t="s">
        <v>517</v>
      </c>
      <c r="B231" s="148"/>
      <c r="C231" s="129" t="s">
        <v>121</v>
      </c>
      <c r="D231" s="129" t="s">
        <v>121</v>
      </c>
      <c r="E231" s="206" t="s">
        <v>119</v>
      </c>
      <c r="F231" s="207"/>
      <c r="G231" s="175">
        <f>G232+G234+G236+G238</f>
        <v>5350</v>
      </c>
      <c r="H231" s="18">
        <f>SUM(H232)</f>
        <v>0</v>
      </c>
      <c r="I231" s="14">
        <f t="shared" si="4"/>
        <v>0</v>
      </c>
    </row>
    <row r="232" spans="1:9" s="16" customFormat="1" ht="28.5">
      <c r="A232" s="106" t="s">
        <v>523</v>
      </c>
      <c r="B232" s="148"/>
      <c r="C232" s="129" t="s">
        <v>121</v>
      </c>
      <c r="D232" s="129" t="s">
        <v>121</v>
      </c>
      <c r="E232" s="206" t="s">
        <v>9</v>
      </c>
      <c r="F232" s="207"/>
      <c r="G232" s="175">
        <f>G233</f>
        <v>200</v>
      </c>
      <c r="H232" s="18"/>
      <c r="I232" s="14">
        <f t="shared" si="4"/>
        <v>0</v>
      </c>
    </row>
    <row r="233" spans="1:10" ht="28.5">
      <c r="A233" s="103" t="s">
        <v>489</v>
      </c>
      <c r="B233" s="148"/>
      <c r="C233" s="129" t="s">
        <v>121</v>
      </c>
      <c r="D233" s="129" t="s">
        <v>121</v>
      </c>
      <c r="E233" s="206" t="s">
        <v>9</v>
      </c>
      <c r="F233" s="207" t="s">
        <v>477</v>
      </c>
      <c r="G233" s="175">
        <v>200</v>
      </c>
      <c r="H233" s="14"/>
      <c r="I233" s="14"/>
      <c r="J233" s="16">
        <f>SUM('ведомствен.2014'!G238)</f>
        <v>200</v>
      </c>
    </row>
    <row r="234" spans="1:10" ht="42.75">
      <c r="A234" s="106" t="s">
        <v>524</v>
      </c>
      <c r="B234" s="148"/>
      <c r="C234" s="129" t="s">
        <v>525</v>
      </c>
      <c r="D234" s="129" t="s">
        <v>121</v>
      </c>
      <c r="E234" s="206" t="s">
        <v>10</v>
      </c>
      <c r="F234" s="207"/>
      <c r="G234" s="175">
        <f>G235</f>
        <v>1000</v>
      </c>
      <c r="H234" s="14"/>
      <c r="I234" s="14"/>
      <c r="J234"/>
    </row>
    <row r="235" spans="1:10" ht="28.5">
      <c r="A235" s="103" t="s">
        <v>527</v>
      </c>
      <c r="B235" s="148"/>
      <c r="C235" s="129" t="s">
        <v>525</v>
      </c>
      <c r="D235" s="129" t="s">
        <v>121</v>
      </c>
      <c r="E235" s="206" t="s">
        <v>10</v>
      </c>
      <c r="F235" s="207" t="s">
        <v>528</v>
      </c>
      <c r="G235" s="175">
        <v>1000</v>
      </c>
      <c r="H235" s="14"/>
      <c r="I235" s="14"/>
      <c r="J235" s="16">
        <f>SUM('ведомствен.2014'!G240)</f>
        <v>1000</v>
      </c>
    </row>
    <row r="236" spans="1:10" ht="57">
      <c r="A236" s="103" t="s">
        <v>526</v>
      </c>
      <c r="B236" s="148"/>
      <c r="C236" s="129" t="s">
        <v>121</v>
      </c>
      <c r="D236" s="129" t="s">
        <v>121</v>
      </c>
      <c r="E236" s="206" t="s">
        <v>32</v>
      </c>
      <c r="F236" s="207"/>
      <c r="G236" s="175">
        <f>G237</f>
        <v>2550</v>
      </c>
      <c r="H236" s="14"/>
      <c r="I236" s="14"/>
      <c r="J236"/>
    </row>
    <row r="237" spans="1:10" ht="28.5">
      <c r="A237" s="103" t="s">
        <v>527</v>
      </c>
      <c r="B237" s="148"/>
      <c r="C237" s="129" t="s">
        <v>121</v>
      </c>
      <c r="D237" s="129" t="s">
        <v>121</v>
      </c>
      <c r="E237" s="206" t="s">
        <v>32</v>
      </c>
      <c r="F237" s="207" t="s">
        <v>528</v>
      </c>
      <c r="G237" s="175">
        <v>2550</v>
      </c>
      <c r="H237" s="14"/>
      <c r="I237" s="14"/>
      <c r="J237" s="16">
        <f>SUM('ведомствен.2014'!G242)</f>
        <v>2550</v>
      </c>
    </row>
    <row r="238" spans="1:10" ht="28.5">
      <c r="A238" s="106" t="s">
        <v>518</v>
      </c>
      <c r="B238" s="148"/>
      <c r="C238" s="129" t="s">
        <v>121</v>
      </c>
      <c r="D238" s="129" t="s">
        <v>121</v>
      </c>
      <c r="E238" s="206" t="s">
        <v>44</v>
      </c>
      <c r="F238" s="207"/>
      <c r="G238" s="175">
        <f>G239</f>
        <v>1600</v>
      </c>
      <c r="H238" s="14"/>
      <c r="I238" s="14"/>
      <c r="J238"/>
    </row>
    <row r="239" spans="1:10" ht="28.5">
      <c r="A239" s="103" t="s">
        <v>527</v>
      </c>
      <c r="B239" s="148"/>
      <c r="C239" s="129" t="s">
        <v>121</v>
      </c>
      <c r="D239" s="129" t="s">
        <v>121</v>
      </c>
      <c r="E239" s="206" t="s">
        <v>44</v>
      </c>
      <c r="F239" s="207" t="s">
        <v>528</v>
      </c>
      <c r="G239" s="175">
        <v>1600</v>
      </c>
      <c r="H239" s="14"/>
      <c r="I239" s="14"/>
      <c r="J239" s="16">
        <f>SUM('ведомствен.2014'!G244)</f>
        <v>1600</v>
      </c>
    </row>
    <row r="240" spans="1:12" ht="15">
      <c r="A240" s="102" t="s">
        <v>57</v>
      </c>
      <c r="B240" s="164"/>
      <c r="C240" s="130" t="s">
        <v>355</v>
      </c>
      <c r="D240" s="130"/>
      <c r="E240" s="130"/>
      <c r="F240" s="149"/>
      <c r="G240" s="179">
        <f>SUM(G241)</f>
        <v>5826</v>
      </c>
      <c r="H240" s="18">
        <f>SUM(H241)</f>
        <v>0</v>
      </c>
      <c r="I240" s="14">
        <f>SUM(H240/G246*100)</f>
        <v>0</v>
      </c>
      <c r="J240"/>
      <c r="K240">
        <f>SUM(J241:J250)</f>
        <v>5826</v>
      </c>
      <c r="L240">
        <f>SUM('ведомствен.2014'!G246)</f>
        <v>5826</v>
      </c>
    </row>
    <row r="241" spans="1:10" ht="15">
      <c r="A241" s="99" t="s">
        <v>57</v>
      </c>
      <c r="B241" s="161"/>
      <c r="C241" s="55" t="s">
        <v>355</v>
      </c>
      <c r="D241" s="55"/>
      <c r="E241" s="55"/>
      <c r="F241" s="142"/>
      <c r="G241" s="177">
        <f>SUM(G242)+G247</f>
        <v>5826</v>
      </c>
      <c r="H241" s="18">
        <f>SUM(H242)</f>
        <v>0</v>
      </c>
      <c r="I241" s="14">
        <f>SUM(H241/G247*100)</f>
        <v>0</v>
      </c>
      <c r="J241"/>
    </row>
    <row r="242" spans="1:9" s="23" customFormat="1" ht="15">
      <c r="A242" s="103" t="s">
        <v>58</v>
      </c>
      <c r="B242" s="150"/>
      <c r="C242" s="129" t="s">
        <v>355</v>
      </c>
      <c r="D242" s="129" t="s">
        <v>96</v>
      </c>
      <c r="E242" s="129" t="s">
        <v>529</v>
      </c>
      <c r="F242" s="147"/>
      <c r="G242" s="175">
        <f>SUM(G243)</f>
        <v>5280.9</v>
      </c>
      <c r="H242" s="18"/>
      <c r="I242" s="14">
        <f>SUM(H242/G248*100)</f>
        <v>0</v>
      </c>
    </row>
    <row r="243" spans="1:10" ht="28.5">
      <c r="A243" s="103" t="s">
        <v>47</v>
      </c>
      <c r="B243" s="150"/>
      <c r="C243" s="129" t="s">
        <v>355</v>
      </c>
      <c r="D243" s="129" t="s">
        <v>96</v>
      </c>
      <c r="E243" s="129" t="s">
        <v>530</v>
      </c>
      <c r="F243" s="147"/>
      <c r="G243" s="175">
        <f>SUM(G244:G246)</f>
        <v>5280.9</v>
      </c>
      <c r="H243" s="18" t="e">
        <f>SUM(H246+H247+#REF!)</f>
        <v>#REF!</v>
      </c>
      <c r="I243" s="14" t="e">
        <f>SUM(H243/G249*100)</f>
        <v>#REF!</v>
      </c>
      <c r="J243"/>
    </row>
    <row r="244" spans="1:10" ht="42.75">
      <c r="A244" s="103" t="s">
        <v>459</v>
      </c>
      <c r="B244" s="150"/>
      <c r="C244" s="129" t="s">
        <v>355</v>
      </c>
      <c r="D244" s="129" t="s">
        <v>96</v>
      </c>
      <c r="E244" s="129" t="s">
        <v>530</v>
      </c>
      <c r="F244" s="147" t="s">
        <v>460</v>
      </c>
      <c r="G244" s="175">
        <v>4446.9</v>
      </c>
      <c r="H244" s="18"/>
      <c r="I244" s="14">
        <f>SUM(H244/G250*100)</f>
        <v>0</v>
      </c>
      <c r="J244">
        <f>SUM('ведомствен.2014'!G249)</f>
        <v>4446.9</v>
      </c>
    </row>
    <row r="245" spans="1:10" ht="15">
      <c r="A245" s="103" t="s">
        <v>464</v>
      </c>
      <c r="B245" s="150"/>
      <c r="C245" s="129" t="s">
        <v>355</v>
      </c>
      <c r="D245" s="129" t="s">
        <v>96</v>
      </c>
      <c r="E245" s="129" t="s">
        <v>530</v>
      </c>
      <c r="F245" s="147" t="s">
        <v>110</v>
      </c>
      <c r="G245" s="175">
        <v>753.9</v>
      </c>
      <c r="H245" s="24">
        <v>300</v>
      </c>
      <c r="I245" s="14" t="e">
        <f>SUM(H245/#REF!*100)</f>
        <v>#REF!</v>
      </c>
      <c r="J245">
        <f>SUM('ведомствен.2014'!G250)</f>
        <v>753.9</v>
      </c>
    </row>
    <row r="246" spans="1:10" ht="15">
      <c r="A246" s="103" t="s">
        <v>465</v>
      </c>
      <c r="B246" s="150"/>
      <c r="C246" s="129" t="s">
        <v>355</v>
      </c>
      <c r="D246" s="129" t="s">
        <v>96</v>
      </c>
      <c r="E246" s="129" t="s">
        <v>530</v>
      </c>
      <c r="F246" s="147" t="s">
        <v>165</v>
      </c>
      <c r="G246" s="175">
        <v>80.1</v>
      </c>
      <c r="H246" s="18"/>
      <c r="I246" s="14" t="e">
        <f>SUM(H246/#REF!*100)</f>
        <v>#REF!</v>
      </c>
      <c r="J246">
        <f>SUM('ведомствен.2014'!G251)</f>
        <v>80.1</v>
      </c>
    </row>
    <row r="247" spans="1:10" ht="15">
      <c r="A247" s="103" t="s">
        <v>59</v>
      </c>
      <c r="B247" s="150"/>
      <c r="C247" s="129" t="s">
        <v>355</v>
      </c>
      <c r="D247" s="129" t="s">
        <v>121</v>
      </c>
      <c r="E247" s="210"/>
      <c r="F247" s="147"/>
      <c r="G247" s="175">
        <f>G249</f>
        <v>545.1</v>
      </c>
      <c r="H247" s="18">
        <f>SUM(H248:H250)</f>
        <v>347.3</v>
      </c>
      <c r="I247" s="14" t="e">
        <f>SUM(H247/#REF!*100)</f>
        <v>#REF!</v>
      </c>
      <c r="J247"/>
    </row>
    <row r="248" spans="1:9" ht="15">
      <c r="A248" s="103" t="s">
        <v>517</v>
      </c>
      <c r="B248" s="150"/>
      <c r="C248" s="129" t="s">
        <v>355</v>
      </c>
      <c r="D248" s="129" t="s">
        <v>121</v>
      </c>
      <c r="E248" s="206" t="s">
        <v>119</v>
      </c>
      <c r="F248" s="147"/>
      <c r="G248" s="175">
        <f>SUM(G249)</f>
        <v>545.1</v>
      </c>
      <c r="H248" s="18"/>
      <c r="I248" s="14" t="e">
        <f>SUM(H248/#REF!*100)</f>
        <v>#REF!</v>
      </c>
    </row>
    <row r="249" spans="1:10" ht="15.75">
      <c r="A249" s="103" t="s">
        <v>531</v>
      </c>
      <c r="B249" s="165"/>
      <c r="C249" s="129" t="s">
        <v>355</v>
      </c>
      <c r="D249" s="129" t="s">
        <v>121</v>
      </c>
      <c r="E249" s="129" t="s">
        <v>60</v>
      </c>
      <c r="F249" s="147"/>
      <c r="G249" s="175">
        <f>G250</f>
        <v>545.1</v>
      </c>
      <c r="H249" s="18"/>
      <c r="I249" s="14"/>
      <c r="J249"/>
    </row>
    <row r="250" spans="1:10" ht="15">
      <c r="A250" s="103" t="s">
        <v>464</v>
      </c>
      <c r="B250" s="150"/>
      <c r="C250" s="129" t="s">
        <v>355</v>
      </c>
      <c r="D250" s="129" t="s">
        <v>121</v>
      </c>
      <c r="E250" s="129" t="s">
        <v>60</v>
      </c>
      <c r="F250" s="147" t="s">
        <v>110</v>
      </c>
      <c r="G250" s="175">
        <v>545.1</v>
      </c>
      <c r="H250" s="18">
        <v>347.3</v>
      </c>
      <c r="I250" s="14" t="e">
        <f>SUM(H250/#REF!*100)</f>
        <v>#REF!</v>
      </c>
      <c r="J250">
        <f>SUM('ведомствен.2014'!G255)</f>
        <v>545.1</v>
      </c>
    </row>
    <row r="251" spans="1:12" s="25" customFormat="1" ht="15">
      <c r="A251" s="102" t="s">
        <v>106</v>
      </c>
      <c r="B251" s="164"/>
      <c r="C251" s="131" t="s">
        <v>107</v>
      </c>
      <c r="D251" s="131"/>
      <c r="E251" s="131"/>
      <c r="F251" s="146"/>
      <c r="G251" s="179">
        <f>SUM(G252+G269+G306+G326)</f>
        <v>1669490.0000000002</v>
      </c>
      <c r="H251" s="14"/>
      <c r="I251" s="14"/>
      <c r="K251" s="58">
        <f>SUM(J255:J334)</f>
        <v>1669490</v>
      </c>
      <c r="L251" s="58">
        <f>SUM('ведомствен.2014'!G256+'ведомствен.2014'!G329+'ведомствен.2014'!G459+'ведомствен.2014'!G498+'ведомствен.2014'!G584)</f>
        <v>1669490.0000000002</v>
      </c>
    </row>
    <row r="252" spans="1:12" s="25" customFormat="1" ht="15">
      <c r="A252" s="105" t="s">
        <v>319</v>
      </c>
      <c r="B252" s="168"/>
      <c r="C252" s="120" t="s">
        <v>107</v>
      </c>
      <c r="D252" s="120" t="s">
        <v>423</v>
      </c>
      <c r="E252" s="120"/>
      <c r="F252" s="216"/>
      <c r="G252" s="182">
        <f>SUM(G253+G267)</f>
        <v>640144.1000000001</v>
      </c>
      <c r="H252" s="14"/>
      <c r="I252" s="14"/>
      <c r="L252" s="53">
        <f>SUM(G251-L251)</f>
        <v>0</v>
      </c>
    </row>
    <row r="253" spans="1:9" s="25" customFormat="1" ht="15">
      <c r="A253" s="105" t="s">
        <v>320</v>
      </c>
      <c r="B253" s="168"/>
      <c r="C253" s="120" t="s">
        <v>107</v>
      </c>
      <c r="D253" s="120" t="s">
        <v>423</v>
      </c>
      <c r="E253" s="120" t="s">
        <v>321</v>
      </c>
      <c r="F253" s="216"/>
      <c r="G253" s="182">
        <f>SUM(G254+G259+G263)</f>
        <v>638444.1000000001</v>
      </c>
      <c r="H253" s="14"/>
      <c r="I253" s="14"/>
    </row>
    <row r="254" spans="1:10" ht="28.5">
      <c r="A254" s="105" t="s">
        <v>581</v>
      </c>
      <c r="B254" s="168"/>
      <c r="C254" s="120" t="s">
        <v>107</v>
      </c>
      <c r="D254" s="120" t="s">
        <v>423</v>
      </c>
      <c r="E254" s="120" t="s">
        <v>75</v>
      </c>
      <c r="F254" s="216"/>
      <c r="G254" s="182">
        <f>SUM(G255+G257)</f>
        <v>547819.8</v>
      </c>
      <c r="H254" s="14"/>
      <c r="I254" s="14"/>
      <c r="J254"/>
    </row>
    <row r="255" spans="1:10" ht="28.5">
      <c r="A255" s="105" t="s">
        <v>193</v>
      </c>
      <c r="B255" s="168"/>
      <c r="C255" s="120" t="s">
        <v>107</v>
      </c>
      <c r="D255" s="120" t="s">
        <v>423</v>
      </c>
      <c r="E255" s="120" t="s">
        <v>76</v>
      </c>
      <c r="F255" s="216"/>
      <c r="G255" s="182">
        <f>SUM(G256)</f>
        <v>150141.3</v>
      </c>
      <c r="H255" s="14"/>
      <c r="I255" s="14"/>
      <c r="J255"/>
    </row>
    <row r="256" spans="1:10" ht="28.5">
      <c r="A256" s="105" t="s">
        <v>489</v>
      </c>
      <c r="B256" s="168"/>
      <c r="C256" s="120" t="s">
        <v>107</v>
      </c>
      <c r="D256" s="120" t="s">
        <v>423</v>
      </c>
      <c r="E256" s="120" t="s">
        <v>76</v>
      </c>
      <c r="F256" s="216" t="s">
        <v>477</v>
      </c>
      <c r="G256" s="182">
        <v>150141.3</v>
      </c>
      <c r="H256" s="14"/>
      <c r="I256" s="14"/>
      <c r="J256">
        <f>SUM('ведомствен.2014'!G503)</f>
        <v>150141.3</v>
      </c>
    </row>
    <row r="257" spans="1:10" ht="85.5">
      <c r="A257" s="105" t="s">
        <v>582</v>
      </c>
      <c r="B257" s="168"/>
      <c r="C257" s="120" t="s">
        <v>107</v>
      </c>
      <c r="D257" s="120" t="s">
        <v>423</v>
      </c>
      <c r="E257" s="120" t="s">
        <v>200</v>
      </c>
      <c r="F257" s="216"/>
      <c r="G257" s="182">
        <f>G258</f>
        <v>397678.5</v>
      </c>
      <c r="H257" s="14"/>
      <c r="I257" s="14"/>
      <c r="J257"/>
    </row>
    <row r="258" spans="1:10" s="25" customFormat="1" ht="28.5">
      <c r="A258" s="105" t="s">
        <v>489</v>
      </c>
      <c r="B258" s="168"/>
      <c r="C258" s="120" t="s">
        <v>107</v>
      </c>
      <c r="D258" s="120" t="s">
        <v>423</v>
      </c>
      <c r="E258" s="120" t="s">
        <v>200</v>
      </c>
      <c r="F258" s="216" t="s">
        <v>477</v>
      </c>
      <c r="G258" s="182">
        <v>397678.5</v>
      </c>
      <c r="H258" s="14"/>
      <c r="I258" s="14"/>
      <c r="J258">
        <f>SUM('ведомствен.2014'!G505)</f>
        <v>397678.5</v>
      </c>
    </row>
    <row r="259" spans="1:9" s="25" customFormat="1" ht="28.5">
      <c r="A259" s="105" t="s">
        <v>47</v>
      </c>
      <c r="B259" s="168"/>
      <c r="C259" s="120" t="s">
        <v>107</v>
      </c>
      <c r="D259" s="120" t="s">
        <v>423</v>
      </c>
      <c r="E259" s="120" t="s">
        <v>322</v>
      </c>
      <c r="F259" s="216"/>
      <c r="G259" s="182">
        <f>SUM(G260+G261+G262)</f>
        <v>31837.9</v>
      </c>
      <c r="H259" s="14"/>
      <c r="I259" s="14"/>
    </row>
    <row r="260" spans="1:10" s="25" customFormat="1" ht="42.75">
      <c r="A260" s="105" t="s">
        <v>459</v>
      </c>
      <c r="B260" s="168"/>
      <c r="C260" s="120" t="s">
        <v>107</v>
      </c>
      <c r="D260" s="120" t="s">
        <v>423</v>
      </c>
      <c r="E260" s="120" t="s">
        <v>322</v>
      </c>
      <c r="F260" s="216" t="s">
        <v>460</v>
      </c>
      <c r="G260" s="182">
        <v>4486.7</v>
      </c>
      <c r="H260" s="14"/>
      <c r="I260" s="14"/>
      <c r="J260">
        <f>SUM('ведомствен.2014'!G507)</f>
        <v>4486.7</v>
      </c>
    </row>
    <row r="261" spans="1:10" s="25" customFormat="1" ht="15">
      <c r="A261" s="105" t="s">
        <v>464</v>
      </c>
      <c r="B261" s="169"/>
      <c r="C261" s="120" t="s">
        <v>107</v>
      </c>
      <c r="D261" s="120" t="s">
        <v>423</v>
      </c>
      <c r="E261" s="120" t="s">
        <v>322</v>
      </c>
      <c r="F261" s="216" t="s">
        <v>110</v>
      </c>
      <c r="G261" s="182">
        <v>25047.8</v>
      </c>
      <c r="H261" s="14"/>
      <c r="I261" s="14"/>
      <c r="J261">
        <f>SUM('ведомствен.2014'!G508)</f>
        <v>25047.8</v>
      </c>
    </row>
    <row r="262" spans="1:10" s="25" customFormat="1" ht="15">
      <c r="A262" s="105" t="s">
        <v>465</v>
      </c>
      <c r="B262" s="168"/>
      <c r="C262" s="120" t="s">
        <v>107</v>
      </c>
      <c r="D262" s="120" t="s">
        <v>423</v>
      </c>
      <c r="E262" s="120" t="s">
        <v>322</v>
      </c>
      <c r="F262" s="216" t="s">
        <v>165</v>
      </c>
      <c r="G262" s="182">
        <v>2303.4</v>
      </c>
      <c r="H262" s="14"/>
      <c r="I262" s="14"/>
      <c r="J262">
        <f>SUM('ведомствен.2014'!G509)</f>
        <v>2303.4</v>
      </c>
    </row>
    <row r="263" spans="1:9" s="25" customFormat="1" ht="57">
      <c r="A263" s="116" t="s">
        <v>583</v>
      </c>
      <c r="B263" s="168"/>
      <c r="C263" s="120" t="s">
        <v>107</v>
      </c>
      <c r="D263" s="120" t="s">
        <v>423</v>
      </c>
      <c r="E263" s="120" t="s">
        <v>323</v>
      </c>
      <c r="F263" s="216"/>
      <c r="G263" s="182">
        <f>SUM(G264+G265)</f>
        <v>58786.4</v>
      </c>
      <c r="H263" s="14">
        <f>SUM(H269+H273+H275+H277+H271)</f>
        <v>213007.5</v>
      </c>
      <c r="I263" s="14">
        <f>SUM(H263/G269*100)</f>
        <v>21.27386409056235</v>
      </c>
    </row>
    <row r="264" spans="1:10" ht="42.75">
      <c r="A264" s="105" t="s">
        <v>459</v>
      </c>
      <c r="B264" s="168"/>
      <c r="C264" s="120" t="s">
        <v>107</v>
      </c>
      <c r="D264" s="120" t="s">
        <v>423</v>
      </c>
      <c r="E264" s="120" t="s">
        <v>323</v>
      </c>
      <c r="F264" s="216" t="s">
        <v>460</v>
      </c>
      <c r="G264" s="182">
        <v>57493</v>
      </c>
      <c r="H264" s="14"/>
      <c r="I264" s="14"/>
      <c r="J264">
        <f>SUM('ведомствен.2014'!G511)</f>
        <v>57493</v>
      </c>
    </row>
    <row r="265" spans="1:10" ht="15">
      <c r="A265" s="105" t="s">
        <v>464</v>
      </c>
      <c r="B265" s="168"/>
      <c r="C265" s="120" t="s">
        <v>107</v>
      </c>
      <c r="D265" s="120" t="s">
        <v>423</v>
      </c>
      <c r="E265" s="120" t="s">
        <v>323</v>
      </c>
      <c r="F265" s="216" t="s">
        <v>110</v>
      </c>
      <c r="G265" s="182">
        <v>1293.4</v>
      </c>
      <c r="H265" s="14">
        <v>187516.5</v>
      </c>
      <c r="I265" s="14">
        <f>SUM(H265/G271*100)</f>
        <v>53.93088480858953</v>
      </c>
      <c r="J265">
        <f>SUM('ведомствен.2014'!G512)</f>
        <v>1293.4</v>
      </c>
    </row>
    <row r="266" spans="1:9" s="16" customFormat="1" ht="15">
      <c r="A266" s="105" t="s">
        <v>568</v>
      </c>
      <c r="B266" s="170"/>
      <c r="C266" s="120" t="s">
        <v>107</v>
      </c>
      <c r="D266" s="120" t="s">
        <v>423</v>
      </c>
      <c r="E266" s="120" t="s">
        <v>119</v>
      </c>
      <c r="F266" s="216"/>
      <c r="G266" s="182">
        <f>G267</f>
        <v>1700</v>
      </c>
      <c r="H266" s="14"/>
      <c r="I266" s="14"/>
    </row>
    <row r="267" spans="1:9" s="16" customFormat="1" ht="28.5">
      <c r="A267" s="105" t="s">
        <v>584</v>
      </c>
      <c r="B267" s="168"/>
      <c r="C267" s="120" t="s">
        <v>107</v>
      </c>
      <c r="D267" s="120" t="s">
        <v>423</v>
      </c>
      <c r="E267" s="120" t="s">
        <v>330</v>
      </c>
      <c r="F267" s="216"/>
      <c r="G267" s="182">
        <f>G268</f>
        <v>1700</v>
      </c>
      <c r="H267" s="14">
        <v>187516.5</v>
      </c>
      <c r="I267" s="14">
        <f>SUM(H267/G273*100)</f>
        <v>244.8028042141542</v>
      </c>
    </row>
    <row r="268" spans="1:10" s="16" customFormat="1" ht="15">
      <c r="A268" s="107" t="s">
        <v>469</v>
      </c>
      <c r="B268" s="171"/>
      <c r="C268" s="120" t="s">
        <v>107</v>
      </c>
      <c r="D268" s="120" t="s">
        <v>423</v>
      </c>
      <c r="E268" s="120" t="s">
        <v>330</v>
      </c>
      <c r="F268" s="216" t="s">
        <v>470</v>
      </c>
      <c r="G268" s="182">
        <v>1700</v>
      </c>
      <c r="H268" s="14"/>
      <c r="I268" s="14"/>
      <c r="J268">
        <f>SUM('ведомствен.2014'!G515)</f>
        <v>1700</v>
      </c>
    </row>
    <row r="269" spans="1:11" s="25" customFormat="1" ht="15">
      <c r="A269" s="105" t="s">
        <v>324</v>
      </c>
      <c r="B269" s="168"/>
      <c r="C269" s="120" t="s">
        <v>107</v>
      </c>
      <c r="D269" s="120" t="s">
        <v>425</v>
      </c>
      <c r="E269" s="120"/>
      <c r="F269" s="216"/>
      <c r="G269" s="182">
        <f>SUM(G270+G283+G294+G302+G289)</f>
        <v>1001263.8</v>
      </c>
      <c r="H269" s="14">
        <v>187516.5</v>
      </c>
      <c r="I269" s="14">
        <f aca="true" t="shared" si="7" ref="I269:I282">SUM(H269/G275*100)</f>
        <v>69.16906308696313</v>
      </c>
      <c r="J269" s="39"/>
      <c r="K269" s="25">
        <f>SUM(J270:J305)</f>
        <v>1001263.8</v>
      </c>
    </row>
    <row r="270" spans="1:9" s="25" customFormat="1" ht="28.5">
      <c r="A270" s="105" t="s">
        <v>325</v>
      </c>
      <c r="B270" s="168"/>
      <c r="C270" s="120" t="s">
        <v>107</v>
      </c>
      <c r="D270" s="120" t="s">
        <v>425</v>
      </c>
      <c r="E270" s="120" t="s">
        <v>326</v>
      </c>
      <c r="F270" s="216"/>
      <c r="G270" s="182">
        <f>G271+G276</f>
        <v>740607</v>
      </c>
      <c r="H270" s="14"/>
      <c r="I270" s="14">
        <f t="shared" si="7"/>
        <v>0</v>
      </c>
    </row>
    <row r="271" spans="1:10" ht="28.5">
      <c r="A271" s="105" t="s">
        <v>11</v>
      </c>
      <c r="B271" s="168"/>
      <c r="C271" s="120" t="s">
        <v>107</v>
      </c>
      <c r="D271" s="120" t="s">
        <v>425</v>
      </c>
      <c r="E271" s="120" t="s">
        <v>77</v>
      </c>
      <c r="F271" s="216"/>
      <c r="G271" s="182">
        <f>G272+G274</f>
        <v>347697.8</v>
      </c>
      <c r="H271" s="14">
        <f>SUM(H272)</f>
        <v>120.3</v>
      </c>
      <c r="I271" s="14">
        <f t="shared" si="7"/>
        <v>0.5142102406059388</v>
      </c>
      <c r="J271"/>
    </row>
    <row r="272" spans="1:10" ht="28.5">
      <c r="A272" s="105" t="s">
        <v>193</v>
      </c>
      <c r="B272" s="168"/>
      <c r="C272" s="120" t="s">
        <v>107</v>
      </c>
      <c r="D272" s="120" t="s">
        <v>425</v>
      </c>
      <c r="E272" s="120" t="s">
        <v>78</v>
      </c>
      <c r="F272" s="216"/>
      <c r="G272" s="182">
        <f>SUM(G273)</f>
        <v>76599</v>
      </c>
      <c r="H272" s="14">
        <v>120.3</v>
      </c>
      <c r="I272" s="14">
        <f t="shared" si="7"/>
        <v>0.24579864126270623</v>
      </c>
      <c r="J272"/>
    </row>
    <row r="273" spans="1:10" s="25" customFormat="1" ht="28.5">
      <c r="A273" s="105" t="s">
        <v>481</v>
      </c>
      <c r="B273" s="168"/>
      <c r="C273" s="120" t="s">
        <v>107</v>
      </c>
      <c r="D273" s="120" t="s">
        <v>425</v>
      </c>
      <c r="E273" s="120" t="s">
        <v>78</v>
      </c>
      <c r="F273" s="216" t="s">
        <v>477</v>
      </c>
      <c r="G273" s="182">
        <v>76599</v>
      </c>
      <c r="H273" s="14">
        <f>SUM(H274)</f>
        <v>24134</v>
      </c>
      <c r="I273" s="14">
        <f t="shared" si="7"/>
        <v>155.2295253838287</v>
      </c>
      <c r="J273">
        <f>SUM('ведомствен.2014'!G520)</f>
        <v>76599</v>
      </c>
    </row>
    <row r="274" spans="1:10" s="25" customFormat="1" ht="85.5">
      <c r="A274" s="105" t="s">
        <v>585</v>
      </c>
      <c r="B274" s="168"/>
      <c r="C274" s="120" t="s">
        <v>107</v>
      </c>
      <c r="D274" s="120" t="s">
        <v>425</v>
      </c>
      <c r="E274" s="120" t="s">
        <v>79</v>
      </c>
      <c r="F274" s="216"/>
      <c r="G274" s="182">
        <f>SUM(G275)</f>
        <v>271098.8</v>
      </c>
      <c r="H274" s="14">
        <v>24134</v>
      </c>
      <c r="I274" s="14">
        <f t="shared" si="7"/>
        <v>7.912156506875026</v>
      </c>
      <c r="J274" s="39"/>
    </row>
    <row r="275" spans="1:10" s="25" customFormat="1" ht="28.5">
      <c r="A275" s="105" t="s">
        <v>481</v>
      </c>
      <c r="B275" s="168"/>
      <c r="C275" s="120" t="s">
        <v>107</v>
      </c>
      <c r="D275" s="120" t="s">
        <v>425</v>
      </c>
      <c r="E275" s="120" t="s">
        <v>79</v>
      </c>
      <c r="F275" s="216" t="s">
        <v>477</v>
      </c>
      <c r="G275" s="182">
        <v>271098.8</v>
      </c>
      <c r="H275" s="14">
        <f>SUM(H276)</f>
        <v>1236.7</v>
      </c>
      <c r="I275" s="14">
        <f t="shared" si="7"/>
        <v>0.4105848352199254</v>
      </c>
      <c r="J275">
        <f>SUM('ведомствен.2014'!G522)</f>
        <v>271098.8</v>
      </c>
    </row>
    <row r="276" spans="1:10" s="25" customFormat="1" ht="28.5">
      <c r="A276" s="105" t="s">
        <v>47</v>
      </c>
      <c r="B276" s="168"/>
      <c r="C276" s="120" t="s">
        <v>107</v>
      </c>
      <c r="D276" s="120" t="s">
        <v>425</v>
      </c>
      <c r="E276" s="120" t="s">
        <v>327</v>
      </c>
      <c r="F276" s="216"/>
      <c r="G276" s="182">
        <f>SUM(G277+G278+G279+G280)</f>
        <v>392909.2</v>
      </c>
      <c r="H276" s="14">
        <v>1236.7</v>
      </c>
      <c r="I276" s="14">
        <f t="shared" si="7"/>
        <v>32.3760406303995</v>
      </c>
      <c r="J276" s="39"/>
    </row>
    <row r="277" spans="1:10" s="25" customFormat="1" ht="42.75">
      <c r="A277" s="105" t="s">
        <v>459</v>
      </c>
      <c r="B277" s="168"/>
      <c r="C277" s="120" t="s">
        <v>107</v>
      </c>
      <c r="D277" s="120" t="s">
        <v>425</v>
      </c>
      <c r="E277" s="120" t="s">
        <v>327</v>
      </c>
      <c r="F277" s="216" t="s">
        <v>460</v>
      </c>
      <c r="G277" s="182">
        <v>23395.1</v>
      </c>
      <c r="H277" s="14">
        <f>SUM(H278)</f>
        <v>0</v>
      </c>
      <c r="I277" s="14">
        <f t="shared" si="7"/>
        <v>0</v>
      </c>
      <c r="J277">
        <f>SUM('ведомствен.2014'!G524)</f>
        <v>23395.100000000002</v>
      </c>
    </row>
    <row r="278" spans="1:10" s="25" customFormat="1" ht="15">
      <c r="A278" s="105" t="s">
        <v>464</v>
      </c>
      <c r="B278" s="168"/>
      <c r="C278" s="120" t="s">
        <v>107</v>
      </c>
      <c r="D278" s="120" t="s">
        <v>425</v>
      </c>
      <c r="E278" s="120" t="s">
        <v>327</v>
      </c>
      <c r="F278" s="216" t="s">
        <v>110</v>
      </c>
      <c r="G278" s="182">
        <v>48942.5</v>
      </c>
      <c r="H278" s="14"/>
      <c r="I278" s="14">
        <f t="shared" si="7"/>
        <v>0</v>
      </c>
      <c r="J278">
        <f>SUM('ведомствен.2014'!G525)</f>
        <v>48942.5</v>
      </c>
    </row>
    <row r="279" spans="1:15" s="25" customFormat="1" ht="15">
      <c r="A279" s="105" t="s">
        <v>465</v>
      </c>
      <c r="B279" s="171"/>
      <c r="C279" s="120" t="s">
        <v>107</v>
      </c>
      <c r="D279" s="120" t="s">
        <v>425</v>
      </c>
      <c r="E279" s="120" t="s">
        <v>327</v>
      </c>
      <c r="F279" s="219">
        <v>800</v>
      </c>
      <c r="G279" s="182">
        <v>15547.3</v>
      </c>
      <c r="H279" s="14">
        <f>SUM(H280)</f>
        <v>9549.8</v>
      </c>
      <c r="I279" s="14" t="e">
        <f t="shared" si="7"/>
        <v>#DIV/0!</v>
      </c>
      <c r="J279">
        <f>SUM('ведомствен.2014'!G526)</f>
        <v>15547.3</v>
      </c>
      <c r="O279" s="53">
        <f>SUM(G285+G295)</f>
        <v>51762.4</v>
      </c>
    </row>
    <row r="280" spans="1:9" s="25" customFormat="1" ht="85.5">
      <c r="A280" s="117" t="s">
        <v>585</v>
      </c>
      <c r="B280" s="168"/>
      <c r="C280" s="120" t="s">
        <v>107</v>
      </c>
      <c r="D280" s="120" t="s">
        <v>425</v>
      </c>
      <c r="E280" s="120" t="s">
        <v>300</v>
      </c>
      <c r="F280" s="216"/>
      <c r="G280" s="182">
        <f>SUM(G281+G282)</f>
        <v>305024.3</v>
      </c>
      <c r="H280" s="14">
        <f>SUM(H281)</f>
        <v>9549.8</v>
      </c>
      <c r="I280" s="14" t="e">
        <f t="shared" si="7"/>
        <v>#DIV/0!</v>
      </c>
    </row>
    <row r="281" spans="1:10" ht="42.75">
      <c r="A281" s="105" t="s">
        <v>459</v>
      </c>
      <c r="B281" s="168"/>
      <c r="C281" s="120" t="s">
        <v>107</v>
      </c>
      <c r="D281" s="120" t="s">
        <v>425</v>
      </c>
      <c r="E281" s="120" t="s">
        <v>300</v>
      </c>
      <c r="F281" s="216" t="s">
        <v>460</v>
      </c>
      <c r="G281" s="182">
        <v>301204.5</v>
      </c>
      <c r="H281" s="14">
        <v>9549.8</v>
      </c>
      <c r="I281" s="14">
        <f t="shared" si="7"/>
        <v>6.832085289103418</v>
      </c>
      <c r="J281">
        <f>SUM('ведомствен.2014'!G528)</f>
        <v>301204.5</v>
      </c>
    </row>
    <row r="282" spans="1:10" ht="15">
      <c r="A282" s="105" t="s">
        <v>464</v>
      </c>
      <c r="B282" s="168"/>
      <c r="C282" s="120" t="s">
        <v>107</v>
      </c>
      <c r="D282" s="120" t="s">
        <v>425</v>
      </c>
      <c r="E282" s="120" t="s">
        <v>300</v>
      </c>
      <c r="F282" s="216" t="s">
        <v>110</v>
      </c>
      <c r="G282" s="182">
        <v>3819.8</v>
      </c>
      <c r="H282" s="14">
        <v>9549.8</v>
      </c>
      <c r="I282" s="14">
        <f t="shared" si="7"/>
        <v>6.832085289103418</v>
      </c>
      <c r="J282">
        <f>SUM('ведомствен.2014'!G529)</f>
        <v>3819.8</v>
      </c>
    </row>
    <row r="283" spans="1:10" ht="15">
      <c r="A283" s="105" t="s">
        <v>301</v>
      </c>
      <c r="B283" s="169"/>
      <c r="C283" s="120" t="s">
        <v>107</v>
      </c>
      <c r="D283" s="120" t="s">
        <v>425</v>
      </c>
      <c r="E283" s="120" t="s">
        <v>302</v>
      </c>
      <c r="F283" s="216"/>
      <c r="G283" s="182">
        <f>SUM(G284)</f>
        <v>139778.7</v>
      </c>
      <c r="H283" s="14">
        <v>56722</v>
      </c>
      <c r="I283" s="14">
        <f>SUM(H283/G294*100)</f>
        <v>109.58147226558275</v>
      </c>
      <c r="J283"/>
    </row>
    <row r="284" spans="1:10" ht="28.5">
      <c r="A284" s="105" t="s">
        <v>581</v>
      </c>
      <c r="B284" s="168"/>
      <c r="C284" s="120" t="s">
        <v>107</v>
      </c>
      <c r="D284" s="120" t="s">
        <v>425</v>
      </c>
      <c r="E284" s="120" t="s">
        <v>68</v>
      </c>
      <c r="F284" s="216"/>
      <c r="G284" s="182">
        <f>SUM(G287)</f>
        <v>139778.7</v>
      </c>
      <c r="H284" s="14" t="e">
        <f>SUM(#REF!)</f>
        <v>#REF!</v>
      </c>
      <c r="I284" s="14" t="e">
        <f>SUM(H284/G295*100)</f>
        <v>#REF!</v>
      </c>
      <c r="J284"/>
    </row>
    <row r="285" spans="1:9" s="16" customFormat="1" ht="57" hidden="1">
      <c r="A285" s="105" t="s">
        <v>199</v>
      </c>
      <c r="B285" s="168"/>
      <c r="C285" s="120" t="s">
        <v>107</v>
      </c>
      <c r="D285" s="120" t="s">
        <v>425</v>
      </c>
      <c r="E285" s="120" t="s">
        <v>201</v>
      </c>
      <c r="F285" s="216"/>
      <c r="G285" s="182">
        <f>SUM(G286)</f>
        <v>0</v>
      </c>
      <c r="H285" s="14"/>
      <c r="I285" s="14"/>
    </row>
    <row r="286" spans="1:9" s="16" customFormat="1" ht="28.5" hidden="1">
      <c r="A286" s="105" t="s">
        <v>148</v>
      </c>
      <c r="B286" s="168"/>
      <c r="C286" s="120" t="s">
        <v>107</v>
      </c>
      <c r="D286" s="120" t="s">
        <v>425</v>
      </c>
      <c r="E286" s="120" t="s">
        <v>201</v>
      </c>
      <c r="F286" s="216" t="s">
        <v>73</v>
      </c>
      <c r="G286" s="182"/>
      <c r="H286" s="14"/>
      <c r="I286" s="14"/>
    </row>
    <row r="287" spans="1:9" s="16" customFormat="1" ht="28.5">
      <c r="A287" s="105" t="s">
        <v>84</v>
      </c>
      <c r="B287" s="168"/>
      <c r="C287" s="120" t="s">
        <v>107</v>
      </c>
      <c r="D287" s="120" t="s">
        <v>425</v>
      </c>
      <c r="E287" s="120" t="s">
        <v>69</v>
      </c>
      <c r="F287" s="216"/>
      <c r="G287" s="182">
        <f>SUM(G288)</f>
        <v>139778.7</v>
      </c>
      <c r="H287" s="14"/>
      <c r="I287" s="14"/>
    </row>
    <row r="288" spans="1:10" s="16" customFormat="1" ht="28.5">
      <c r="A288" s="105" t="s">
        <v>481</v>
      </c>
      <c r="B288" s="168"/>
      <c r="C288" s="120" t="s">
        <v>107</v>
      </c>
      <c r="D288" s="120" t="s">
        <v>425</v>
      </c>
      <c r="E288" s="120" t="s">
        <v>69</v>
      </c>
      <c r="F288" s="216" t="s">
        <v>477</v>
      </c>
      <c r="G288" s="182">
        <v>139778.7</v>
      </c>
      <c r="H288" s="14"/>
      <c r="I288" s="14"/>
      <c r="J288" s="16">
        <f>SUM('ведомствен.2014'!G589+'ведомствен.2014'!G535+'ведомствен.2014'!G464)</f>
        <v>139778.7</v>
      </c>
    </row>
    <row r="289" spans="1:10" ht="15">
      <c r="A289" s="99" t="s">
        <v>304</v>
      </c>
      <c r="B289" s="161"/>
      <c r="C289" s="128" t="s">
        <v>107</v>
      </c>
      <c r="D289" s="128" t="s">
        <v>425</v>
      </c>
      <c r="E289" s="128" t="s">
        <v>305</v>
      </c>
      <c r="F289" s="142"/>
      <c r="G289" s="177">
        <f>SUM(G290)</f>
        <v>62934.4</v>
      </c>
      <c r="H289" s="14">
        <f>SUM(H290)</f>
        <v>0</v>
      </c>
      <c r="I289" s="14">
        <f>SUM(H289/G300*100)</f>
        <v>0</v>
      </c>
      <c r="J289"/>
    </row>
    <row r="290" spans="1:9" s="16" customFormat="1" ht="71.25">
      <c r="A290" s="99" t="s">
        <v>430</v>
      </c>
      <c r="B290" s="161"/>
      <c r="C290" s="128" t="s">
        <v>107</v>
      </c>
      <c r="D290" s="128" t="s">
        <v>425</v>
      </c>
      <c r="E290" s="128" t="s">
        <v>310</v>
      </c>
      <c r="F290" s="142"/>
      <c r="G290" s="177">
        <f>SUM(G291:G293)</f>
        <v>62934.4</v>
      </c>
      <c r="H290" s="14"/>
      <c r="I290" s="14"/>
    </row>
    <row r="291" spans="1:10" s="16" customFormat="1" ht="42.75">
      <c r="A291" s="99" t="s">
        <v>459</v>
      </c>
      <c r="B291" s="161"/>
      <c r="C291" s="128" t="s">
        <v>107</v>
      </c>
      <c r="D291" s="128" t="s">
        <v>425</v>
      </c>
      <c r="E291" s="128" t="s">
        <v>310</v>
      </c>
      <c r="F291" s="142" t="s">
        <v>460</v>
      </c>
      <c r="G291" s="177">
        <v>43100.8</v>
      </c>
      <c r="H291" s="14"/>
      <c r="I291" s="14"/>
      <c r="J291" s="16">
        <f>SUM('ведомствен.2014'!G343)</f>
        <v>43100.8</v>
      </c>
    </row>
    <row r="292" spans="1:10" s="16" customFormat="1" ht="15">
      <c r="A292" s="99" t="s">
        <v>464</v>
      </c>
      <c r="B292" s="161"/>
      <c r="C292" s="128" t="s">
        <v>107</v>
      </c>
      <c r="D292" s="128" t="s">
        <v>425</v>
      </c>
      <c r="E292" s="128" t="s">
        <v>310</v>
      </c>
      <c r="F292" s="142" t="s">
        <v>110</v>
      </c>
      <c r="G292" s="177">
        <v>19156.6</v>
      </c>
      <c r="H292" s="14"/>
      <c r="I292" s="14"/>
      <c r="J292" s="16">
        <f>SUM('ведомствен.2014'!G344)</f>
        <v>19156.6</v>
      </c>
    </row>
    <row r="293" spans="1:10" s="16" customFormat="1" ht="15">
      <c r="A293" s="99" t="s">
        <v>465</v>
      </c>
      <c r="B293" s="161"/>
      <c r="C293" s="128" t="s">
        <v>107</v>
      </c>
      <c r="D293" s="128" t="s">
        <v>425</v>
      </c>
      <c r="E293" s="128" t="s">
        <v>310</v>
      </c>
      <c r="F293" s="142" t="s">
        <v>165</v>
      </c>
      <c r="G293" s="177">
        <v>677</v>
      </c>
      <c r="H293" s="14"/>
      <c r="I293" s="14"/>
      <c r="J293" s="16">
        <f>SUM('ведомствен.2014'!G345)</f>
        <v>677</v>
      </c>
    </row>
    <row r="294" spans="1:9" s="16" customFormat="1" ht="15">
      <c r="A294" s="105" t="s">
        <v>311</v>
      </c>
      <c r="B294" s="169"/>
      <c r="C294" s="120" t="s">
        <v>107</v>
      </c>
      <c r="D294" s="120" t="s">
        <v>425</v>
      </c>
      <c r="E294" s="120" t="s">
        <v>312</v>
      </c>
      <c r="F294" s="216"/>
      <c r="G294" s="182">
        <f>SUM(G295)</f>
        <v>51762.4</v>
      </c>
      <c r="H294" s="14"/>
      <c r="I294" s="14"/>
    </row>
    <row r="295" spans="1:9" s="16" customFormat="1" ht="28.5">
      <c r="A295" s="105" t="s">
        <v>47</v>
      </c>
      <c r="B295" s="168"/>
      <c r="C295" s="120" t="s">
        <v>107</v>
      </c>
      <c r="D295" s="120" t="s">
        <v>425</v>
      </c>
      <c r="E295" s="120" t="s">
        <v>313</v>
      </c>
      <c r="F295" s="216"/>
      <c r="G295" s="182">
        <f>SUM(G296+G297+G298+G299)</f>
        <v>51762.4</v>
      </c>
      <c r="H295" s="14"/>
      <c r="I295" s="14"/>
    </row>
    <row r="296" spans="1:10" s="16" customFormat="1" ht="42.75">
      <c r="A296" s="105" t="s">
        <v>459</v>
      </c>
      <c r="B296" s="168"/>
      <c r="C296" s="120" t="s">
        <v>107</v>
      </c>
      <c r="D296" s="120" t="s">
        <v>425</v>
      </c>
      <c r="E296" s="120" t="s">
        <v>252</v>
      </c>
      <c r="F296" s="216" t="s">
        <v>460</v>
      </c>
      <c r="G296" s="182">
        <v>1915.1</v>
      </c>
      <c r="H296" s="14"/>
      <c r="I296" s="14"/>
      <c r="J296" s="16">
        <f>SUM('ведомствен.2014'!G538)</f>
        <v>1915.1</v>
      </c>
    </row>
    <row r="297" spans="1:10" s="16" customFormat="1" ht="15">
      <c r="A297" s="105" t="s">
        <v>464</v>
      </c>
      <c r="B297" s="168"/>
      <c r="C297" s="120" t="s">
        <v>107</v>
      </c>
      <c r="D297" s="120" t="s">
        <v>425</v>
      </c>
      <c r="E297" s="120" t="s">
        <v>252</v>
      </c>
      <c r="F297" s="216" t="s">
        <v>110</v>
      </c>
      <c r="G297" s="182">
        <v>3101.9</v>
      </c>
      <c r="H297" s="14"/>
      <c r="I297" s="14" t="e">
        <f>SUM(H297/#REF!*100)</f>
        <v>#REF!</v>
      </c>
      <c r="J297" s="16">
        <f>SUM('ведомствен.2014'!G539)</f>
        <v>3101.9</v>
      </c>
    </row>
    <row r="298" spans="1:10" ht="15">
      <c r="A298" s="105" t="s">
        <v>465</v>
      </c>
      <c r="B298" s="168"/>
      <c r="C298" s="120" t="s">
        <v>107</v>
      </c>
      <c r="D298" s="120" t="s">
        <v>425</v>
      </c>
      <c r="E298" s="120" t="s">
        <v>252</v>
      </c>
      <c r="F298" s="216" t="s">
        <v>165</v>
      </c>
      <c r="G298" s="182">
        <v>1218</v>
      </c>
      <c r="H298" s="14"/>
      <c r="I298" s="14"/>
      <c r="J298" s="16">
        <f>SUM('ведомствен.2014'!G540)</f>
        <v>1218</v>
      </c>
    </row>
    <row r="299" spans="1:10" ht="99.75">
      <c r="A299" s="105" t="s">
        <v>587</v>
      </c>
      <c r="B299" s="168"/>
      <c r="C299" s="120" t="s">
        <v>107</v>
      </c>
      <c r="D299" s="120" t="s">
        <v>425</v>
      </c>
      <c r="E299" s="120" t="s">
        <v>314</v>
      </c>
      <c r="F299" s="216"/>
      <c r="G299" s="182">
        <f>SUM(G300+G301)</f>
        <v>45527.4</v>
      </c>
      <c r="H299" s="14"/>
      <c r="I299" s="14"/>
      <c r="J299" s="16"/>
    </row>
    <row r="300" spans="1:12" s="25" customFormat="1" ht="42.75">
      <c r="A300" s="105" t="s">
        <v>459</v>
      </c>
      <c r="B300" s="168"/>
      <c r="C300" s="120" t="s">
        <v>107</v>
      </c>
      <c r="D300" s="120" t="s">
        <v>425</v>
      </c>
      <c r="E300" s="120" t="s">
        <v>314</v>
      </c>
      <c r="F300" s="216" t="s">
        <v>460</v>
      </c>
      <c r="G300" s="182">
        <v>33584</v>
      </c>
      <c r="H300" s="14" t="e">
        <f>SUM(H302+#REF!+#REF!+#REF!)+#REF!+#REF!+#REF!+#REF!+#REF!+#REF!</f>
        <v>#REF!</v>
      </c>
      <c r="I300" s="14" t="e">
        <f>SUM(H300/G302*100)</f>
        <v>#REF!</v>
      </c>
      <c r="J300" s="16">
        <f>SUM('ведомствен.2014'!G542)</f>
        <v>33584</v>
      </c>
      <c r="L300" s="25">
        <f>SUM(J302:J334)</f>
        <v>34263.4</v>
      </c>
    </row>
    <row r="301" spans="1:10" ht="15">
      <c r="A301" s="105" t="s">
        <v>464</v>
      </c>
      <c r="B301" s="168"/>
      <c r="C301" s="120" t="s">
        <v>107</v>
      </c>
      <c r="D301" s="120" t="s">
        <v>425</v>
      </c>
      <c r="E301" s="120" t="s">
        <v>314</v>
      </c>
      <c r="F301" s="216" t="s">
        <v>110</v>
      </c>
      <c r="G301" s="182">
        <v>11943.4</v>
      </c>
      <c r="H301" s="14"/>
      <c r="I301" s="14" t="e">
        <f>SUM(H301/G307*100)</f>
        <v>#DIV/0!</v>
      </c>
      <c r="J301" s="16">
        <f>SUM('ведомствен.2014'!G543)</f>
        <v>11943.4</v>
      </c>
    </row>
    <row r="302" spans="1:9" s="25" customFormat="1" ht="15">
      <c r="A302" s="105" t="s">
        <v>315</v>
      </c>
      <c r="B302" s="169"/>
      <c r="C302" s="120" t="s">
        <v>107</v>
      </c>
      <c r="D302" s="120" t="s">
        <v>425</v>
      </c>
      <c r="E302" s="120" t="s">
        <v>316</v>
      </c>
      <c r="F302" s="216"/>
      <c r="G302" s="182">
        <f>G303</f>
        <v>6181.3</v>
      </c>
      <c r="H302" s="14" t="e">
        <f>SUM(H318)</f>
        <v>#REF!</v>
      </c>
      <c r="I302" s="14" t="e">
        <f>SUM(H302/G308*100)</f>
        <v>#REF!</v>
      </c>
    </row>
    <row r="303" spans="1:9" s="25" customFormat="1" ht="15">
      <c r="A303" s="105" t="s">
        <v>222</v>
      </c>
      <c r="B303" s="169"/>
      <c r="C303" s="120" t="s">
        <v>107</v>
      </c>
      <c r="D303" s="120" t="s">
        <v>425</v>
      </c>
      <c r="E303" s="120" t="s">
        <v>282</v>
      </c>
      <c r="F303" s="216"/>
      <c r="G303" s="182">
        <f>G304</f>
        <v>6181.3</v>
      </c>
      <c r="H303" s="14"/>
      <c r="I303" s="14"/>
    </row>
    <row r="304" spans="1:10" ht="57">
      <c r="A304" s="105" t="s">
        <v>588</v>
      </c>
      <c r="B304" s="169"/>
      <c r="C304" s="120" t="s">
        <v>107</v>
      </c>
      <c r="D304" s="120" t="s">
        <v>425</v>
      </c>
      <c r="E304" s="120" t="s">
        <v>277</v>
      </c>
      <c r="F304" s="216"/>
      <c r="G304" s="182">
        <f>G305</f>
        <v>6181.3</v>
      </c>
      <c r="H304" s="14"/>
      <c r="I304" s="14"/>
      <c r="J304"/>
    </row>
    <row r="305" spans="1:10" ht="28.5">
      <c r="A305" s="105" t="s">
        <v>481</v>
      </c>
      <c r="B305" s="169"/>
      <c r="C305" s="120" t="s">
        <v>107</v>
      </c>
      <c r="D305" s="120" t="s">
        <v>425</v>
      </c>
      <c r="E305" s="120" t="s">
        <v>277</v>
      </c>
      <c r="F305" s="216" t="s">
        <v>477</v>
      </c>
      <c r="G305" s="182">
        <v>6181.3</v>
      </c>
      <c r="H305" s="14"/>
      <c r="I305" s="14"/>
      <c r="J305">
        <f>SUM('ведомствен.2014'!G547)</f>
        <v>6181.3</v>
      </c>
    </row>
    <row r="306" spans="1:9" s="25" customFormat="1" ht="15">
      <c r="A306" s="105" t="s">
        <v>108</v>
      </c>
      <c r="B306" s="169"/>
      <c r="C306" s="120" t="s">
        <v>107</v>
      </c>
      <c r="D306" s="120" t="s">
        <v>107</v>
      </c>
      <c r="E306" s="120"/>
      <c r="F306" s="216"/>
      <c r="G306" s="182">
        <f>SUM(G311+G318+G307+G323)</f>
        <v>3146.1</v>
      </c>
      <c r="H306" s="14"/>
      <c r="I306" s="14"/>
    </row>
    <row r="307" spans="1:9" s="25" customFormat="1" ht="15" hidden="1">
      <c r="A307" s="105" t="s">
        <v>371</v>
      </c>
      <c r="B307" s="169"/>
      <c r="C307" s="120" t="s">
        <v>107</v>
      </c>
      <c r="D307" s="120" t="s">
        <v>107</v>
      </c>
      <c r="E307" s="120" t="s">
        <v>373</v>
      </c>
      <c r="F307" s="216"/>
      <c r="G307" s="182">
        <f>SUM(G308)</f>
        <v>0</v>
      </c>
      <c r="H307" s="14"/>
      <c r="I307" s="14"/>
    </row>
    <row r="308" spans="1:9" s="25" customFormat="1" ht="15" hidden="1">
      <c r="A308" s="105" t="s">
        <v>351</v>
      </c>
      <c r="B308" s="169"/>
      <c r="C308" s="120" t="s">
        <v>107</v>
      </c>
      <c r="D308" s="120" t="s">
        <v>107</v>
      </c>
      <c r="E308" s="120" t="s">
        <v>352</v>
      </c>
      <c r="F308" s="216"/>
      <c r="G308" s="182">
        <f>SUM(G309+G310)</f>
        <v>0</v>
      </c>
      <c r="H308" s="14"/>
      <c r="I308" s="14"/>
    </row>
    <row r="309" spans="1:9" s="16" customFormat="1" ht="15" hidden="1">
      <c r="A309" s="105" t="s">
        <v>234</v>
      </c>
      <c r="B309" s="169"/>
      <c r="C309" s="120" t="s">
        <v>107</v>
      </c>
      <c r="D309" s="120" t="s">
        <v>107</v>
      </c>
      <c r="E309" s="120" t="s">
        <v>352</v>
      </c>
      <c r="F309" s="216" t="s">
        <v>235</v>
      </c>
      <c r="G309" s="182"/>
      <c r="H309" s="14"/>
      <c r="I309" s="14"/>
    </row>
    <row r="310" spans="1:9" s="16" customFormat="1" ht="15" hidden="1">
      <c r="A310" s="105" t="s">
        <v>213</v>
      </c>
      <c r="B310" s="169"/>
      <c r="C310" s="120" t="s">
        <v>107</v>
      </c>
      <c r="D310" s="120" t="s">
        <v>107</v>
      </c>
      <c r="E310" s="120" t="s">
        <v>352</v>
      </c>
      <c r="F310" s="216" t="s">
        <v>214</v>
      </c>
      <c r="G310" s="182"/>
      <c r="H310" s="14"/>
      <c r="I310" s="14"/>
    </row>
    <row r="311" spans="1:9" s="16" customFormat="1" ht="15">
      <c r="A311" s="105" t="s">
        <v>215</v>
      </c>
      <c r="B311" s="169"/>
      <c r="C311" s="120" t="s">
        <v>107</v>
      </c>
      <c r="D311" s="120" t="s">
        <v>107</v>
      </c>
      <c r="E311" s="120" t="s">
        <v>216</v>
      </c>
      <c r="F311" s="216"/>
      <c r="G311" s="182">
        <f>SUM(G314+G312)</f>
        <v>1249.1999999999998</v>
      </c>
      <c r="H311" s="14"/>
      <c r="I311" s="14"/>
    </row>
    <row r="312" spans="1:9" s="16" customFormat="1" ht="42.75" hidden="1">
      <c r="A312" s="105" t="s">
        <v>245</v>
      </c>
      <c r="B312" s="169"/>
      <c r="C312" s="120" t="s">
        <v>107</v>
      </c>
      <c r="D312" s="120" t="s">
        <v>107</v>
      </c>
      <c r="E312" s="120" t="s">
        <v>202</v>
      </c>
      <c r="F312" s="216"/>
      <c r="G312" s="182"/>
      <c r="H312" s="14"/>
      <c r="I312" s="14"/>
    </row>
    <row r="313" spans="1:10" ht="15" hidden="1">
      <c r="A313" s="105" t="s">
        <v>48</v>
      </c>
      <c r="B313" s="169"/>
      <c r="C313" s="120" t="s">
        <v>107</v>
      </c>
      <c r="D313" s="120" t="s">
        <v>107</v>
      </c>
      <c r="E313" s="120" t="s">
        <v>202</v>
      </c>
      <c r="F313" s="216"/>
      <c r="G313" s="182"/>
      <c r="H313" s="14"/>
      <c r="I313" s="14"/>
      <c r="J313"/>
    </row>
    <row r="314" spans="1:10" ht="28.5">
      <c r="A314" s="105" t="s">
        <v>47</v>
      </c>
      <c r="B314" s="169"/>
      <c r="C314" s="120" t="s">
        <v>107</v>
      </c>
      <c r="D314" s="120" t="s">
        <v>107</v>
      </c>
      <c r="E314" s="120" t="s">
        <v>219</v>
      </c>
      <c r="F314" s="216"/>
      <c r="G314" s="182">
        <f>SUM(G315+G316+G317)</f>
        <v>1249.1999999999998</v>
      </c>
      <c r="H314" s="14"/>
      <c r="I314" s="14"/>
      <c r="J314"/>
    </row>
    <row r="315" spans="1:10" s="25" customFormat="1" ht="42.75">
      <c r="A315" s="105" t="s">
        <v>459</v>
      </c>
      <c r="B315" s="169"/>
      <c r="C315" s="120" t="s">
        <v>107</v>
      </c>
      <c r="D315" s="120" t="s">
        <v>107</v>
      </c>
      <c r="E315" s="120" t="s">
        <v>219</v>
      </c>
      <c r="F315" s="216" t="s">
        <v>460</v>
      </c>
      <c r="G315" s="182">
        <v>1089.6</v>
      </c>
      <c r="H315" s="14"/>
      <c r="I315" s="14"/>
      <c r="J315">
        <f>SUM('ведомствен.2014'!G557)</f>
        <v>1089.6</v>
      </c>
    </row>
    <row r="316" spans="1:10" ht="15">
      <c r="A316" s="105" t="s">
        <v>464</v>
      </c>
      <c r="B316" s="169"/>
      <c r="C316" s="120" t="s">
        <v>107</v>
      </c>
      <c r="D316" s="120" t="s">
        <v>107</v>
      </c>
      <c r="E316" s="120" t="s">
        <v>219</v>
      </c>
      <c r="F316" s="216" t="s">
        <v>110</v>
      </c>
      <c r="G316" s="182">
        <v>147.8</v>
      </c>
      <c r="H316" s="14"/>
      <c r="I316" s="14"/>
      <c r="J316" s="58">
        <f>SUM('ведомствен.2014'!G558)</f>
        <v>147.8</v>
      </c>
    </row>
    <row r="317" spans="1:10" s="25" customFormat="1" ht="15">
      <c r="A317" s="105" t="s">
        <v>465</v>
      </c>
      <c r="B317" s="169"/>
      <c r="C317" s="120" t="s">
        <v>107</v>
      </c>
      <c r="D317" s="120" t="s">
        <v>107</v>
      </c>
      <c r="E317" s="120" t="s">
        <v>219</v>
      </c>
      <c r="F317" s="216" t="s">
        <v>165</v>
      </c>
      <c r="G317" s="182">
        <v>11.8</v>
      </c>
      <c r="H317" s="14"/>
      <c r="I317" s="14"/>
      <c r="J317" s="58">
        <f>SUM('ведомствен.2014'!G559)</f>
        <v>11.8</v>
      </c>
    </row>
    <row r="318" spans="1:9" s="25" customFormat="1" ht="28.5">
      <c r="A318" s="115" t="s">
        <v>220</v>
      </c>
      <c r="B318" s="169"/>
      <c r="C318" s="120" t="s">
        <v>107</v>
      </c>
      <c r="D318" s="120" t="s">
        <v>107</v>
      </c>
      <c r="E318" s="120" t="s">
        <v>109</v>
      </c>
      <c r="F318" s="216"/>
      <c r="G318" s="182">
        <f>SUM(G319)</f>
        <v>1500</v>
      </c>
      <c r="H318" s="14" t="e">
        <f>SUM(H319+H326+H328+H332+#REF!+H322+H324)+#REF!</f>
        <v>#REF!</v>
      </c>
      <c r="I318" s="14" t="e">
        <f aca="true" t="shared" si="8" ref="I318:I328">SUM(H318/G324*100)</f>
        <v>#REF!</v>
      </c>
    </row>
    <row r="319" spans="1:9" s="25" customFormat="1" ht="42.75">
      <c r="A319" s="115" t="s">
        <v>80</v>
      </c>
      <c r="B319" s="169"/>
      <c r="C319" s="120" t="s">
        <v>107</v>
      </c>
      <c r="D319" s="120" t="s">
        <v>107</v>
      </c>
      <c r="E319" s="120" t="s">
        <v>81</v>
      </c>
      <c r="F319" s="216"/>
      <c r="G319" s="182">
        <f>SUM(G320)</f>
        <v>1500</v>
      </c>
      <c r="H319" s="14">
        <v>53118.9</v>
      </c>
      <c r="I319" s="14">
        <f t="shared" si="8"/>
        <v>13383.446712018142</v>
      </c>
    </row>
    <row r="320" spans="1:9" s="25" customFormat="1" ht="42.75">
      <c r="A320" s="115" t="s">
        <v>82</v>
      </c>
      <c r="B320" s="169"/>
      <c r="C320" s="120" t="s">
        <v>107</v>
      </c>
      <c r="D320" s="120" t="s">
        <v>107</v>
      </c>
      <c r="E320" s="120" t="s">
        <v>83</v>
      </c>
      <c r="F320" s="216"/>
      <c r="G320" s="182">
        <f>SUM(G321:G322)</f>
        <v>1500</v>
      </c>
      <c r="H320" s="14"/>
      <c r="I320" s="14">
        <f t="shared" si="8"/>
        <v>0</v>
      </c>
    </row>
    <row r="321" spans="1:9" s="25" customFormat="1" ht="15">
      <c r="A321" s="105" t="s">
        <v>48</v>
      </c>
      <c r="B321" s="169"/>
      <c r="C321" s="120" t="s">
        <v>107</v>
      </c>
      <c r="D321" s="120" t="s">
        <v>107</v>
      </c>
      <c r="E321" s="120" t="s">
        <v>83</v>
      </c>
      <c r="F321" s="216"/>
      <c r="G321" s="182"/>
      <c r="H321" s="14"/>
      <c r="I321" s="14">
        <f t="shared" si="8"/>
        <v>0</v>
      </c>
    </row>
    <row r="322" spans="1:10" s="25" customFormat="1" ht="15">
      <c r="A322" s="105" t="s">
        <v>464</v>
      </c>
      <c r="B322" s="169"/>
      <c r="C322" s="120" t="s">
        <v>107</v>
      </c>
      <c r="D322" s="120" t="s">
        <v>107</v>
      </c>
      <c r="E322" s="120" t="s">
        <v>83</v>
      </c>
      <c r="F322" s="216" t="s">
        <v>110</v>
      </c>
      <c r="G322" s="182">
        <v>1500</v>
      </c>
      <c r="H322" s="14">
        <f>SUM(H323)</f>
        <v>392.5</v>
      </c>
      <c r="I322" s="14">
        <f t="shared" si="8"/>
        <v>1.5931969475564214</v>
      </c>
      <c r="J322" s="58">
        <f>SUM('ведомствен.2014'!G564)</f>
        <v>1500</v>
      </c>
    </row>
    <row r="323" spans="1:9" s="25" customFormat="1" ht="15">
      <c r="A323" s="105" t="s">
        <v>568</v>
      </c>
      <c r="B323" s="170"/>
      <c r="C323" s="120" t="s">
        <v>107</v>
      </c>
      <c r="D323" s="120" t="s">
        <v>107</v>
      </c>
      <c r="E323" s="120" t="s">
        <v>119</v>
      </c>
      <c r="F323" s="216"/>
      <c r="G323" s="182">
        <f>SUM(G324)</f>
        <v>396.9</v>
      </c>
      <c r="H323" s="14">
        <v>392.5</v>
      </c>
      <c r="I323" s="14">
        <f t="shared" si="8"/>
        <v>1.857425442706115</v>
      </c>
    </row>
    <row r="324" spans="1:9" s="25" customFormat="1" ht="28.5">
      <c r="A324" s="174" t="s">
        <v>589</v>
      </c>
      <c r="B324" s="170"/>
      <c r="C324" s="120" t="s">
        <v>107</v>
      </c>
      <c r="D324" s="120" t="s">
        <v>107</v>
      </c>
      <c r="E324" s="120" t="s">
        <v>87</v>
      </c>
      <c r="F324" s="216"/>
      <c r="G324" s="183">
        <f>SUM(G325)</f>
        <v>396.9</v>
      </c>
      <c r="H324" s="14">
        <f>SUM(H325)</f>
        <v>0</v>
      </c>
      <c r="I324" s="14">
        <f t="shared" si="8"/>
        <v>0</v>
      </c>
    </row>
    <row r="325" spans="1:10" s="25" customFormat="1" ht="15">
      <c r="A325" s="105" t="s">
        <v>464</v>
      </c>
      <c r="B325" s="170"/>
      <c r="C325" s="120" t="s">
        <v>107</v>
      </c>
      <c r="D325" s="120" t="s">
        <v>107</v>
      </c>
      <c r="E325" s="120" t="s">
        <v>87</v>
      </c>
      <c r="F325" s="216" t="s">
        <v>110</v>
      </c>
      <c r="G325" s="183">
        <v>396.9</v>
      </c>
      <c r="H325" s="14"/>
      <c r="I325" s="14">
        <f t="shared" si="8"/>
        <v>0</v>
      </c>
      <c r="J325" s="58">
        <f>SUM('ведомствен.2014'!G567)</f>
        <v>396.9</v>
      </c>
    </row>
    <row r="326" spans="1:9" s="25" customFormat="1" ht="15">
      <c r="A326" s="105" t="s">
        <v>221</v>
      </c>
      <c r="B326" s="169"/>
      <c r="C326" s="120" t="s">
        <v>107</v>
      </c>
      <c r="D326" s="120" t="s">
        <v>288</v>
      </c>
      <c r="E326" s="120"/>
      <c r="F326" s="216"/>
      <c r="G326" s="182">
        <f>G327+G332</f>
        <v>24936.000000000004</v>
      </c>
      <c r="H326" s="14">
        <f>SUM(H327)</f>
        <v>5014</v>
      </c>
      <c r="I326" s="14">
        <f t="shared" si="8"/>
        <v>1671.3333333333335</v>
      </c>
    </row>
    <row r="327" spans="1:9" s="25" customFormat="1" ht="57">
      <c r="A327" s="115" t="s">
        <v>278</v>
      </c>
      <c r="B327" s="169"/>
      <c r="C327" s="120" t="s">
        <v>107</v>
      </c>
      <c r="D327" s="120" t="s">
        <v>288</v>
      </c>
      <c r="E327" s="120" t="s">
        <v>279</v>
      </c>
      <c r="F327" s="216"/>
      <c r="G327" s="182">
        <f>SUM(G328)</f>
        <v>24636.000000000004</v>
      </c>
      <c r="H327" s="14">
        <v>5014</v>
      </c>
      <c r="I327" s="14">
        <f t="shared" si="8"/>
        <v>1671.3333333333335</v>
      </c>
    </row>
    <row r="328" spans="1:10" ht="28.5">
      <c r="A328" s="105" t="s">
        <v>47</v>
      </c>
      <c r="B328" s="169"/>
      <c r="C328" s="120" t="s">
        <v>107</v>
      </c>
      <c r="D328" s="120" t="s">
        <v>288</v>
      </c>
      <c r="E328" s="120" t="s">
        <v>280</v>
      </c>
      <c r="F328" s="216"/>
      <c r="G328" s="182">
        <f>SUM(G329+G330+G331)</f>
        <v>24636.000000000004</v>
      </c>
      <c r="H328" s="14">
        <f>SUM(H329)</f>
        <v>0</v>
      </c>
      <c r="I328" s="14">
        <f t="shared" si="8"/>
        <v>0</v>
      </c>
      <c r="J328"/>
    </row>
    <row r="329" spans="1:10" s="25" customFormat="1" ht="42.75">
      <c r="A329" s="105" t="s">
        <v>459</v>
      </c>
      <c r="B329" s="169"/>
      <c r="C329" s="120" t="s">
        <v>107</v>
      </c>
      <c r="D329" s="120" t="s">
        <v>288</v>
      </c>
      <c r="E329" s="120" t="s">
        <v>280</v>
      </c>
      <c r="F329" s="216" t="s">
        <v>460</v>
      </c>
      <c r="G329" s="182">
        <v>21131.4</v>
      </c>
      <c r="H329" s="14"/>
      <c r="I329" s="14" t="e">
        <f>SUM(H329/#REF!*100)</f>
        <v>#REF!</v>
      </c>
      <c r="J329" s="58">
        <f>SUM('ведомствен.2014'!G571)</f>
        <v>21131.4</v>
      </c>
    </row>
    <row r="330" spans="1:10" ht="15">
      <c r="A330" s="105" t="s">
        <v>464</v>
      </c>
      <c r="B330" s="170"/>
      <c r="C330" s="120" t="s">
        <v>107</v>
      </c>
      <c r="D330" s="120" t="s">
        <v>288</v>
      </c>
      <c r="E330" s="120" t="s">
        <v>280</v>
      </c>
      <c r="F330" s="216" t="s">
        <v>110</v>
      </c>
      <c r="G330" s="182">
        <v>3101.2</v>
      </c>
      <c r="H330" s="14">
        <f>SUM(H331)</f>
        <v>0</v>
      </c>
      <c r="I330" s="14" t="e">
        <f>SUM(H330/#REF!*100)</f>
        <v>#REF!</v>
      </c>
      <c r="J330" s="58">
        <f>SUM('ведомствен.2014'!G572)</f>
        <v>3101.2</v>
      </c>
    </row>
    <row r="331" spans="1:10" ht="15">
      <c r="A331" s="105" t="s">
        <v>465</v>
      </c>
      <c r="B331" s="169"/>
      <c r="C331" s="120" t="s">
        <v>107</v>
      </c>
      <c r="D331" s="120" t="s">
        <v>288</v>
      </c>
      <c r="E331" s="120" t="s">
        <v>280</v>
      </c>
      <c r="F331" s="216" t="s">
        <v>165</v>
      </c>
      <c r="G331" s="182">
        <v>403.4</v>
      </c>
      <c r="H331" s="14"/>
      <c r="I331" s="14" t="e">
        <f>SUM(H331/#REF!*100)</f>
        <v>#REF!</v>
      </c>
      <c r="J331" s="58">
        <f>SUM('ведомствен.2014'!G573)</f>
        <v>403.4</v>
      </c>
    </row>
    <row r="332" spans="1:10" ht="15">
      <c r="A332" s="103" t="s">
        <v>517</v>
      </c>
      <c r="B332" s="150"/>
      <c r="C332" s="129" t="s">
        <v>107</v>
      </c>
      <c r="D332" s="129" t="s">
        <v>288</v>
      </c>
      <c r="E332" s="206" t="s">
        <v>119</v>
      </c>
      <c r="F332" s="147"/>
      <c r="G332" s="175">
        <f>SUM(G333)</f>
        <v>300</v>
      </c>
      <c r="H332" s="14">
        <f>SUM(H333)</f>
        <v>454</v>
      </c>
      <c r="I332" s="14" t="e">
        <f>SUM(H332/#REF!*100)</f>
        <v>#REF!</v>
      </c>
      <c r="J332"/>
    </row>
    <row r="333" spans="1:9" s="25" customFormat="1" ht="28.5">
      <c r="A333" s="106" t="s">
        <v>518</v>
      </c>
      <c r="B333" s="150"/>
      <c r="C333" s="129" t="s">
        <v>107</v>
      </c>
      <c r="D333" s="129" t="s">
        <v>288</v>
      </c>
      <c r="E333" s="129" t="s">
        <v>44</v>
      </c>
      <c r="F333" s="147"/>
      <c r="G333" s="175">
        <f>G334</f>
        <v>300</v>
      </c>
      <c r="H333" s="14">
        <v>454</v>
      </c>
      <c r="I333" s="14" t="e">
        <f>SUM(H333/#REF!*100)</f>
        <v>#REF!</v>
      </c>
    </row>
    <row r="334" spans="1:10" ht="28.5">
      <c r="A334" s="103" t="s">
        <v>536</v>
      </c>
      <c r="B334" s="150"/>
      <c r="C334" s="129" t="s">
        <v>107</v>
      </c>
      <c r="D334" s="129" t="s">
        <v>288</v>
      </c>
      <c r="E334" s="129" t="s">
        <v>532</v>
      </c>
      <c r="F334" s="147" t="s">
        <v>528</v>
      </c>
      <c r="G334" s="175">
        <v>300</v>
      </c>
      <c r="H334" s="14"/>
      <c r="I334" s="14" t="e">
        <f>SUM(H334/#REF!*100)</f>
        <v>#REF!</v>
      </c>
      <c r="J334">
        <f>SUM('ведомствен.2014'!G260)</f>
        <v>300</v>
      </c>
    </row>
    <row r="335" spans="1:12" ht="15">
      <c r="A335" s="102" t="s">
        <v>309</v>
      </c>
      <c r="B335" s="164"/>
      <c r="C335" s="131" t="s">
        <v>114</v>
      </c>
      <c r="D335" s="131"/>
      <c r="E335" s="131"/>
      <c r="F335" s="146"/>
      <c r="G335" s="184">
        <f>SUM(G336+G384)</f>
        <v>98380.4</v>
      </c>
      <c r="H335" s="14">
        <f>SUM(H348:H349)</f>
        <v>14679.5</v>
      </c>
      <c r="I335" s="14" t="e">
        <f>SUM(H335/G346*100)</f>
        <v>#DIV/0!</v>
      </c>
      <c r="J335"/>
      <c r="K335">
        <f>SUM(J336:J405)</f>
        <v>98380.4</v>
      </c>
      <c r="L335">
        <f>SUM('ведомствен.2014'!G613)</f>
        <v>98380.4</v>
      </c>
    </row>
    <row r="336" spans="1:10" ht="15">
      <c r="A336" s="99" t="s">
        <v>331</v>
      </c>
      <c r="B336" s="161"/>
      <c r="C336" s="128" t="s">
        <v>114</v>
      </c>
      <c r="D336" s="128" t="s">
        <v>423</v>
      </c>
      <c r="E336" s="128"/>
      <c r="F336" s="143"/>
      <c r="G336" s="177">
        <f>SUM(G337+G360+G369)</f>
        <v>90179.9</v>
      </c>
      <c r="H336" s="14"/>
      <c r="I336" s="14"/>
      <c r="J336"/>
    </row>
    <row r="337" spans="1:10" ht="28.5">
      <c r="A337" s="103" t="s">
        <v>574</v>
      </c>
      <c r="B337" s="161"/>
      <c r="C337" s="128" t="s">
        <v>114</v>
      </c>
      <c r="D337" s="128" t="s">
        <v>423</v>
      </c>
      <c r="E337" s="128" t="s">
        <v>126</v>
      </c>
      <c r="F337" s="143"/>
      <c r="G337" s="177">
        <f>SUM(G338+G341)</f>
        <v>49937.899999999994</v>
      </c>
      <c r="H337" s="14"/>
      <c r="I337" s="14"/>
      <c r="J337"/>
    </row>
    <row r="338" spans="1:10" ht="28.5">
      <c r="A338" s="99" t="s">
        <v>11</v>
      </c>
      <c r="B338" s="164"/>
      <c r="C338" s="128" t="s">
        <v>114</v>
      </c>
      <c r="D338" s="128" t="s">
        <v>423</v>
      </c>
      <c r="E338" s="128" t="s">
        <v>192</v>
      </c>
      <c r="F338" s="143"/>
      <c r="G338" s="177">
        <f>SUM(G339)</f>
        <v>31956.2</v>
      </c>
      <c r="H338" s="14"/>
      <c r="I338" s="14"/>
      <c r="J338"/>
    </row>
    <row r="339" spans="1:10" ht="28.5">
      <c r="A339" s="99" t="s">
        <v>84</v>
      </c>
      <c r="B339" s="164"/>
      <c r="C339" s="128" t="s">
        <v>114</v>
      </c>
      <c r="D339" s="128" t="s">
        <v>423</v>
      </c>
      <c r="E339" s="128" t="s">
        <v>194</v>
      </c>
      <c r="F339" s="143"/>
      <c r="G339" s="177">
        <f>SUM(G340)</f>
        <v>31956.2</v>
      </c>
      <c r="H339" s="14"/>
      <c r="I339" s="14"/>
      <c r="J339"/>
    </row>
    <row r="340" spans="1:10" ht="28.5">
      <c r="A340" s="105" t="s">
        <v>481</v>
      </c>
      <c r="B340" s="168"/>
      <c r="C340" s="128" t="s">
        <v>114</v>
      </c>
      <c r="D340" s="128" t="s">
        <v>423</v>
      </c>
      <c r="E340" s="128" t="s">
        <v>194</v>
      </c>
      <c r="F340" s="144" t="s">
        <v>477</v>
      </c>
      <c r="G340" s="177">
        <v>31956.2</v>
      </c>
      <c r="H340" s="14"/>
      <c r="I340" s="14"/>
      <c r="J340">
        <f>SUM('ведомствен.2014'!G618)</f>
        <v>31956.2</v>
      </c>
    </row>
    <row r="341" spans="1:10" ht="28.5">
      <c r="A341" s="99" t="s">
        <v>47</v>
      </c>
      <c r="B341" s="168"/>
      <c r="C341" s="128" t="s">
        <v>114</v>
      </c>
      <c r="D341" s="128" t="s">
        <v>423</v>
      </c>
      <c r="E341" s="128" t="s">
        <v>127</v>
      </c>
      <c r="F341" s="144"/>
      <c r="G341" s="177">
        <f>SUM(G342:G344)</f>
        <v>17981.699999999997</v>
      </c>
      <c r="H341" s="14"/>
      <c r="I341" s="14"/>
      <c r="J341"/>
    </row>
    <row r="342" spans="1:10" ht="42.75">
      <c r="A342" s="99" t="s">
        <v>459</v>
      </c>
      <c r="B342" s="161"/>
      <c r="C342" s="128" t="s">
        <v>114</v>
      </c>
      <c r="D342" s="128" t="s">
        <v>423</v>
      </c>
      <c r="E342" s="128" t="s">
        <v>127</v>
      </c>
      <c r="F342" s="142" t="s">
        <v>460</v>
      </c>
      <c r="G342" s="177">
        <v>14345.1</v>
      </c>
      <c r="H342" s="14"/>
      <c r="I342" s="14"/>
      <c r="J342">
        <f>SUM('ведомствен.2014'!G620)</f>
        <v>14345.1</v>
      </c>
    </row>
    <row r="343" spans="1:10" ht="15">
      <c r="A343" s="99" t="s">
        <v>464</v>
      </c>
      <c r="B343" s="161"/>
      <c r="C343" s="128" t="s">
        <v>114</v>
      </c>
      <c r="D343" s="128" t="s">
        <v>423</v>
      </c>
      <c r="E343" s="128" t="s">
        <v>127</v>
      </c>
      <c r="F343" s="142" t="s">
        <v>110</v>
      </c>
      <c r="G343" s="178">
        <v>3385</v>
      </c>
      <c r="H343" s="14"/>
      <c r="I343" s="14"/>
      <c r="J343">
        <f>SUM('ведомствен.2014'!G621)</f>
        <v>3385</v>
      </c>
    </row>
    <row r="344" spans="1:10" ht="15">
      <c r="A344" s="99" t="s">
        <v>465</v>
      </c>
      <c r="B344" s="161"/>
      <c r="C344" s="128" t="s">
        <v>114</v>
      </c>
      <c r="D344" s="128" t="s">
        <v>423</v>
      </c>
      <c r="E344" s="128" t="s">
        <v>127</v>
      </c>
      <c r="F344" s="143" t="s">
        <v>165</v>
      </c>
      <c r="G344" s="177">
        <v>251.6</v>
      </c>
      <c r="H344" s="14"/>
      <c r="I344" s="14"/>
      <c r="J344">
        <f>SUM('ведомствен.2014'!G622)</f>
        <v>251.6</v>
      </c>
    </row>
    <row r="345" spans="1:9" ht="28.5" hidden="1">
      <c r="A345" s="99" t="s">
        <v>85</v>
      </c>
      <c r="B345" s="164"/>
      <c r="C345" s="128" t="s">
        <v>114</v>
      </c>
      <c r="D345" s="128" t="s">
        <v>423</v>
      </c>
      <c r="E345" s="128" t="s">
        <v>192</v>
      </c>
      <c r="F345" s="143"/>
      <c r="G345" s="177">
        <f>SUM(G346+G348)</f>
        <v>0</v>
      </c>
      <c r="H345" s="14"/>
      <c r="I345" s="14"/>
    </row>
    <row r="346" spans="1:10" ht="28.5" hidden="1">
      <c r="A346" s="99" t="s">
        <v>193</v>
      </c>
      <c r="B346" s="164"/>
      <c r="C346" s="128" t="s">
        <v>114</v>
      </c>
      <c r="D346" s="128" t="s">
        <v>423</v>
      </c>
      <c r="E346" s="128" t="s">
        <v>194</v>
      </c>
      <c r="F346" s="143"/>
      <c r="G346" s="177">
        <f>SUM(G347)</f>
        <v>0</v>
      </c>
      <c r="H346" s="14"/>
      <c r="I346" s="14"/>
      <c r="J346"/>
    </row>
    <row r="347" spans="1:10" ht="42.75" hidden="1">
      <c r="A347" s="105" t="s">
        <v>147</v>
      </c>
      <c r="B347" s="168"/>
      <c r="C347" s="128" t="s">
        <v>114</v>
      </c>
      <c r="D347" s="128" t="s">
        <v>423</v>
      </c>
      <c r="E347" s="128" t="s">
        <v>194</v>
      </c>
      <c r="F347" s="144" t="s">
        <v>49</v>
      </c>
      <c r="G347" s="177"/>
      <c r="H347" s="14"/>
      <c r="I347" s="14"/>
      <c r="J347"/>
    </row>
    <row r="348" spans="1:9" ht="28.5" hidden="1">
      <c r="A348" s="99" t="s">
        <v>148</v>
      </c>
      <c r="B348" s="161"/>
      <c r="C348" s="128" t="s">
        <v>114</v>
      </c>
      <c r="D348" s="128" t="s">
        <v>423</v>
      </c>
      <c r="E348" s="55" t="s">
        <v>379</v>
      </c>
      <c r="F348" s="144"/>
      <c r="G348" s="177">
        <f>SUM(G351+G353)+G349</f>
        <v>0</v>
      </c>
      <c r="H348" s="14">
        <v>14679.5</v>
      </c>
      <c r="I348" s="14" t="e">
        <f>SUM(H348/G354*100)</f>
        <v>#DIV/0!</v>
      </c>
    </row>
    <row r="349" spans="1:9" ht="28.5" hidden="1">
      <c r="A349" s="99" t="s">
        <v>426</v>
      </c>
      <c r="B349" s="161"/>
      <c r="C349" s="128" t="s">
        <v>114</v>
      </c>
      <c r="D349" s="128" t="s">
        <v>423</v>
      </c>
      <c r="E349" s="55" t="s">
        <v>380</v>
      </c>
      <c r="F349" s="144"/>
      <c r="G349" s="177">
        <f>SUM(G350)</f>
        <v>0</v>
      </c>
      <c r="H349" s="14"/>
      <c r="I349" s="14" t="e">
        <f>SUM(H349/G355*100)</f>
        <v>#DIV/0!</v>
      </c>
    </row>
    <row r="350" spans="1:10" ht="28.5" hidden="1">
      <c r="A350" s="99" t="s">
        <v>148</v>
      </c>
      <c r="B350" s="161"/>
      <c r="C350" s="128" t="s">
        <v>114</v>
      </c>
      <c r="D350" s="128" t="s">
        <v>423</v>
      </c>
      <c r="E350" s="55" t="s">
        <v>380</v>
      </c>
      <c r="F350" s="144" t="s">
        <v>73</v>
      </c>
      <c r="G350" s="177"/>
      <c r="H350" s="14">
        <f>SUM(H351)</f>
        <v>2102.5</v>
      </c>
      <c r="I350" s="14" t="e">
        <f>SUM(H350/G356*100)</f>
        <v>#DIV/0!</v>
      </c>
      <c r="J350"/>
    </row>
    <row r="351" spans="1:10" ht="28.5" hidden="1">
      <c r="A351" s="105" t="s">
        <v>378</v>
      </c>
      <c r="B351" s="168"/>
      <c r="C351" s="128" t="s">
        <v>114</v>
      </c>
      <c r="D351" s="128" t="s">
        <v>423</v>
      </c>
      <c r="E351" s="128" t="s">
        <v>377</v>
      </c>
      <c r="F351" s="144"/>
      <c r="G351" s="177">
        <f>SUM(G352)</f>
        <v>0</v>
      </c>
      <c r="H351" s="14">
        <f>SUM(H353)+H360</f>
        <v>2102.5</v>
      </c>
      <c r="I351" s="14" t="e">
        <f>SUM(H351/G357*100)</f>
        <v>#DIV/0!</v>
      </c>
      <c r="J351"/>
    </row>
    <row r="352" spans="1:10" ht="28.5" hidden="1">
      <c r="A352" s="105" t="s">
        <v>133</v>
      </c>
      <c r="B352" s="168"/>
      <c r="C352" s="128" t="s">
        <v>114</v>
      </c>
      <c r="D352" s="128" t="s">
        <v>423</v>
      </c>
      <c r="E352" s="128" t="s">
        <v>377</v>
      </c>
      <c r="F352" s="144" t="s">
        <v>73</v>
      </c>
      <c r="G352" s="177"/>
      <c r="H352" s="14"/>
      <c r="I352" s="14"/>
      <c r="J352"/>
    </row>
    <row r="353" spans="1:9" ht="28.5" hidden="1">
      <c r="A353" s="105" t="s">
        <v>144</v>
      </c>
      <c r="B353" s="168"/>
      <c r="C353" s="128" t="s">
        <v>114</v>
      </c>
      <c r="D353" s="128" t="s">
        <v>423</v>
      </c>
      <c r="E353" s="128" t="s">
        <v>204</v>
      </c>
      <c r="F353" s="144"/>
      <c r="G353" s="177">
        <f>SUM(G354)</f>
        <v>0</v>
      </c>
      <c r="H353" s="14">
        <v>2102.5</v>
      </c>
      <c r="I353" s="14" t="e">
        <f>SUM(H353/G359*100)</f>
        <v>#DIV/0!</v>
      </c>
    </row>
    <row r="354" spans="1:9" ht="28.5" hidden="1">
      <c r="A354" s="105" t="s">
        <v>133</v>
      </c>
      <c r="B354" s="168"/>
      <c r="C354" s="128" t="s">
        <v>114</v>
      </c>
      <c r="D354" s="128" t="s">
        <v>423</v>
      </c>
      <c r="E354" s="128" t="s">
        <v>204</v>
      </c>
      <c r="F354" s="144" t="s">
        <v>73</v>
      </c>
      <c r="G354" s="177"/>
      <c r="H354" s="14"/>
      <c r="I354" s="14"/>
    </row>
    <row r="355" spans="1:9" ht="28.5" hidden="1">
      <c r="A355" s="99" t="s">
        <v>47</v>
      </c>
      <c r="B355" s="162"/>
      <c r="C355" s="128" t="s">
        <v>114</v>
      </c>
      <c r="D355" s="128" t="s">
        <v>423</v>
      </c>
      <c r="E355" s="128" t="s">
        <v>127</v>
      </c>
      <c r="F355" s="143"/>
      <c r="G355" s="177">
        <f>SUM(G356:G358)</f>
        <v>0</v>
      </c>
      <c r="H355" s="14"/>
      <c r="I355" s="14"/>
    </row>
    <row r="356" spans="1:9" ht="15" hidden="1">
      <c r="A356" s="105" t="s">
        <v>48</v>
      </c>
      <c r="B356" s="162"/>
      <c r="C356" s="128" t="s">
        <v>114</v>
      </c>
      <c r="D356" s="128" t="s">
        <v>423</v>
      </c>
      <c r="E356" s="128" t="s">
        <v>127</v>
      </c>
      <c r="F356" s="143" t="s">
        <v>235</v>
      </c>
      <c r="G356" s="177"/>
      <c r="H356" s="14"/>
      <c r="I356" s="14"/>
    </row>
    <row r="357" spans="1:9" ht="42.75" hidden="1">
      <c r="A357" s="105" t="s">
        <v>334</v>
      </c>
      <c r="B357" s="168"/>
      <c r="C357" s="128" t="s">
        <v>114</v>
      </c>
      <c r="D357" s="128" t="s">
        <v>423</v>
      </c>
      <c r="E357" s="128" t="s">
        <v>127</v>
      </c>
      <c r="F357" s="144" t="s">
        <v>335</v>
      </c>
      <c r="G357" s="177"/>
      <c r="H357" s="14"/>
      <c r="I357" s="14"/>
    </row>
    <row r="358" spans="1:9" ht="57" hidden="1">
      <c r="A358" s="99" t="s">
        <v>246</v>
      </c>
      <c r="B358" s="161"/>
      <c r="C358" s="128" t="s">
        <v>114</v>
      </c>
      <c r="D358" s="128" t="s">
        <v>423</v>
      </c>
      <c r="E358" s="128" t="s">
        <v>336</v>
      </c>
      <c r="F358" s="144"/>
      <c r="G358" s="177">
        <f>SUM(G359)</f>
        <v>0</v>
      </c>
      <c r="H358" s="14"/>
      <c r="I358" s="14"/>
    </row>
    <row r="359" spans="1:9" ht="15" hidden="1">
      <c r="A359" s="105" t="s">
        <v>234</v>
      </c>
      <c r="B359" s="168"/>
      <c r="C359" s="128" t="s">
        <v>114</v>
      </c>
      <c r="D359" s="128" t="s">
        <v>423</v>
      </c>
      <c r="E359" s="128" t="s">
        <v>336</v>
      </c>
      <c r="F359" s="144" t="s">
        <v>235</v>
      </c>
      <c r="G359" s="177"/>
      <c r="H359" s="14">
        <v>14679.5</v>
      </c>
      <c r="I359" s="14" t="e">
        <f aca="true" t="shared" si="9" ref="I359:I375">SUM(H359/G365*100)</f>
        <v>#DIV/0!</v>
      </c>
    </row>
    <row r="360" spans="1:9" ht="15">
      <c r="A360" s="99" t="s">
        <v>337</v>
      </c>
      <c r="B360" s="161"/>
      <c r="C360" s="128" t="s">
        <v>114</v>
      </c>
      <c r="D360" s="128" t="s">
        <v>423</v>
      </c>
      <c r="E360" s="128" t="s">
        <v>338</v>
      </c>
      <c r="F360" s="143"/>
      <c r="G360" s="177">
        <f>SUM(G361)</f>
        <v>5387.9</v>
      </c>
      <c r="H360" s="14"/>
      <c r="I360" s="14" t="e">
        <f t="shared" si="9"/>
        <v>#DIV/0!</v>
      </c>
    </row>
    <row r="361" spans="1:10" ht="28.5">
      <c r="A361" s="99" t="s">
        <v>85</v>
      </c>
      <c r="B361" s="164"/>
      <c r="C361" s="128" t="s">
        <v>114</v>
      </c>
      <c r="D361" s="128" t="s">
        <v>423</v>
      </c>
      <c r="E361" s="128" t="s">
        <v>71</v>
      </c>
      <c r="F361" s="143"/>
      <c r="G361" s="177">
        <f>SUM(G362)+G364</f>
        <v>5387.9</v>
      </c>
      <c r="H361" s="14"/>
      <c r="I361" s="14" t="e">
        <f t="shared" si="9"/>
        <v>#DIV/0!</v>
      </c>
      <c r="J361"/>
    </row>
    <row r="362" spans="1:10" ht="28.5">
      <c r="A362" s="99" t="s">
        <v>193</v>
      </c>
      <c r="B362" s="164"/>
      <c r="C362" s="128" t="s">
        <v>114</v>
      </c>
      <c r="D362" s="128" t="s">
        <v>423</v>
      </c>
      <c r="E362" s="128" t="s">
        <v>72</v>
      </c>
      <c r="F362" s="143"/>
      <c r="G362" s="177">
        <f>SUM(G363)</f>
        <v>5387.9</v>
      </c>
      <c r="H362" s="14">
        <f>SUM(H363)</f>
        <v>10268.9</v>
      </c>
      <c r="I362" s="14" t="e">
        <f t="shared" si="9"/>
        <v>#DIV/0!</v>
      </c>
      <c r="J362"/>
    </row>
    <row r="363" spans="1:10" ht="28.5">
      <c r="A363" s="105" t="s">
        <v>481</v>
      </c>
      <c r="B363" s="168"/>
      <c r="C363" s="128" t="s">
        <v>114</v>
      </c>
      <c r="D363" s="128" t="s">
        <v>423</v>
      </c>
      <c r="E363" s="128" t="s">
        <v>72</v>
      </c>
      <c r="F363" s="144" t="s">
        <v>477</v>
      </c>
      <c r="G363" s="177">
        <v>5387.9</v>
      </c>
      <c r="H363" s="14">
        <f>SUM(H364+H366+H368)</f>
        <v>10268.9</v>
      </c>
      <c r="I363" s="14">
        <f t="shared" si="9"/>
        <v>29.462530950447718</v>
      </c>
      <c r="J363">
        <f>SUM('ведомствен.2014'!G641)</f>
        <v>5387.9</v>
      </c>
    </row>
    <row r="364" spans="1:9" ht="28.5" hidden="1">
      <c r="A364" s="99" t="s">
        <v>148</v>
      </c>
      <c r="B364" s="168"/>
      <c r="C364" s="128" t="s">
        <v>114</v>
      </c>
      <c r="D364" s="128" t="s">
        <v>423</v>
      </c>
      <c r="E364" s="128" t="s">
        <v>205</v>
      </c>
      <c r="F364" s="144"/>
      <c r="G364" s="177">
        <f>SUM(G367+G365)</f>
        <v>0</v>
      </c>
      <c r="H364" s="14">
        <v>8963.8</v>
      </c>
      <c r="I364" s="14">
        <f t="shared" si="9"/>
        <v>25.718064732700018</v>
      </c>
    </row>
    <row r="365" spans="1:10" ht="28.5" hidden="1">
      <c r="A365" s="99" t="s">
        <v>426</v>
      </c>
      <c r="B365" s="168"/>
      <c r="C365" s="128" t="s">
        <v>114</v>
      </c>
      <c r="D365" s="128" t="s">
        <v>423</v>
      </c>
      <c r="E365" s="128" t="s">
        <v>428</v>
      </c>
      <c r="F365" s="144"/>
      <c r="G365" s="177">
        <f>SUM(G366)</f>
        <v>0</v>
      </c>
      <c r="H365" s="14"/>
      <c r="I365" s="14">
        <f t="shared" si="9"/>
        <v>0</v>
      </c>
      <c r="J365"/>
    </row>
    <row r="366" spans="1:10" ht="28.5" hidden="1">
      <c r="A366" s="99" t="s">
        <v>148</v>
      </c>
      <c r="B366" s="168"/>
      <c r="C366" s="128" t="s">
        <v>114</v>
      </c>
      <c r="D366" s="128" t="s">
        <v>423</v>
      </c>
      <c r="E366" s="128" t="s">
        <v>428</v>
      </c>
      <c r="F366" s="144" t="s">
        <v>73</v>
      </c>
      <c r="G366" s="177"/>
      <c r="H366" s="14">
        <f>SUM(H367)</f>
        <v>0</v>
      </c>
      <c r="I366" s="14">
        <f t="shared" si="9"/>
        <v>0</v>
      </c>
      <c r="J366"/>
    </row>
    <row r="367" spans="1:10" ht="28.5" hidden="1">
      <c r="A367" s="105" t="s">
        <v>378</v>
      </c>
      <c r="B367" s="168"/>
      <c r="C367" s="128" t="s">
        <v>114</v>
      </c>
      <c r="D367" s="128" t="s">
        <v>423</v>
      </c>
      <c r="E367" s="128" t="s">
        <v>143</v>
      </c>
      <c r="F367" s="144"/>
      <c r="G367" s="177">
        <f>SUM(G368)</f>
        <v>0</v>
      </c>
      <c r="H367" s="14"/>
      <c r="I367" s="14">
        <f t="shared" si="9"/>
        <v>0</v>
      </c>
      <c r="J367"/>
    </row>
    <row r="368" spans="1:10" ht="28.5" hidden="1">
      <c r="A368" s="105" t="s">
        <v>133</v>
      </c>
      <c r="B368" s="168"/>
      <c r="C368" s="128" t="s">
        <v>114</v>
      </c>
      <c r="D368" s="128" t="s">
        <v>423</v>
      </c>
      <c r="E368" s="128" t="s">
        <v>143</v>
      </c>
      <c r="F368" s="144" t="s">
        <v>73</v>
      </c>
      <c r="G368" s="177"/>
      <c r="H368" s="14">
        <f>SUM(H369)</f>
        <v>1305.1</v>
      </c>
      <c r="I368" s="14" t="e">
        <f t="shared" si="9"/>
        <v>#DIV/0!</v>
      </c>
      <c r="J368"/>
    </row>
    <row r="369" spans="1:10" ht="15">
      <c r="A369" s="99" t="s">
        <v>339</v>
      </c>
      <c r="B369" s="161"/>
      <c r="C369" s="128" t="s">
        <v>114</v>
      </c>
      <c r="D369" s="128" t="s">
        <v>423</v>
      </c>
      <c r="E369" s="128" t="s">
        <v>340</v>
      </c>
      <c r="F369" s="143"/>
      <c r="G369" s="177">
        <f>SUM(G370)</f>
        <v>34854.100000000006</v>
      </c>
      <c r="H369" s="14">
        <v>1305.1</v>
      </c>
      <c r="I369" s="14" t="e">
        <f t="shared" si="9"/>
        <v>#DIV/0!</v>
      </c>
      <c r="J369"/>
    </row>
    <row r="370" spans="1:10" ht="28.5">
      <c r="A370" s="99" t="s">
        <v>47</v>
      </c>
      <c r="B370" s="164"/>
      <c r="C370" s="128" t="s">
        <v>114</v>
      </c>
      <c r="D370" s="128" t="s">
        <v>423</v>
      </c>
      <c r="E370" s="128" t="s">
        <v>341</v>
      </c>
      <c r="F370" s="143"/>
      <c r="G370" s="177">
        <f>SUM(G371:G373)</f>
        <v>34854.100000000006</v>
      </c>
      <c r="H370" s="14">
        <f>SUM(H371+H372)</f>
        <v>0</v>
      </c>
      <c r="I370" s="14" t="e">
        <f t="shared" si="9"/>
        <v>#DIV/0!</v>
      </c>
      <c r="J370"/>
    </row>
    <row r="371" spans="1:10" ht="42.75">
      <c r="A371" s="99" t="s">
        <v>459</v>
      </c>
      <c r="B371" s="161"/>
      <c r="C371" s="128" t="s">
        <v>114</v>
      </c>
      <c r="D371" s="128" t="s">
        <v>423</v>
      </c>
      <c r="E371" s="128" t="s">
        <v>341</v>
      </c>
      <c r="F371" s="142" t="s">
        <v>460</v>
      </c>
      <c r="G371" s="177">
        <v>30265.8</v>
      </c>
      <c r="H371" s="14"/>
      <c r="I371" s="14" t="e">
        <f t="shared" si="9"/>
        <v>#DIV/0!</v>
      </c>
      <c r="J371">
        <f>SUM('ведомствен.2014'!G649)</f>
        <v>30265.8</v>
      </c>
    </row>
    <row r="372" spans="1:10" ht="15">
      <c r="A372" s="99" t="s">
        <v>464</v>
      </c>
      <c r="B372" s="161"/>
      <c r="C372" s="128" t="s">
        <v>114</v>
      </c>
      <c r="D372" s="128" t="s">
        <v>423</v>
      </c>
      <c r="E372" s="128" t="s">
        <v>341</v>
      </c>
      <c r="F372" s="142" t="s">
        <v>110</v>
      </c>
      <c r="G372" s="178">
        <v>4033</v>
      </c>
      <c r="H372" s="14">
        <f>SUM(H373)</f>
        <v>0</v>
      </c>
      <c r="I372" s="14" t="e">
        <f t="shared" si="9"/>
        <v>#DIV/0!</v>
      </c>
      <c r="J372">
        <f>SUM('ведомствен.2014'!G650)</f>
        <v>4033</v>
      </c>
    </row>
    <row r="373" spans="1:10" ht="15">
      <c r="A373" s="99" t="s">
        <v>465</v>
      </c>
      <c r="B373" s="161"/>
      <c r="C373" s="128" t="s">
        <v>114</v>
      </c>
      <c r="D373" s="128" t="s">
        <v>423</v>
      </c>
      <c r="E373" s="128" t="s">
        <v>341</v>
      </c>
      <c r="F373" s="143" t="s">
        <v>165</v>
      </c>
      <c r="G373" s="177">
        <v>555.3</v>
      </c>
      <c r="H373" s="14"/>
      <c r="I373" s="14" t="e">
        <f t="shared" si="9"/>
        <v>#DIV/0!</v>
      </c>
      <c r="J373">
        <f>SUM('ведомствен.2014'!G651)</f>
        <v>555.3</v>
      </c>
    </row>
    <row r="374" spans="1:10" ht="42.75" hidden="1">
      <c r="A374" s="105" t="s">
        <v>53</v>
      </c>
      <c r="B374" s="168"/>
      <c r="C374" s="128" t="s">
        <v>114</v>
      </c>
      <c r="D374" s="128" t="s">
        <v>423</v>
      </c>
      <c r="E374" s="128" t="s">
        <v>342</v>
      </c>
      <c r="F374" s="144"/>
      <c r="G374" s="177">
        <f>SUM(G375)</f>
        <v>0</v>
      </c>
      <c r="H374" s="14">
        <f>SUM(H375)</f>
        <v>7333.8</v>
      </c>
      <c r="I374" s="14" t="e">
        <f t="shared" si="9"/>
        <v>#DIV/0!</v>
      </c>
      <c r="J374"/>
    </row>
    <row r="375" spans="1:10" ht="15" hidden="1">
      <c r="A375" s="105" t="s">
        <v>48</v>
      </c>
      <c r="B375" s="168"/>
      <c r="C375" s="128" t="s">
        <v>114</v>
      </c>
      <c r="D375" s="128" t="s">
        <v>423</v>
      </c>
      <c r="E375" s="128" t="s">
        <v>342</v>
      </c>
      <c r="F375" s="144" t="s">
        <v>235</v>
      </c>
      <c r="G375" s="177"/>
      <c r="H375" s="14">
        <f>SUM(H377:H381)</f>
        <v>7333.8</v>
      </c>
      <c r="I375" s="14" t="e">
        <f t="shared" si="9"/>
        <v>#DIV/0!</v>
      </c>
      <c r="J375"/>
    </row>
    <row r="376" spans="1:10" ht="28.5" hidden="1">
      <c r="A376" s="105" t="s">
        <v>343</v>
      </c>
      <c r="B376" s="168"/>
      <c r="C376" s="128" t="s">
        <v>114</v>
      </c>
      <c r="D376" s="128" t="s">
        <v>423</v>
      </c>
      <c r="E376" s="128" t="s">
        <v>344</v>
      </c>
      <c r="F376" s="144"/>
      <c r="G376" s="177">
        <f>SUM(G379+G377)</f>
        <v>0</v>
      </c>
      <c r="H376" s="14"/>
      <c r="I376" s="14"/>
      <c r="J376"/>
    </row>
    <row r="377" spans="1:10" ht="15" hidden="1">
      <c r="A377" s="105" t="s">
        <v>234</v>
      </c>
      <c r="B377" s="168"/>
      <c r="C377" s="128" t="s">
        <v>114</v>
      </c>
      <c r="D377" s="128" t="s">
        <v>423</v>
      </c>
      <c r="E377" s="128" t="s">
        <v>344</v>
      </c>
      <c r="F377" s="144" t="s">
        <v>235</v>
      </c>
      <c r="G377" s="177"/>
      <c r="H377" s="14"/>
      <c r="I377" s="14" t="e">
        <f aca="true" t="shared" si="10" ref="I377:I385">SUM(H377/G383*100)</f>
        <v>#DIV/0!</v>
      </c>
      <c r="J377"/>
    </row>
    <row r="378" spans="1:10" ht="42.75" hidden="1">
      <c r="A378" s="105" t="s">
        <v>345</v>
      </c>
      <c r="B378" s="168"/>
      <c r="C378" s="128" t="s">
        <v>114</v>
      </c>
      <c r="D378" s="128" t="s">
        <v>423</v>
      </c>
      <c r="E378" s="128" t="s">
        <v>346</v>
      </c>
      <c r="F378" s="144"/>
      <c r="G378" s="177">
        <f>SUM(G379)</f>
        <v>0</v>
      </c>
      <c r="H378" s="14">
        <f>SUM(H382+H387)+H379</f>
        <v>4633.8</v>
      </c>
      <c r="I378" s="14">
        <f t="shared" si="10"/>
        <v>56.506310590817634</v>
      </c>
      <c r="J378"/>
    </row>
    <row r="379" spans="1:10" ht="15" hidden="1">
      <c r="A379" s="105" t="s">
        <v>234</v>
      </c>
      <c r="B379" s="168"/>
      <c r="C379" s="128" t="s">
        <v>114</v>
      </c>
      <c r="D379" s="128" t="s">
        <v>423</v>
      </c>
      <c r="E379" s="128" t="s">
        <v>346</v>
      </c>
      <c r="F379" s="144" t="s">
        <v>235</v>
      </c>
      <c r="G379" s="177"/>
      <c r="H379" s="14">
        <f>SUM(H380)</f>
        <v>900</v>
      </c>
      <c r="I379" s="14" t="e">
        <f t="shared" si="10"/>
        <v>#DIV/0!</v>
      </c>
      <c r="J379"/>
    </row>
    <row r="380" spans="1:10" ht="15" hidden="1">
      <c r="A380" s="105" t="s">
        <v>118</v>
      </c>
      <c r="B380" s="164"/>
      <c r="C380" s="128" t="s">
        <v>114</v>
      </c>
      <c r="D380" s="128" t="s">
        <v>423</v>
      </c>
      <c r="E380" s="128" t="s">
        <v>119</v>
      </c>
      <c r="F380" s="143"/>
      <c r="G380" s="177">
        <f>SUM(G381)</f>
        <v>0</v>
      </c>
      <c r="H380" s="14">
        <f>SUM(H381)</f>
        <v>900</v>
      </c>
      <c r="I380" s="14" t="e">
        <f t="shared" si="10"/>
        <v>#DIV/0!</v>
      </c>
      <c r="J380"/>
    </row>
    <row r="381" spans="1:10" ht="42.75" hidden="1">
      <c r="A381" s="99" t="s">
        <v>196</v>
      </c>
      <c r="B381" s="164"/>
      <c r="C381" s="128" t="s">
        <v>114</v>
      </c>
      <c r="D381" s="128" t="s">
        <v>423</v>
      </c>
      <c r="E381" s="128" t="s">
        <v>286</v>
      </c>
      <c r="F381" s="143"/>
      <c r="G381" s="177">
        <f>SUM(G382:G383)</f>
        <v>0</v>
      </c>
      <c r="H381" s="14">
        <v>900</v>
      </c>
      <c r="I381" s="14" t="e">
        <f t="shared" si="10"/>
        <v>#DIV/0!</v>
      </c>
      <c r="J381"/>
    </row>
    <row r="382" spans="1:10" ht="15" hidden="1">
      <c r="A382" s="105" t="s">
        <v>48</v>
      </c>
      <c r="B382" s="164"/>
      <c r="C382" s="128" t="s">
        <v>114</v>
      </c>
      <c r="D382" s="128" t="s">
        <v>423</v>
      </c>
      <c r="E382" s="128" t="s">
        <v>286</v>
      </c>
      <c r="F382" s="143" t="s">
        <v>235</v>
      </c>
      <c r="G382" s="177"/>
      <c r="H382" s="14">
        <f>SUM(H383)</f>
        <v>3733.8</v>
      </c>
      <c r="I382" s="14">
        <f t="shared" si="10"/>
        <v>53.33619027212343</v>
      </c>
      <c r="J382"/>
    </row>
    <row r="383" spans="1:10" ht="28.5" hidden="1">
      <c r="A383" s="105" t="s">
        <v>133</v>
      </c>
      <c r="B383" s="164"/>
      <c r="C383" s="128" t="s">
        <v>114</v>
      </c>
      <c r="D383" s="128" t="s">
        <v>423</v>
      </c>
      <c r="E383" s="128" t="s">
        <v>286</v>
      </c>
      <c r="F383" s="143" t="s">
        <v>73</v>
      </c>
      <c r="G383" s="177"/>
      <c r="H383" s="14">
        <f>SUM(H384)</f>
        <v>3733.8</v>
      </c>
      <c r="I383" s="14">
        <f t="shared" si="10"/>
        <v>53.33619027212343</v>
      </c>
      <c r="J383"/>
    </row>
    <row r="384" spans="1:9" ht="15">
      <c r="A384" s="100" t="s">
        <v>223</v>
      </c>
      <c r="B384" s="164"/>
      <c r="C384" s="128" t="s">
        <v>114</v>
      </c>
      <c r="D384" s="128" t="s">
        <v>112</v>
      </c>
      <c r="E384" s="128"/>
      <c r="F384" s="143"/>
      <c r="G384" s="177">
        <f>SUM(G388+G393+G386)</f>
        <v>8200.5</v>
      </c>
      <c r="H384" s="14">
        <v>3733.8</v>
      </c>
      <c r="I384" s="14">
        <f t="shared" si="10"/>
        <v>58.9141171087303</v>
      </c>
    </row>
    <row r="385" spans="1:10" ht="15" hidden="1">
      <c r="A385" s="99" t="s">
        <v>371</v>
      </c>
      <c r="B385" s="164"/>
      <c r="C385" s="128" t="s">
        <v>114</v>
      </c>
      <c r="D385" s="128" t="s">
        <v>112</v>
      </c>
      <c r="E385" s="128" t="s">
        <v>373</v>
      </c>
      <c r="F385" s="143"/>
      <c r="G385" s="177">
        <f>SUM(G386)</f>
        <v>0</v>
      </c>
      <c r="H385" s="14">
        <f>SUM(H386)</f>
        <v>0</v>
      </c>
      <c r="I385" s="14">
        <f t="shared" si="10"/>
        <v>0</v>
      </c>
      <c r="J385"/>
    </row>
    <row r="386" spans="1:10" ht="15" hidden="1">
      <c r="A386" s="99" t="s">
        <v>351</v>
      </c>
      <c r="B386" s="164"/>
      <c r="C386" s="128" t="s">
        <v>114</v>
      </c>
      <c r="D386" s="128" t="s">
        <v>112</v>
      </c>
      <c r="E386" s="128" t="s">
        <v>352</v>
      </c>
      <c r="F386" s="143"/>
      <c r="G386" s="177">
        <f>SUM(G387)</f>
        <v>0</v>
      </c>
      <c r="H386" s="14"/>
      <c r="I386" s="14"/>
      <c r="J386"/>
    </row>
    <row r="387" spans="1:10" ht="42.75" hidden="1">
      <c r="A387" s="99" t="s">
        <v>296</v>
      </c>
      <c r="B387" s="164"/>
      <c r="C387" s="128" t="s">
        <v>114</v>
      </c>
      <c r="D387" s="128" t="s">
        <v>112</v>
      </c>
      <c r="E387" s="128" t="s">
        <v>352</v>
      </c>
      <c r="F387" s="143" t="s">
        <v>297</v>
      </c>
      <c r="G387" s="177"/>
      <c r="H387" s="14">
        <f>SUM(H390)</f>
        <v>0</v>
      </c>
      <c r="I387" s="14">
        <f>SUM(H387/G393*100)</f>
        <v>0</v>
      </c>
      <c r="J387"/>
    </row>
    <row r="388" spans="1:10" ht="57">
      <c r="A388" s="100" t="s">
        <v>278</v>
      </c>
      <c r="B388" s="164"/>
      <c r="C388" s="128" t="s">
        <v>114</v>
      </c>
      <c r="D388" s="128" t="s">
        <v>112</v>
      </c>
      <c r="E388" s="128" t="s">
        <v>279</v>
      </c>
      <c r="F388" s="143"/>
      <c r="G388" s="177">
        <f>SUM(G389)</f>
        <v>7000.499999999999</v>
      </c>
      <c r="H388" s="14"/>
      <c r="I388" s="14"/>
      <c r="J388"/>
    </row>
    <row r="389" spans="1:10" ht="28.5">
      <c r="A389" s="99" t="s">
        <v>47</v>
      </c>
      <c r="B389" s="164"/>
      <c r="C389" s="128" t="s">
        <v>114</v>
      </c>
      <c r="D389" s="128" t="s">
        <v>112</v>
      </c>
      <c r="E389" s="128" t="s">
        <v>280</v>
      </c>
      <c r="F389" s="143"/>
      <c r="G389" s="177">
        <f>SUM(G390:G392)</f>
        <v>7000.499999999999</v>
      </c>
      <c r="H389" s="14"/>
      <c r="I389" s="14"/>
      <c r="J389"/>
    </row>
    <row r="390" spans="1:10" ht="42.75">
      <c r="A390" s="99" t="s">
        <v>459</v>
      </c>
      <c r="B390" s="168"/>
      <c r="C390" s="128" t="s">
        <v>114</v>
      </c>
      <c r="D390" s="128" t="s">
        <v>112</v>
      </c>
      <c r="E390" s="128" t="s">
        <v>280</v>
      </c>
      <c r="F390" s="144" t="s">
        <v>460</v>
      </c>
      <c r="G390" s="177">
        <v>6337.7</v>
      </c>
      <c r="H390" s="14">
        <f>SUM(H391:H395)</f>
        <v>0</v>
      </c>
      <c r="I390" s="14" t="e">
        <f>SUM(H390/G396*100)</f>
        <v>#DIV/0!</v>
      </c>
      <c r="J390">
        <f>SUM('ведомствен.2014'!G668)</f>
        <v>6337.7</v>
      </c>
    </row>
    <row r="391" spans="1:10" ht="15">
      <c r="A391" s="99" t="s">
        <v>464</v>
      </c>
      <c r="B391" s="168"/>
      <c r="C391" s="128" t="s">
        <v>114</v>
      </c>
      <c r="D391" s="128" t="s">
        <v>112</v>
      </c>
      <c r="E391" s="128" t="s">
        <v>280</v>
      </c>
      <c r="F391" s="144" t="s">
        <v>110</v>
      </c>
      <c r="G391" s="177">
        <v>658.4</v>
      </c>
      <c r="H391" s="14"/>
      <c r="I391" s="14" t="e">
        <f>SUM(H391/G397*100)</f>
        <v>#DIV/0!</v>
      </c>
      <c r="J391">
        <f>SUM('ведомствен.2014'!G669)</f>
        <v>658.4</v>
      </c>
    </row>
    <row r="392" spans="1:10" ht="15">
      <c r="A392" s="99" t="s">
        <v>465</v>
      </c>
      <c r="B392" s="168"/>
      <c r="C392" s="128" t="s">
        <v>114</v>
      </c>
      <c r="D392" s="128" t="s">
        <v>112</v>
      </c>
      <c r="E392" s="128" t="s">
        <v>280</v>
      </c>
      <c r="F392" s="144" t="s">
        <v>165</v>
      </c>
      <c r="G392" s="177">
        <v>4.4</v>
      </c>
      <c r="H392" s="18"/>
      <c r="I392" s="14" t="e">
        <f>SUM(H392/G398*100)</f>
        <v>#DIV/0!</v>
      </c>
      <c r="J392">
        <f>SUM('ведомствен.2014'!G670)</f>
        <v>4.4</v>
      </c>
    </row>
    <row r="393" spans="1:10" ht="15">
      <c r="A393" s="105" t="s">
        <v>118</v>
      </c>
      <c r="B393" s="164"/>
      <c r="C393" s="128" t="s">
        <v>114</v>
      </c>
      <c r="D393" s="128" t="s">
        <v>112</v>
      </c>
      <c r="E393" s="128" t="s">
        <v>119</v>
      </c>
      <c r="F393" s="143"/>
      <c r="G393" s="177">
        <f>SUM(G396)+G399+G394</f>
        <v>1200</v>
      </c>
      <c r="H393" s="18"/>
      <c r="I393" s="14"/>
      <c r="J393"/>
    </row>
    <row r="394" spans="1:9" ht="42.75" hidden="1">
      <c r="A394" s="99" t="s">
        <v>196</v>
      </c>
      <c r="B394" s="164"/>
      <c r="C394" s="128" t="s">
        <v>114</v>
      </c>
      <c r="D394" s="128" t="s">
        <v>112</v>
      </c>
      <c r="E394" s="128" t="s">
        <v>286</v>
      </c>
      <c r="F394" s="143"/>
      <c r="G394" s="177">
        <f>SUM(G395)</f>
        <v>0</v>
      </c>
      <c r="H394" s="14"/>
      <c r="I394" s="14">
        <f aca="true" t="shared" si="11" ref="I394:I409">SUM(H394/G400*100)</f>
        <v>0</v>
      </c>
    </row>
    <row r="395" spans="1:9" ht="15" hidden="1">
      <c r="A395" s="105" t="s">
        <v>48</v>
      </c>
      <c r="B395" s="164"/>
      <c r="C395" s="128" t="s">
        <v>114</v>
      </c>
      <c r="D395" s="128" t="s">
        <v>112</v>
      </c>
      <c r="E395" s="128" t="s">
        <v>286</v>
      </c>
      <c r="F395" s="143" t="s">
        <v>235</v>
      </c>
      <c r="G395" s="177"/>
      <c r="H395" s="18"/>
      <c r="I395" s="14">
        <f t="shared" si="11"/>
        <v>0</v>
      </c>
    </row>
    <row r="396" spans="1:9" s="26" customFormat="1" ht="28.5" hidden="1">
      <c r="A396" s="99" t="s">
        <v>446</v>
      </c>
      <c r="B396" s="164"/>
      <c r="C396" s="128" t="s">
        <v>114</v>
      </c>
      <c r="D396" s="128" t="s">
        <v>112</v>
      </c>
      <c r="E396" s="128" t="s">
        <v>298</v>
      </c>
      <c r="F396" s="143"/>
      <c r="G396" s="177">
        <f>SUM(G397:G398)</f>
        <v>0</v>
      </c>
      <c r="H396" s="18">
        <v>2421.6</v>
      </c>
      <c r="I396" s="14" t="e">
        <f t="shared" si="11"/>
        <v>#DIV/0!</v>
      </c>
    </row>
    <row r="397" spans="1:10" ht="57" hidden="1">
      <c r="A397" s="105" t="s">
        <v>86</v>
      </c>
      <c r="B397" s="164"/>
      <c r="C397" s="128" t="s">
        <v>114</v>
      </c>
      <c r="D397" s="128" t="s">
        <v>112</v>
      </c>
      <c r="E397" s="128" t="s">
        <v>298</v>
      </c>
      <c r="F397" s="143" t="s">
        <v>297</v>
      </c>
      <c r="G397" s="177"/>
      <c r="H397" s="14" t="e">
        <f>SUM(H398)+#REF!</f>
        <v>#REF!</v>
      </c>
      <c r="I397" s="14" t="e">
        <f t="shared" si="11"/>
        <v>#REF!</v>
      </c>
      <c r="J397"/>
    </row>
    <row r="398" spans="1:10" ht="28.5" hidden="1">
      <c r="A398" s="99" t="s">
        <v>148</v>
      </c>
      <c r="B398" s="164"/>
      <c r="C398" s="128" t="s">
        <v>114</v>
      </c>
      <c r="D398" s="128" t="s">
        <v>112</v>
      </c>
      <c r="E398" s="128" t="s">
        <v>298</v>
      </c>
      <c r="F398" s="143" t="s">
        <v>73</v>
      </c>
      <c r="G398" s="177"/>
      <c r="H398" s="14" t="e">
        <f>SUM(H399)</f>
        <v>#REF!</v>
      </c>
      <c r="I398" s="14" t="e">
        <f t="shared" si="11"/>
        <v>#REF!</v>
      </c>
      <c r="J398"/>
    </row>
    <row r="399" spans="1:10" ht="28.5">
      <c r="A399" s="99" t="s">
        <v>480</v>
      </c>
      <c r="B399" s="164"/>
      <c r="C399" s="128" t="s">
        <v>114</v>
      </c>
      <c r="D399" s="128" t="s">
        <v>112</v>
      </c>
      <c r="E399" s="128" t="s">
        <v>299</v>
      </c>
      <c r="F399" s="143"/>
      <c r="G399" s="177">
        <f>SUM(G400:G402)</f>
        <v>1200</v>
      </c>
      <c r="H399" s="14" t="e">
        <f>SUM(#REF!)</f>
        <v>#REF!</v>
      </c>
      <c r="I399" s="14" t="e">
        <f t="shared" si="11"/>
        <v>#REF!</v>
      </c>
      <c r="J399"/>
    </row>
    <row r="400" spans="1:11" s="13" customFormat="1" ht="42.75">
      <c r="A400" s="99" t="s">
        <v>459</v>
      </c>
      <c r="B400" s="164"/>
      <c r="C400" s="128" t="s">
        <v>114</v>
      </c>
      <c r="D400" s="128" t="s">
        <v>112</v>
      </c>
      <c r="E400" s="128" t="s">
        <v>299</v>
      </c>
      <c r="F400" s="143" t="s">
        <v>460</v>
      </c>
      <c r="G400" s="177">
        <v>900</v>
      </c>
      <c r="H400" s="17" t="e">
        <f>SUM(H401+#REF!+H447+H452+#REF!+#REF!)</f>
        <v>#REF!</v>
      </c>
      <c r="I400" s="17" t="e">
        <f t="shared" si="11"/>
        <v>#REF!</v>
      </c>
      <c r="J400">
        <f>SUM('ведомствен.2014'!G678)</f>
        <v>900</v>
      </c>
      <c r="K400" s="13">
        <f>SUM(J401:J452)</f>
        <v>39318.299999999996</v>
      </c>
    </row>
    <row r="401" spans="1:10" ht="15">
      <c r="A401" s="99" t="s">
        <v>464</v>
      </c>
      <c r="B401" s="164"/>
      <c r="C401" s="128" t="s">
        <v>114</v>
      </c>
      <c r="D401" s="128" t="s">
        <v>112</v>
      </c>
      <c r="E401" s="128" t="s">
        <v>299</v>
      </c>
      <c r="F401" s="143" t="s">
        <v>110</v>
      </c>
      <c r="G401" s="177">
        <v>300</v>
      </c>
      <c r="H401" s="14">
        <f>SUM(H406+H408)</f>
        <v>49456.8</v>
      </c>
      <c r="I401" s="14">
        <f t="shared" si="11"/>
        <v>772.291884632802</v>
      </c>
      <c r="J401">
        <f>SUM('ведомствен.2014'!G679)</f>
        <v>300</v>
      </c>
    </row>
    <row r="402" spans="1:10" ht="15" hidden="1">
      <c r="A402" s="99" t="s">
        <v>465</v>
      </c>
      <c r="B402" s="164"/>
      <c r="C402" s="128" t="s">
        <v>114</v>
      </c>
      <c r="D402" s="128" t="s">
        <v>112</v>
      </c>
      <c r="E402" s="128" t="s">
        <v>299</v>
      </c>
      <c r="F402" s="143" t="s">
        <v>165</v>
      </c>
      <c r="G402" s="177"/>
      <c r="H402" s="14">
        <f>SUM(H403)</f>
        <v>0</v>
      </c>
      <c r="I402" s="14">
        <f t="shared" si="11"/>
        <v>0</v>
      </c>
      <c r="J402"/>
    </row>
    <row r="403" spans="1:10" ht="28.5" hidden="1">
      <c r="A403" s="99" t="s">
        <v>148</v>
      </c>
      <c r="B403" s="164"/>
      <c r="C403" s="128" t="s">
        <v>114</v>
      </c>
      <c r="D403" s="128" t="s">
        <v>112</v>
      </c>
      <c r="E403" s="128" t="s">
        <v>299</v>
      </c>
      <c r="F403" s="143" t="s">
        <v>73</v>
      </c>
      <c r="G403" s="177"/>
      <c r="H403" s="14">
        <f>SUM(H404)</f>
        <v>0</v>
      </c>
      <c r="I403" s="14">
        <f t="shared" si="11"/>
        <v>0</v>
      </c>
      <c r="J403"/>
    </row>
    <row r="404" spans="1:10" ht="42.75" hidden="1">
      <c r="A404" s="99" t="s">
        <v>459</v>
      </c>
      <c r="B404" s="164"/>
      <c r="C404" s="128" t="s">
        <v>114</v>
      </c>
      <c r="D404" s="128" t="s">
        <v>112</v>
      </c>
      <c r="E404" s="128" t="s">
        <v>299</v>
      </c>
      <c r="F404" s="143" t="s">
        <v>460</v>
      </c>
      <c r="G404" s="177"/>
      <c r="H404" s="14"/>
      <c r="I404" s="14" t="e">
        <f t="shared" si="11"/>
        <v>#DIV/0!</v>
      </c>
      <c r="J404"/>
    </row>
    <row r="405" spans="1:10" ht="15" hidden="1">
      <c r="A405" s="99" t="s">
        <v>464</v>
      </c>
      <c r="B405" s="164"/>
      <c r="C405" s="128" t="s">
        <v>114</v>
      </c>
      <c r="D405" s="128" t="s">
        <v>112</v>
      </c>
      <c r="E405" s="128" t="s">
        <v>299</v>
      </c>
      <c r="F405" s="143" t="s">
        <v>110</v>
      </c>
      <c r="G405" s="177"/>
      <c r="H405" s="14">
        <f>SUM(H406)</f>
        <v>146.8</v>
      </c>
      <c r="I405" s="14" t="e">
        <f t="shared" si="11"/>
        <v>#DIV/0!</v>
      </c>
      <c r="J405"/>
    </row>
    <row r="406" spans="1:12" ht="15">
      <c r="A406" s="102" t="s">
        <v>308</v>
      </c>
      <c r="B406" s="164"/>
      <c r="C406" s="131" t="s">
        <v>288</v>
      </c>
      <c r="D406" s="131"/>
      <c r="E406" s="131"/>
      <c r="F406" s="146"/>
      <c r="G406" s="179">
        <f>SUM(G407+G418+G437+G445)</f>
        <v>39018.3</v>
      </c>
      <c r="H406" s="14">
        <f>SUM(H407)</f>
        <v>146.8</v>
      </c>
      <c r="I406" s="14" t="e">
        <f t="shared" si="11"/>
        <v>#DIV/0!</v>
      </c>
      <c r="J406"/>
      <c r="K406" s="36">
        <f>SUM(J411:J452)</f>
        <v>39018.299999999996</v>
      </c>
      <c r="L406">
        <f>SUM('ведомствен.2014'!G683)</f>
        <v>39018.3</v>
      </c>
    </row>
    <row r="407" spans="1:10" ht="15">
      <c r="A407" s="99" t="s">
        <v>166</v>
      </c>
      <c r="B407" s="161"/>
      <c r="C407" s="128" t="s">
        <v>288</v>
      </c>
      <c r="D407" s="128" t="s">
        <v>423</v>
      </c>
      <c r="E407" s="128"/>
      <c r="F407" s="143"/>
      <c r="G407" s="177">
        <f>SUM(G408)</f>
        <v>6403.9</v>
      </c>
      <c r="H407" s="14">
        <v>146.8</v>
      </c>
      <c r="I407" s="14" t="e">
        <f t="shared" si="11"/>
        <v>#DIV/0!</v>
      </c>
      <c r="J407"/>
    </row>
    <row r="408" spans="1:10" ht="15">
      <c r="A408" s="99" t="s">
        <v>190</v>
      </c>
      <c r="B408" s="161"/>
      <c r="C408" s="128" t="s">
        <v>288</v>
      </c>
      <c r="D408" s="128" t="s">
        <v>423</v>
      </c>
      <c r="E408" s="128" t="s">
        <v>170</v>
      </c>
      <c r="F408" s="143"/>
      <c r="G408" s="178">
        <f>SUM(G409)</f>
        <v>6403.9</v>
      </c>
      <c r="H408" s="14">
        <f>SUM(H409)</f>
        <v>49310</v>
      </c>
      <c r="I408" s="14" t="e">
        <f t="shared" si="11"/>
        <v>#DIV/0!</v>
      </c>
      <c r="J408"/>
    </row>
    <row r="409" spans="1:10" ht="28.5">
      <c r="A409" s="99" t="s">
        <v>85</v>
      </c>
      <c r="B409" s="164"/>
      <c r="C409" s="128" t="s">
        <v>288</v>
      </c>
      <c r="D409" s="128" t="s">
        <v>423</v>
      </c>
      <c r="E409" s="128" t="s">
        <v>74</v>
      </c>
      <c r="F409" s="143"/>
      <c r="G409" s="177">
        <f>SUM(G417)+G410</f>
        <v>6403.9</v>
      </c>
      <c r="H409" s="14">
        <f>SUM(H416:H418)</f>
        <v>49310</v>
      </c>
      <c r="I409" s="14" t="e">
        <f t="shared" si="11"/>
        <v>#DIV/0!</v>
      </c>
      <c r="J409"/>
    </row>
    <row r="410" spans="1:9" ht="28.5" hidden="1">
      <c r="A410" s="105" t="s">
        <v>148</v>
      </c>
      <c r="B410" s="164"/>
      <c r="C410" s="128" t="s">
        <v>288</v>
      </c>
      <c r="D410" s="128" t="s">
        <v>423</v>
      </c>
      <c r="E410" s="128" t="s">
        <v>131</v>
      </c>
      <c r="F410" s="143"/>
      <c r="G410" s="177">
        <f>SUM(G412+G414)</f>
        <v>0</v>
      </c>
      <c r="H410" s="14"/>
      <c r="I410" s="14"/>
    </row>
    <row r="411" spans="1:9" ht="28.5" hidden="1">
      <c r="A411" s="105" t="s">
        <v>133</v>
      </c>
      <c r="B411" s="164"/>
      <c r="C411" s="128" t="s">
        <v>288</v>
      </c>
      <c r="D411" s="128" t="s">
        <v>423</v>
      </c>
      <c r="E411" s="128" t="s">
        <v>131</v>
      </c>
      <c r="F411" s="143" t="s">
        <v>73</v>
      </c>
      <c r="G411" s="177"/>
      <c r="H411" s="14"/>
      <c r="I411" s="14"/>
    </row>
    <row r="412" spans="1:9" ht="28.5" hidden="1">
      <c r="A412" s="105" t="s">
        <v>378</v>
      </c>
      <c r="B412" s="164"/>
      <c r="C412" s="128" t="s">
        <v>288</v>
      </c>
      <c r="D412" s="128" t="s">
        <v>423</v>
      </c>
      <c r="E412" s="128" t="s">
        <v>132</v>
      </c>
      <c r="F412" s="143"/>
      <c r="G412" s="177">
        <f>SUM(G413)</f>
        <v>0</v>
      </c>
      <c r="H412" s="14"/>
      <c r="I412" s="14"/>
    </row>
    <row r="413" spans="1:9" ht="28.5" hidden="1">
      <c r="A413" s="105" t="s">
        <v>133</v>
      </c>
      <c r="B413" s="164"/>
      <c r="C413" s="128" t="s">
        <v>288</v>
      </c>
      <c r="D413" s="128" t="s">
        <v>423</v>
      </c>
      <c r="E413" s="128" t="s">
        <v>132</v>
      </c>
      <c r="F413" s="143" t="s">
        <v>73</v>
      </c>
      <c r="G413" s="177"/>
      <c r="H413" s="14"/>
      <c r="I413" s="14"/>
    </row>
    <row r="414" spans="1:10" ht="28.5" hidden="1">
      <c r="A414" s="99" t="s">
        <v>203</v>
      </c>
      <c r="B414" s="164"/>
      <c r="C414" s="128" t="s">
        <v>288</v>
      </c>
      <c r="D414" s="128" t="s">
        <v>423</v>
      </c>
      <c r="E414" s="128" t="s">
        <v>206</v>
      </c>
      <c r="F414" s="143"/>
      <c r="G414" s="177">
        <f>SUM(G415)</f>
        <v>0</v>
      </c>
      <c r="H414" s="14"/>
      <c r="I414" s="14"/>
      <c r="J414"/>
    </row>
    <row r="415" spans="1:10" ht="28.5" hidden="1">
      <c r="A415" s="99" t="s">
        <v>148</v>
      </c>
      <c r="B415" s="164"/>
      <c r="C415" s="128" t="s">
        <v>288</v>
      </c>
      <c r="D415" s="128" t="s">
        <v>423</v>
      </c>
      <c r="E415" s="128" t="s">
        <v>206</v>
      </c>
      <c r="F415" s="143" t="s">
        <v>73</v>
      </c>
      <c r="G415" s="177"/>
      <c r="H415" s="14"/>
      <c r="I415" s="14"/>
      <c r="J415"/>
    </row>
    <row r="416" spans="1:9" ht="28.5">
      <c r="A416" s="99" t="s">
        <v>290</v>
      </c>
      <c r="B416" s="164"/>
      <c r="C416" s="128" t="s">
        <v>288</v>
      </c>
      <c r="D416" s="128" t="s">
        <v>423</v>
      </c>
      <c r="E416" s="128" t="s">
        <v>289</v>
      </c>
      <c r="F416" s="143"/>
      <c r="G416" s="177">
        <f>SUM(G417)</f>
        <v>6403.9</v>
      </c>
      <c r="H416" s="14">
        <v>49310</v>
      </c>
      <c r="I416" s="14" t="e">
        <f>SUM(H416/G422*100)</f>
        <v>#DIV/0!</v>
      </c>
    </row>
    <row r="417" spans="1:10" ht="28.5">
      <c r="A417" s="105" t="s">
        <v>481</v>
      </c>
      <c r="B417" s="168"/>
      <c r="C417" s="128" t="s">
        <v>288</v>
      </c>
      <c r="D417" s="128" t="s">
        <v>423</v>
      </c>
      <c r="E417" s="128" t="s">
        <v>289</v>
      </c>
      <c r="F417" s="144" t="s">
        <v>477</v>
      </c>
      <c r="G417" s="177">
        <v>6403.9</v>
      </c>
      <c r="H417" s="14"/>
      <c r="I417" s="14" t="e">
        <f>SUM(H417/G423*100)</f>
        <v>#DIV/0!</v>
      </c>
      <c r="J417" s="36">
        <f>SUM('ведомствен.2014'!G694)</f>
        <v>6403.9</v>
      </c>
    </row>
    <row r="418" spans="1:10" ht="15">
      <c r="A418" s="99" t="s">
        <v>229</v>
      </c>
      <c r="B418" s="161"/>
      <c r="C418" s="128" t="s">
        <v>288</v>
      </c>
      <c r="D418" s="128" t="s">
        <v>425</v>
      </c>
      <c r="E418" s="128"/>
      <c r="F418" s="143"/>
      <c r="G418" s="177">
        <f>SUM(G419+G428)</f>
        <v>19210.5</v>
      </c>
      <c r="H418" s="14"/>
      <c r="I418" s="14" t="e">
        <f>SUM(H418/G424*100)</f>
        <v>#DIV/0!</v>
      </c>
      <c r="J418"/>
    </row>
    <row r="419" spans="1:10" ht="15">
      <c r="A419" s="99" t="s">
        <v>190</v>
      </c>
      <c r="B419" s="161"/>
      <c r="C419" s="128" t="s">
        <v>288</v>
      </c>
      <c r="D419" s="128" t="s">
        <v>425</v>
      </c>
      <c r="E419" s="128" t="s">
        <v>170</v>
      </c>
      <c r="F419" s="143"/>
      <c r="G419" s="177">
        <f>SUM(G420)</f>
        <v>7921.1</v>
      </c>
      <c r="H419" s="14">
        <f>SUM(H420)</f>
        <v>21823.6</v>
      </c>
      <c r="I419" s="14" t="e">
        <f>SUM(H419/G425*100)</f>
        <v>#DIV/0!</v>
      </c>
      <c r="J419"/>
    </row>
    <row r="420" spans="1:10" ht="28.5">
      <c r="A420" s="99" t="s">
        <v>85</v>
      </c>
      <c r="B420" s="164"/>
      <c r="C420" s="128" t="s">
        <v>288</v>
      </c>
      <c r="D420" s="128" t="s">
        <v>425</v>
      </c>
      <c r="E420" s="128" t="s">
        <v>74</v>
      </c>
      <c r="F420" s="143"/>
      <c r="G420" s="177">
        <f>SUM(G421+G426)</f>
        <v>7921.1</v>
      </c>
      <c r="H420" s="14">
        <f>SUM(H426:H428)</f>
        <v>21823.6</v>
      </c>
      <c r="I420" s="14">
        <f>SUM(H420/G426*100)</f>
        <v>275.5122394616909</v>
      </c>
      <c r="J420"/>
    </row>
    <row r="421" spans="1:10" ht="28.5" hidden="1">
      <c r="A421" s="105" t="s">
        <v>148</v>
      </c>
      <c r="B421" s="164"/>
      <c r="C421" s="128" t="s">
        <v>288</v>
      </c>
      <c r="D421" s="128" t="s">
        <v>425</v>
      </c>
      <c r="E421" s="128" t="s">
        <v>131</v>
      </c>
      <c r="F421" s="143"/>
      <c r="G421" s="177">
        <f>SUM(G424)+G422</f>
        <v>0</v>
      </c>
      <c r="H421" s="14"/>
      <c r="I421" s="14"/>
      <c r="J421"/>
    </row>
    <row r="422" spans="1:9" ht="28.5" hidden="1">
      <c r="A422" s="105" t="s">
        <v>378</v>
      </c>
      <c r="B422" s="164"/>
      <c r="C422" s="128" t="s">
        <v>288</v>
      </c>
      <c r="D422" s="128" t="s">
        <v>425</v>
      </c>
      <c r="E422" s="128" t="s">
        <v>132</v>
      </c>
      <c r="F422" s="143"/>
      <c r="G422" s="177">
        <f>SUM(G423)</f>
        <v>0</v>
      </c>
      <c r="H422" s="14"/>
      <c r="I422" s="14"/>
    </row>
    <row r="423" spans="1:9" ht="28.5" hidden="1">
      <c r="A423" s="105" t="s">
        <v>133</v>
      </c>
      <c r="B423" s="164"/>
      <c r="C423" s="128" t="s">
        <v>288</v>
      </c>
      <c r="D423" s="128" t="s">
        <v>425</v>
      </c>
      <c r="E423" s="128" t="s">
        <v>132</v>
      </c>
      <c r="F423" s="143" t="s">
        <v>73</v>
      </c>
      <c r="G423" s="177"/>
      <c r="H423" s="14"/>
      <c r="I423" s="14"/>
    </row>
    <row r="424" spans="1:9" ht="28.5" hidden="1">
      <c r="A424" s="99" t="s">
        <v>203</v>
      </c>
      <c r="B424" s="164"/>
      <c r="C424" s="128" t="s">
        <v>288</v>
      </c>
      <c r="D424" s="128" t="s">
        <v>425</v>
      </c>
      <c r="E424" s="128" t="s">
        <v>206</v>
      </c>
      <c r="F424" s="143"/>
      <c r="G424" s="177">
        <f>SUM(G425)</f>
        <v>0</v>
      </c>
      <c r="H424" s="14"/>
      <c r="I424" s="14"/>
    </row>
    <row r="425" spans="1:9" ht="28.5" hidden="1">
      <c r="A425" s="105" t="s">
        <v>133</v>
      </c>
      <c r="B425" s="164"/>
      <c r="C425" s="128" t="s">
        <v>288</v>
      </c>
      <c r="D425" s="128" t="s">
        <v>425</v>
      </c>
      <c r="E425" s="128" t="s">
        <v>206</v>
      </c>
      <c r="F425" s="143" t="s">
        <v>73</v>
      </c>
      <c r="G425" s="177"/>
      <c r="H425" s="14"/>
      <c r="I425" s="14"/>
    </row>
    <row r="426" spans="1:9" ht="28.5">
      <c r="A426" s="99" t="s">
        <v>290</v>
      </c>
      <c r="B426" s="164"/>
      <c r="C426" s="128" t="s">
        <v>288</v>
      </c>
      <c r="D426" s="128" t="s">
        <v>425</v>
      </c>
      <c r="E426" s="128" t="s">
        <v>289</v>
      </c>
      <c r="F426" s="143"/>
      <c r="G426" s="177">
        <f>SUM(G427)</f>
        <v>7921.1</v>
      </c>
      <c r="H426" s="14">
        <v>21823.6</v>
      </c>
      <c r="I426" s="14">
        <f>SUM(H426/G432*100)</f>
        <v>21823.6</v>
      </c>
    </row>
    <row r="427" spans="1:10" ht="28.5">
      <c r="A427" s="105" t="s">
        <v>481</v>
      </c>
      <c r="B427" s="168"/>
      <c r="C427" s="128" t="s">
        <v>288</v>
      </c>
      <c r="D427" s="128" t="s">
        <v>425</v>
      </c>
      <c r="E427" s="128" t="s">
        <v>289</v>
      </c>
      <c r="F427" s="144" t="s">
        <v>477</v>
      </c>
      <c r="G427" s="177">
        <v>7921.1</v>
      </c>
      <c r="H427" s="14"/>
      <c r="I427" s="14" t="e">
        <f>SUM(H427/G433*100)</f>
        <v>#DIV/0!</v>
      </c>
      <c r="J427" s="36">
        <f>SUM('ведомствен.2014'!G704)</f>
        <v>7921.1</v>
      </c>
    </row>
    <row r="428" spans="1:10" ht="15">
      <c r="A428" s="99" t="s">
        <v>230</v>
      </c>
      <c r="B428" s="161"/>
      <c r="C428" s="128" t="s">
        <v>288</v>
      </c>
      <c r="D428" s="128" t="s">
        <v>425</v>
      </c>
      <c r="E428" s="128" t="s">
        <v>231</v>
      </c>
      <c r="F428" s="143"/>
      <c r="G428" s="177">
        <f>SUM(G429)</f>
        <v>11289.4</v>
      </c>
      <c r="H428" s="14"/>
      <c r="I428" s="14" t="e">
        <f>SUM(H428/G434*100)</f>
        <v>#DIV/0!</v>
      </c>
      <c r="J428"/>
    </row>
    <row r="429" spans="1:10" ht="28.5">
      <c r="A429" s="99" t="s">
        <v>85</v>
      </c>
      <c r="B429" s="161"/>
      <c r="C429" s="128" t="s">
        <v>288</v>
      </c>
      <c r="D429" s="128" t="s">
        <v>425</v>
      </c>
      <c r="E429" s="128" t="s">
        <v>291</v>
      </c>
      <c r="F429" s="143"/>
      <c r="G429" s="177">
        <f>SUM(G435:G435)+G430</f>
        <v>11289.4</v>
      </c>
      <c r="H429" s="14"/>
      <c r="I429" s="14"/>
      <c r="J429"/>
    </row>
    <row r="430" spans="1:10" ht="28.5">
      <c r="A430" s="105" t="s">
        <v>148</v>
      </c>
      <c r="B430" s="161"/>
      <c r="C430" s="128" t="s">
        <v>288</v>
      </c>
      <c r="D430" s="128" t="s">
        <v>425</v>
      </c>
      <c r="E430" s="128" t="s">
        <v>207</v>
      </c>
      <c r="F430" s="143"/>
      <c r="G430" s="177">
        <f>SUM(G431)+G433</f>
        <v>100</v>
      </c>
      <c r="H430" s="14"/>
      <c r="I430" s="14"/>
      <c r="J430"/>
    </row>
    <row r="431" spans="1:10" ht="28.5">
      <c r="A431" s="105" t="s">
        <v>134</v>
      </c>
      <c r="B431" s="164"/>
      <c r="C431" s="128" t="s">
        <v>288</v>
      </c>
      <c r="D431" s="128" t="s">
        <v>425</v>
      </c>
      <c r="E431" s="128" t="s">
        <v>135</v>
      </c>
      <c r="F431" s="143"/>
      <c r="G431" s="177">
        <f>SUM(G432)</f>
        <v>100</v>
      </c>
      <c r="H431" s="14"/>
      <c r="I431" s="14"/>
      <c r="J431"/>
    </row>
    <row r="432" spans="1:10" ht="28.5">
      <c r="A432" s="105" t="s">
        <v>481</v>
      </c>
      <c r="B432" s="168"/>
      <c r="C432" s="128" t="s">
        <v>288</v>
      </c>
      <c r="D432" s="128" t="s">
        <v>425</v>
      </c>
      <c r="E432" s="128" t="s">
        <v>135</v>
      </c>
      <c r="F432" s="144" t="s">
        <v>477</v>
      </c>
      <c r="G432" s="177">
        <v>100</v>
      </c>
      <c r="H432" s="14"/>
      <c r="I432" s="14"/>
      <c r="J432" s="36">
        <f>SUM('ведомствен.2014'!G709)</f>
        <v>100</v>
      </c>
    </row>
    <row r="433" spans="1:10" ht="28.5" hidden="1">
      <c r="A433" s="105" t="s">
        <v>378</v>
      </c>
      <c r="B433" s="164"/>
      <c r="C433" s="128" t="s">
        <v>288</v>
      </c>
      <c r="D433" s="128" t="s">
        <v>425</v>
      </c>
      <c r="E433" s="128" t="s">
        <v>449</v>
      </c>
      <c r="F433" s="143"/>
      <c r="G433" s="177">
        <f>SUM(G434)</f>
        <v>0</v>
      </c>
      <c r="H433" s="14"/>
      <c r="I433" s="14"/>
      <c r="J433"/>
    </row>
    <row r="434" spans="1:10" ht="28.5" hidden="1">
      <c r="A434" s="105" t="s">
        <v>133</v>
      </c>
      <c r="B434" s="164"/>
      <c r="C434" s="128" t="s">
        <v>288</v>
      </c>
      <c r="D434" s="128" t="s">
        <v>425</v>
      </c>
      <c r="E434" s="128" t="s">
        <v>449</v>
      </c>
      <c r="F434" s="143" t="s">
        <v>73</v>
      </c>
      <c r="G434" s="177"/>
      <c r="H434" s="14"/>
      <c r="I434" s="14"/>
      <c r="J434"/>
    </row>
    <row r="435" spans="1:9" ht="28.5">
      <c r="A435" s="105" t="s">
        <v>290</v>
      </c>
      <c r="B435" s="161"/>
      <c r="C435" s="128" t="s">
        <v>288</v>
      </c>
      <c r="D435" s="128" t="s">
        <v>425</v>
      </c>
      <c r="E435" s="128" t="s">
        <v>292</v>
      </c>
      <c r="F435" s="143"/>
      <c r="G435" s="177">
        <f>SUM(G436)</f>
        <v>11189.4</v>
      </c>
      <c r="H435" s="14">
        <v>7467.6</v>
      </c>
      <c r="I435" s="14">
        <f aca="true" t="shared" si="12" ref="I435:I446">SUM(H435/G441*100)</f>
        <v>1408.715336728919</v>
      </c>
    </row>
    <row r="436" spans="1:10" ht="28.5">
      <c r="A436" s="105" t="s">
        <v>481</v>
      </c>
      <c r="B436" s="168"/>
      <c r="C436" s="128" t="s">
        <v>288</v>
      </c>
      <c r="D436" s="128" t="s">
        <v>425</v>
      </c>
      <c r="E436" s="128" t="s">
        <v>292</v>
      </c>
      <c r="F436" s="144" t="s">
        <v>477</v>
      </c>
      <c r="G436" s="177">
        <v>11189.4</v>
      </c>
      <c r="H436" s="14"/>
      <c r="I436" s="14">
        <f t="shared" si="12"/>
        <v>0</v>
      </c>
      <c r="J436" s="36">
        <f>SUM('ведомствен.2014'!G713)</f>
        <v>11189.4</v>
      </c>
    </row>
    <row r="437" spans="1:9" ht="15">
      <c r="A437" s="105" t="s">
        <v>232</v>
      </c>
      <c r="B437" s="161"/>
      <c r="C437" s="128" t="s">
        <v>288</v>
      </c>
      <c r="D437" s="128" t="s">
        <v>112</v>
      </c>
      <c r="E437" s="128"/>
      <c r="F437" s="143"/>
      <c r="G437" s="177">
        <f>SUM(G440+G443)</f>
        <v>530.1</v>
      </c>
      <c r="H437" s="14" t="e">
        <f>SUM(#REF!)</f>
        <v>#REF!</v>
      </c>
      <c r="I437" s="14" t="e">
        <f t="shared" si="12"/>
        <v>#REF!</v>
      </c>
    </row>
    <row r="438" spans="1:10" ht="15" hidden="1">
      <c r="A438" s="105" t="s">
        <v>351</v>
      </c>
      <c r="B438" s="161"/>
      <c r="C438" s="128" t="s">
        <v>288</v>
      </c>
      <c r="D438" s="128" t="s">
        <v>112</v>
      </c>
      <c r="E438" s="128" t="s">
        <v>352</v>
      </c>
      <c r="F438" s="143"/>
      <c r="G438" s="177">
        <f>SUM(G439)</f>
        <v>0</v>
      </c>
      <c r="H438" s="14">
        <f>SUM(H439)</f>
        <v>1817.2</v>
      </c>
      <c r="I438" s="14" t="e">
        <f t="shared" si="12"/>
        <v>#DIV/0!</v>
      </c>
      <c r="J438"/>
    </row>
    <row r="439" spans="1:10" ht="15" hidden="1">
      <c r="A439" s="105" t="s">
        <v>234</v>
      </c>
      <c r="B439" s="161"/>
      <c r="C439" s="128" t="s">
        <v>288</v>
      </c>
      <c r="D439" s="128" t="s">
        <v>112</v>
      </c>
      <c r="E439" s="128" t="s">
        <v>352</v>
      </c>
      <c r="F439" s="143" t="s">
        <v>235</v>
      </c>
      <c r="G439" s="177"/>
      <c r="H439" s="14">
        <f>SUM(H440:H441)</f>
        <v>1817.2</v>
      </c>
      <c r="I439" s="14">
        <f t="shared" si="12"/>
        <v>14.115490375802015</v>
      </c>
      <c r="J439"/>
    </row>
    <row r="440" spans="1:9" ht="28.5">
      <c r="A440" s="99" t="s">
        <v>85</v>
      </c>
      <c r="B440" s="161"/>
      <c r="C440" s="128" t="s">
        <v>288</v>
      </c>
      <c r="D440" s="128" t="s">
        <v>112</v>
      </c>
      <c r="E440" s="128" t="s">
        <v>478</v>
      </c>
      <c r="F440" s="143"/>
      <c r="G440" s="177">
        <f>SUM(G441)</f>
        <v>530.1</v>
      </c>
      <c r="H440" s="14">
        <v>1817.2</v>
      </c>
      <c r="I440" s="14" t="e">
        <f t="shared" si="12"/>
        <v>#DIV/0!</v>
      </c>
    </row>
    <row r="441" spans="1:9" ht="28.5">
      <c r="A441" s="105" t="s">
        <v>290</v>
      </c>
      <c r="B441" s="161"/>
      <c r="C441" s="128" t="s">
        <v>288</v>
      </c>
      <c r="D441" s="128" t="s">
        <v>425</v>
      </c>
      <c r="E441" s="128" t="s">
        <v>479</v>
      </c>
      <c r="F441" s="143"/>
      <c r="G441" s="177">
        <f>SUM(G442)</f>
        <v>530.1</v>
      </c>
      <c r="H441" s="14"/>
      <c r="I441" s="14" t="e">
        <f t="shared" si="12"/>
        <v>#DIV/0!</v>
      </c>
    </row>
    <row r="442" spans="1:10" ht="28.5">
      <c r="A442" s="105" t="s">
        <v>481</v>
      </c>
      <c r="B442" s="168"/>
      <c r="C442" s="128" t="s">
        <v>288</v>
      </c>
      <c r="D442" s="128" t="s">
        <v>425</v>
      </c>
      <c r="E442" s="128" t="s">
        <v>479</v>
      </c>
      <c r="F442" s="144" t="s">
        <v>477</v>
      </c>
      <c r="G442" s="177">
        <v>530.1</v>
      </c>
      <c r="H442" s="14"/>
      <c r="I442" s="14">
        <f t="shared" si="12"/>
        <v>0</v>
      </c>
      <c r="J442" s="36">
        <f>SUM('ведомствен.2014'!G719)</f>
        <v>530.1</v>
      </c>
    </row>
    <row r="443" spans="1:10" ht="15" hidden="1">
      <c r="A443" s="100" t="s">
        <v>3</v>
      </c>
      <c r="B443" s="161"/>
      <c r="C443" s="128" t="s">
        <v>288</v>
      </c>
      <c r="D443" s="128" t="s">
        <v>423</v>
      </c>
      <c r="E443" s="128" t="s">
        <v>255</v>
      </c>
      <c r="F443" s="142"/>
      <c r="G443" s="177">
        <f>SUM(G444)</f>
        <v>0</v>
      </c>
      <c r="H443" s="14" t="e">
        <f>SUM(#REF!)</f>
        <v>#REF!</v>
      </c>
      <c r="I443" s="14" t="e">
        <f t="shared" si="12"/>
        <v>#REF!</v>
      </c>
      <c r="J443"/>
    </row>
    <row r="444" spans="1:10" ht="28.5" hidden="1">
      <c r="A444" s="99" t="s">
        <v>328</v>
      </c>
      <c r="B444" s="161"/>
      <c r="C444" s="128" t="s">
        <v>288</v>
      </c>
      <c r="D444" s="128" t="s">
        <v>423</v>
      </c>
      <c r="E444" s="128" t="s">
        <v>255</v>
      </c>
      <c r="F444" s="142" t="s">
        <v>256</v>
      </c>
      <c r="G444" s="177"/>
      <c r="H444" s="14">
        <f>SUM(H445)</f>
        <v>340</v>
      </c>
      <c r="I444" s="14">
        <f t="shared" si="12"/>
        <v>2.9978397919146498</v>
      </c>
      <c r="J444"/>
    </row>
    <row r="445" spans="1:10" ht="15">
      <c r="A445" s="100" t="s">
        <v>228</v>
      </c>
      <c r="B445" s="162"/>
      <c r="C445" s="128" t="s">
        <v>288</v>
      </c>
      <c r="D445" s="128" t="s">
        <v>288</v>
      </c>
      <c r="E445" s="128"/>
      <c r="F445" s="143"/>
      <c r="G445" s="177">
        <f>SUM(G448)</f>
        <v>12873.800000000001</v>
      </c>
      <c r="H445" s="14">
        <f>SUM(H446)</f>
        <v>340</v>
      </c>
      <c r="I445" s="14">
        <f t="shared" si="12"/>
        <v>22.87867572841666</v>
      </c>
      <c r="J445"/>
    </row>
    <row r="446" spans="1:9" ht="42.75" hidden="1">
      <c r="A446" s="100" t="s">
        <v>209</v>
      </c>
      <c r="B446" s="162"/>
      <c r="C446" s="128" t="s">
        <v>288</v>
      </c>
      <c r="D446" s="128" t="s">
        <v>288</v>
      </c>
      <c r="E446" s="128" t="s">
        <v>210</v>
      </c>
      <c r="F446" s="143"/>
      <c r="G446" s="177">
        <f>SUM(G447)</f>
        <v>0</v>
      </c>
      <c r="H446" s="14">
        <v>340</v>
      </c>
      <c r="I446" s="14">
        <f t="shared" si="12"/>
        <v>735.930735930736</v>
      </c>
    </row>
    <row r="447" spans="1:10" ht="28.5" hidden="1">
      <c r="A447" s="105" t="s">
        <v>148</v>
      </c>
      <c r="B447" s="162"/>
      <c r="C447" s="128" t="s">
        <v>288</v>
      </c>
      <c r="D447" s="128" t="s">
        <v>288</v>
      </c>
      <c r="E447" s="128" t="s">
        <v>210</v>
      </c>
      <c r="F447" s="143" t="s">
        <v>73</v>
      </c>
      <c r="G447" s="177"/>
      <c r="H447" s="14">
        <f>SUM(H448)</f>
        <v>9494.7</v>
      </c>
      <c r="I447" s="14" t="e">
        <f>SUM(H447/#REF!*100)</f>
        <v>#REF!</v>
      </c>
      <c r="J447"/>
    </row>
    <row r="448" spans="1:10" ht="28.5">
      <c r="A448" s="100" t="s">
        <v>167</v>
      </c>
      <c r="B448" s="161"/>
      <c r="C448" s="128" t="s">
        <v>288</v>
      </c>
      <c r="D448" s="128" t="s">
        <v>288</v>
      </c>
      <c r="E448" s="128" t="s">
        <v>168</v>
      </c>
      <c r="F448" s="143"/>
      <c r="G448" s="177">
        <f>SUM(G449)</f>
        <v>12873.800000000001</v>
      </c>
      <c r="H448" s="14">
        <f>SUM(H449)</f>
        <v>9494.7</v>
      </c>
      <c r="I448" s="14" t="e">
        <f>SUM(H448/#REF!*100)</f>
        <v>#REF!</v>
      </c>
      <c r="J448"/>
    </row>
    <row r="449" spans="1:10" ht="28.5">
      <c r="A449" s="99" t="s">
        <v>47</v>
      </c>
      <c r="B449" s="161"/>
      <c r="C449" s="128" t="s">
        <v>288</v>
      </c>
      <c r="D449" s="128" t="s">
        <v>288</v>
      </c>
      <c r="E449" s="128" t="s">
        <v>169</v>
      </c>
      <c r="F449" s="143"/>
      <c r="G449" s="177">
        <f>SUM(G450:G452)</f>
        <v>12873.800000000001</v>
      </c>
      <c r="H449" s="14">
        <f>SUM(H450:H451)</f>
        <v>9494.7</v>
      </c>
      <c r="I449" s="14" t="e">
        <f>SUM(H449/#REF!*100)</f>
        <v>#REF!</v>
      </c>
      <c r="J449"/>
    </row>
    <row r="450" spans="1:10" ht="42.75">
      <c r="A450" s="99" t="s">
        <v>459</v>
      </c>
      <c r="B450" s="161"/>
      <c r="C450" s="128" t="s">
        <v>288</v>
      </c>
      <c r="D450" s="128" t="s">
        <v>288</v>
      </c>
      <c r="E450" s="128" t="s">
        <v>169</v>
      </c>
      <c r="F450" s="142" t="s">
        <v>460</v>
      </c>
      <c r="G450" s="177">
        <v>11341.5</v>
      </c>
      <c r="H450" s="14">
        <v>9494.7</v>
      </c>
      <c r="I450" s="14" t="e">
        <f>SUM(H450/#REF!*100)</f>
        <v>#REF!</v>
      </c>
      <c r="J450" s="36">
        <f>SUM('ведомствен.2014'!G727)</f>
        <v>11341.5</v>
      </c>
    </row>
    <row r="451" spans="1:10" ht="15">
      <c r="A451" s="99" t="s">
        <v>464</v>
      </c>
      <c r="B451" s="161"/>
      <c r="C451" s="128" t="s">
        <v>288</v>
      </c>
      <c r="D451" s="128" t="s">
        <v>288</v>
      </c>
      <c r="E451" s="128" t="s">
        <v>169</v>
      </c>
      <c r="F451" s="142" t="s">
        <v>110</v>
      </c>
      <c r="G451" s="178">
        <v>1486.1</v>
      </c>
      <c r="H451" s="14"/>
      <c r="I451" s="14" t="e">
        <f>SUM(H451/#REF!*100)</f>
        <v>#REF!</v>
      </c>
      <c r="J451" s="36">
        <f>SUM('ведомствен.2014'!G728)</f>
        <v>1486.1</v>
      </c>
    </row>
    <row r="452" spans="1:10" ht="15">
      <c r="A452" s="99" t="s">
        <v>465</v>
      </c>
      <c r="B452" s="161"/>
      <c r="C452" s="128" t="s">
        <v>288</v>
      </c>
      <c r="D452" s="128" t="s">
        <v>288</v>
      </c>
      <c r="E452" s="128" t="s">
        <v>169</v>
      </c>
      <c r="F452" s="143" t="s">
        <v>165</v>
      </c>
      <c r="G452" s="177">
        <v>46.2</v>
      </c>
      <c r="H452" s="14" t="e">
        <f>SUM(#REF!+#REF!+#REF!)</f>
        <v>#REF!</v>
      </c>
      <c r="I452" s="14" t="e">
        <f>SUM(H452/#REF!*100)</f>
        <v>#REF!</v>
      </c>
      <c r="J452" s="36">
        <f>SUM('ведомствен.2014'!G729)</f>
        <v>46.2</v>
      </c>
    </row>
    <row r="453" spans="1:12" s="16" customFormat="1" ht="15">
      <c r="A453" s="102" t="s">
        <v>176</v>
      </c>
      <c r="B453" s="164"/>
      <c r="C453" s="130" t="s">
        <v>5</v>
      </c>
      <c r="D453" s="130"/>
      <c r="E453" s="130"/>
      <c r="F453" s="149"/>
      <c r="G453" s="179">
        <f>SUM(G454+G458+G472+G524+G544)</f>
        <v>976714.1000000001</v>
      </c>
      <c r="H453" s="18">
        <f>SUM(H454)+H456</f>
        <v>0</v>
      </c>
      <c r="I453" s="14" t="e">
        <f aca="true" t="shared" si="13" ref="I453:I466">SUM(H453/G459*100)</f>
        <v>#DIV/0!</v>
      </c>
      <c r="K453" s="16">
        <f>SUM(J455:J569)</f>
        <v>976714.1000000001</v>
      </c>
      <c r="L453" s="16">
        <f>SUM('ведомствен.2014'!G261+'ведомствен.2014'!G356+'ведомствен.2014'!G574)+'ведомствен.2014'!G313</f>
        <v>976714.1</v>
      </c>
    </row>
    <row r="454" spans="1:9" s="16" customFormat="1" ht="15">
      <c r="A454" s="99" t="s">
        <v>178</v>
      </c>
      <c r="B454" s="161"/>
      <c r="C454" s="55" t="s">
        <v>5</v>
      </c>
      <c r="D454" s="55" t="s">
        <v>423</v>
      </c>
      <c r="E454" s="55"/>
      <c r="F454" s="142"/>
      <c r="G454" s="177">
        <f>SUM(G455)</f>
        <v>4032.6</v>
      </c>
      <c r="H454" s="14">
        <f>SUM(H455)</f>
        <v>0</v>
      </c>
      <c r="I454" s="14" t="e">
        <f t="shared" si="13"/>
        <v>#DIV/0!</v>
      </c>
    </row>
    <row r="455" spans="1:9" s="16" customFormat="1" ht="28.5">
      <c r="A455" s="99" t="s">
        <v>179</v>
      </c>
      <c r="B455" s="161"/>
      <c r="C455" s="55" t="s">
        <v>5</v>
      </c>
      <c r="D455" s="55" t="s">
        <v>423</v>
      </c>
      <c r="E455" s="55" t="s">
        <v>180</v>
      </c>
      <c r="F455" s="142"/>
      <c r="G455" s="177">
        <f>SUM(G456)</f>
        <v>4032.6</v>
      </c>
      <c r="H455" s="14"/>
      <c r="I455" s="14" t="e">
        <f t="shared" si="13"/>
        <v>#DIV/0!</v>
      </c>
    </row>
    <row r="456" spans="1:9" s="16" customFormat="1" ht="28.5">
      <c r="A456" s="99" t="s">
        <v>181</v>
      </c>
      <c r="B456" s="161"/>
      <c r="C456" s="55" t="s">
        <v>5</v>
      </c>
      <c r="D456" s="55" t="s">
        <v>423</v>
      </c>
      <c r="E456" s="55" t="s">
        <v>182</v>
      </c>
      <c r="F456" s="142"/>
      <c r="G456" s="177">
        <f>SUM(G457)</f>
        <v>4032.6</v>
      </c>
      <c r="H456" s="14">
        <f>SUM(H457)</f>
        <v>0</v>
      </c>
      <c r="I456" s="14" t="e">
        <f t="shared" si="13"/>
        <v>#DIV/0!</v>
      </c>
    </row>
    <row r="457" spans="1:10" s="16" customFormat="1" ht="15">
      <c r="A457" s="99" t="s">
        <v>469</v>
      </c>
      <c r="B457" s="161"/>
      <c r="C457" s="55" t="s">
        <v>5</v>
      </c>
      <c r="D457" s="55" t="s">
        <v>423</v>
      </c>
      <c r="E457" s="55" t="s">
        <v>182</v>
      </c>
      <c r="F457" s="142" t="s">
        <v>470</v>
      </c>
      <c r="G457" s="177">
        <v>4032.6</v>
      </c>
      <c r="H457" s="14"/>
      <c r="I457" s="14" t="e">
        <f t="shared" si="13"/>
        <v>#DIV/0!</v>
      </c>
      <c r="J457" s="16">
        <f>SUM('ведомствен.2014'!G360)</f>
        <v>4032.6</v>
      </c>
    </row>
    <row r="458" spans="1:9" s="16" customFormat="1" ht="15">
      <c r="A458" s="99" t="s">
        <v>183</v>
      </c>
      <c r="B458" s="161"/>
      <c r="C458" s="128" t="s">
        <v>5</v>
      </c>
      <c r="D458" s="128" t="s">
        <v>425</v>
      </c>
      <c r="E458" s="55"/>
      <c r="F458" s="142"/>
      <c r="G458" s="177">
        <f>SUM(G459+G464)</f>
        <v>48439.1</v>
      </c>
      <c r="H458" s="14">
        <f>SUM(H459+H461)</f>
        <v>16618.3</v>
      </c>
      <c r="I458" s="14">
        <f t="shared" si="13"/>
        <v>34.30761512910025</v>
      </c>
    </row>
    <row r="459" spans="1:9" s="16" customFormat="1" ht="15" hidden="1">
      <c r="A459" s="109" t="s">
        <v>64</v>
      </c>
      <c r="B459" s="161"/>
      <c r="C459" s="128" t="s">
        <v>5</v>
      </c>
      <c r="D459" s="128" t="s">
        <v>425</v>
      </c>
      <c r="E459" s="128" t="s">
        <v>65</v>
      </c>
      <c r="F459" s="143"/>
      <c r="G459" s="177"/>
      <c r="H459" s="14">
        <f>SUM(H460)</f>
        <v>0</v>
      </c>
      <c r="I459" s="14">
        <f t="shared" si="13"/>
        <v>0</v>
      </c>
    </row>
    <row r="460" spans="1:9" s="16" customFormat="1" ht="42.75" hidden="1">
      <c r="A460" s="109" t="s">
        <v>13</v>
      </c>
      <c r="B460" s="161"/>
      <c r="C460" s="128" t="s">
        <v>5</v>
      </c>
      <c r="D460" s="128" t="s">
        <v>425</v>
      </c>
      <c r="E460" s="128" t="s">
        <v>14</v>
      </c>
      <c r="F460" s="143"/>
      <c r="G460" s="177">
        <f>SUM(G461+G462)</f>
        <v>0</v>
      </c>
      <c r="H460" s="14"/>
      <c r="I460" s="14">
        <f t="shared" si="13"/>
        <v>0</v>
      </c>
    </row>
    <row r="461" spans="1:9" s="16" customFormat="1" ht="15" hidden="1">
      <c r="A461" s="103" t="s">
        <v>234</v>
      </c>
      <c r="B461" s="161"/>
      <c r="C461" s="128" t="s">
        <v>5</v>
      </c>
      <c r="D461" s="128" t="s">
        <v>425</v>
      </c>
      <c r="E461" s="128" t="s">
        <v>14</v>
      </c>
      <c r="F461" s="143" t="s">
        <v>235</v>
      </c>
      <c r="G461" s="177"/>
      <c r="H461" s="14">
        <f>SUM(H462)</f>
        <v>16618.3</v>
      </c>
      <c r="I461" s="14">
        <f t="shared" si="13"/>
        <v>1443.563238359972</v>
      </c>
    </row>
    <row r="462" spans="1:10" s="16" customFormat="1" ht="28.5" hidden="1">
      <c r="A462" s="109" t="s">
        <v>15</v>
      </c>
      <c r="B462" s="161"/>
      <c r="C462" s="128" t="s">
        <v>5</v>
      </c>
      <c r="D462" s="128" t="s">
        <v>425</v>
      </c>
      <c r="E462" s="128" t="s">
        <v>16</v>
      </c>
      <c r="F462" s="143"/>
      <c r="G462" s="177">
        <f>SUM(G463)</f>
        <v>0</v>
      </c>
      <c r="H462" s="14">
        <v>16618.3</v>
      </c>
      <c r="I462" s="14">
        <f t="shared" si="13"/>
        <v>35.542528140713195</v>
      </c>
      <c r="J462" s="38"/>
    </row>
    <row r="463" spans="1:9" s="16" customFormat="1" ht="15" hidden="1">
      <c r="A463" s="103" t="s">
        <v>234</v>
      </c>
      <c r="B463" s="161"/>
      <c r="C463" s="128" t="s">
        <v>5</v>
      </c>
      <c r="D463" s="128" t="s">
        <v>425</v>
      </c>
      <c r="E463" s="128" t="s">
        <v>16</v>
      </c>
      <c r="F463" s="143" t="s">
        <v>235</v>
      </c>
      <c r="G463" s="177"/>
      <c r="H463" s="18" t="e">
        <f>SUM(H473+#REF!+#REF!+#REF!+H464)</f>
        <v>#REF!</v>
      </c>
      <c r="I463" s="14" t="e">
        <f t="shared" si="13"/>
        <v>#REF!</v>
      </c>
    </row>
    <row r="464" spans="1:9" s="16" customFormat="1" ht="15">
      <c r="A464" s="109" t="s">
        <v>64</v>
      </c>
      <c r="B464" s="161"/>
      <c r="C464" s="128" t="s">
        <v>5</v>
      </c>
      <c r="D464" s="128" t="s">
        <v>425</v>
      </c>
      <c r="E464" s="128" t="s">
        <v>17</v>
      </c>
      <c r="F464" s="143"/>
      <c r="G464" s="177">
        <f>SUM(G465+G468)</f>
        <v>48439.1</v>
      </c>
      <c r="H464" s="14">
        <f>SUM(H466)</f>
        <v>200</v>
      </c>
      <c r="I464" s="14">
        <f t="shared" si="13"/>
        <v>2.6098076571756663</v>
      </c>
    </row>
    <row r="465" spans="1:9" s="16" customFormat="1" ht="28.5">
      <c r="A465" s="103" t="s">
        <v>47</v>
      </c>
      <c r="B465" s="161"/>
      <c r="C465" s="128" t="s">
        <v>5</v>
      </c>
      <c r="D465" s="128" t="s">
        <v>425</v>
      </c>
      <c r="E465" s="128" t="s">
        <v>18</v>
      </c>
      <c r="F465" s="143"/>
      <c r="G465" s="177">
        <f>SUM(G466:G467)</f>
        <v>1683</v>
      </c>
      <c r="H465" s="14">
        <f>SUM(H466)</f>
        <v>200</v>
      </c>
      <c r="I465" s="14">
        <f t="shared" si="13"/>
        <v>51.813471502590666</v>
      </c>
    </row>
    <row r="466" spans="1:10" s="16" customFormat="1" ht="42.75">
      <c r="A466" s="99" t="s">
        <v>459</v>
      </c>
      <c r="B466" s="161"/>
      <c r="C466" s="128" t="s">
        <v>5</v>
      </c>
      <c r="D466" s="128" t="s">
        <v>425</v>
      </c>
      <c r="E466" s="128" t="s">
        <v>18</v>
      </c>
      <c r="F466" s="142" t="s">
        <v>460</v>
      </c>
      <c r="G466" s="177">
        <v>531.8</v>
      </c>
      <c r="H466" s="14">
        <v>200</v>
      </c>
      <c r="I466" s="14">
        <f t="shared" si="13"/>
        <v>0.025734332391585436</v>
      </c>
      <c r="J466" s="16">
        <f>SUM('ведомствен.2014'!G369)</f>
        <v>531.8</v>
      </c>
    </row>
    <row r="467" spans="1:10" s="16" customFormat="1" ht="15">
      <c r="A467" s="99" t="s">
        <v>464</v>
      </c>
      <c r="B467" s="161"/>
      <c r="C467" s="128" t="s">
        <v>5</v>
      </c>
      <c r="D467" s="128" t="s">
        <v>425</v>
      </c>
      <c r="E467" s="128" t="s">
        <v>18</v>
      </c>
      <c r="F467" s="142" t="s">
        <v>110</v>
      </c>
      <c r="G467" s="177">
        <v>1151.2</v>
      </c>
      <c r="H467" s="14"/>
      <c r="I467" s="14"/>
      <c r="J467" s="16">
        <f>SUM('ведомствен.2014'!G370)</f>
        <v>1151.2</v>
      </c>
    </row>
    <row r="468" spans="1:10" ht="42.75">
      <c r="A468" s="103" t="s">
        <v>19</v>
      </c>
      <c r="B468" s="161"/>
      <c r="C468" s="128" t="s">
        <v>5</v>
      </c>
      <c r="D468" s="128" t="s">
        <v>425</v>
      </c>
      <c r="E468" s="128" t="s">
        <v>20</v>
      </c>
      <c r="F468" s="143"/>
      <c r="G468" s="177">
        <f>SUM(G469:G471)</f>
        <v>46756.1</v>
      </c>
      <c r="H468" s="14">
        <f>SUM(H471)</f>
        <v>0</v>
      </c>
      <c r="I468" s="14" t="e">
        <f>SUM(H468/G474*100)</f>
        <v>#DIV/0!</v>
      </c>
      <c r="J468"/>
    </row>
    <row r="469" spans="1:10" ht="42.75">
      <c r="A469" s="99" t="s">
        <v>459</v>
      </c>
      <c r="B469" s="161"/>
      <c r="C469" s="128" t="s">
        <v>5</v>
      </c>
      <c r="D469" s="128" t="s">
        <v>425</v>
      </c>
      <c r="E469" s="128" t="s">
        <v>20</v>
      </c>
      <c r="F469" s="142" t="s">
        <v>460</v>
      </c>
      <c r="G469" s="177">
        <v>38706.7</v>
      </c>
      <c r="H469" s="14"/>
      <c r="I469" s="14"/>
      <c r="J469" s="16">
        <f>SUM('ведомствен.2014'!G372)</f>
        <v>38706.7</v>
      </c>
    </row>
    <row r="470" spans="1:10" ht="15">
      <c r="A470" s="99" t="s">
        <v>464</v>
      </c>
      <c r="B470" s="161"/>
      <c r="C470" s="128" t="s">
        <v>5</v>
      </c>
      <c r="D470" s="128" t="s">
        <v>425</v>
      </c>
      <c r="E470" s="128" t="s">
        <v>20</v>
      </c>
      <c r="F470" s="142" t="s">
        <v>110</v>
      </c>
      <c r="G470" s="177">
        <v>7663.4</v>
      </c>
      <c r="H470" s="14"/>
      <c r="I470" s="14"/>
      <c r="J470" s="16">
        <f>SUM('ведомствен.2014'!G373)</f>
        <v>7663.4</v>
      </c>
    </row>
    <row r="471" spans="1:10" ht="15">
      <c r="A471" s="99" t="s">
        <v>465</v>
      </c>
      <c r="B471" s="161"/>
      <c r="C471" s="128" t="s">
        <v>5</v>
      </c>
      <c r="D471" s="128" t="s">
        <v>425</v>
      </c>
      <c r="E471" s="128" t="s">
        <v>20</v>
      </c>
      <c r="F471" s="142" t="s">
        <v>165</v>
      </c>
      <c r="G471" s="177">
        <v>386</v>
      </c>
      <c r="H471" s="14">
        <f>SUM(H472)</f>
        <v>0</v>
      </c>
      <c r="I471" s="14">
        <f aca="true" t="shared" si="14" ref="I471:I484">SUM(H471/G477*100)</f>
        <v>0</v>
      </c>
      <c r="J471" s="16">
        <f>SUM('ведомствен.2014'!G374)</f>
        <v>386</v>
      </c>
    </row>
    <row r="472" spans="1:10" ht="15">
      <c r="A472" s="99" t="s">
        <v>21</v>
      </c>
      <c r="B472" s="161"/>
      <c r="C472" s="55" t="s">
        <v>5</v>
      </c>
      <c r="D472" s="55" t="s">
        <v>96</v>
      </c>
      <c r="E472" s="55"/>
      <c r="F472" s="142"/>
      <c r="G472" s="177">
        <f>SUM(G476+G518+G521)</f>
        <v>777171.9000000001</v>
      </c>
      <c r="H472" s="14"/>
      <c r="I472" s="14">
        <f t="shared" si="14"/>
        <v>0</v>
      </c>
      <c r="J472"/>
    </row>
    <row r="473" spans="1:10" ht="15" hidden="1">
      <c r="A473" s="99" t="s">
        <v>371</v>
      </c>
      <c r="B473" s="161"/>
      <c r="C473" s="55" t="s">
        <v>5</v>
      </c>
      <c r="D473" s="55" t="s">
        <v>96</v>
      </c>
      <c r="E473" s="55" t="s">
        <v>373</v>
      </c>
      <c r="F473" s="142"/>
      <c r="G473" s="177">
        <f>SUM(G475)</f>
        <v>0</v>
      </c>
      <c r="H473" s="14" t="e">
        <f>SUM(H474+H476+H478+H491+H493+H513+H519+H524+H538+H540+H564)+#REF!+H497+H499+H506+H509+H515+H522+H490+H504+H501+H511+H483+H486+H480</f>
        <v>#REF!</v>
      </c>
      <c r="I473" s="14" t="e">
        <f t="shared" si="14"/>
        <v>#REF!</v>
      </c>
      <c r="J473"/>
    </row>
    <row r="474" spans="1:10" ht="15" hidden="1">
      <c r="A474" s="99" t="s">
        <v>351</v>
      </c>
      <c r="B474" s="161"/>
      <c r="C474" s="55" t="s">
        <v>5</v>
      </c>
      <c r="D474" s="55" t="s">
        <v>96</v>
      </c>
      <c r="E474" s="55" t="s">
        <v>352</v>
      </c>
      <c r="F474" s="142"/>
      <c r="G474" s="177">
        <f>SUM(G475)</f>
        <v>0</v>
      </c>
      <c r="H474" s="14">
        <f>SUM(H475:H475)</f>
        <v>0</v>
      </c>
      <c r="I474" s="14">
        <f t="shared" si="14"/>
        <v>0</v>
      </c>
      <c r="J474"/>
    </row>
    <row r="475" spans="1:10" ht="15" hidden="1">
      <c r="A475" s="99" t="s">
        <v>284</v>
      </c>
      <c r="B475" s="162"/>
      <c r="C475" s="55" t="s">
        <v>5</v>
      </c>
      <c r="D475" s="55" t="s">
        <v>96</v>
      </c>
      <c r="E475" s="55" t="s">
        <v>352</v>
      </c>
      <c r="F475" s="143" t="s">
        <v>285</v>
      </c>
      <c r="G475" s="177"/>
      <c r="H475" s="14"/>
      <c r="I475" s="14">
        <f t="shared" si="14"/>
        <v>0</v>
      </c>
      <c r="J475"/>
    </row>
    <row r="476" spans="1:9" s="16" customFormat="1" ht="15">
      <c r="A476" s="99" t="s">
        <v>22</v>
      </c>
      <c r="B476" s="161"/>
      <c r="C476" s="55" t="s">
        <v>5</v>
      </c>
      <c r="D476" s="55" t="s">
        <v>96</v>
      </c>
      <c r="E476" s="55" t="s">
        <v>23</v>
      </c>
      <c r="F476" s="142"/>
      <c r="G476" s="177">
        <f>SUM(G477+G479+G481+G483+G485+G488+G516)</f>
        <v>775923.6000000001</v>
      </c>
      <c r="H476" s="14">
        <f>SUM(H477:H477)</f>
        <v>0</v>
      </c>
      <c r="I476" s="14">
        <f t="shared" si="14"/>
        <v>0</v>
      </c>
    </row>
    <row r="477" spans="1:9" s="16" customFormat="1" ht="42.75">
      <c r="A477" s="99" t="s">
        <v>273</v>
      </c>
      <c r="B477" s="161"/>
      <c r="C477" s="128" t="s">
        <v>5</v>
      </c>
      <c r="D477" s="128" t="s">
        <v>96</v>
      </c>
      <c r="E477" s="128" t="s">
        <v>274</v>
      </c>
      <c r="F477" s="143"/>
      <c r="G477" s="177">
        <f>SUM(G478)</f>
        <v>92012.1</v>
      </c>
      <c r="H477" s="14"/>
      <c r="I477" s="14">
        <f t="shared" si="14"/>
        <v>0</v>
      </c>
    </row>
    <row r="478" spans="1:10" s="16" customFormat="1" ht="15">
      <c r="A478" s="99" t="s">
        <v>469</v>
      </c>
      <c r="B478" s="161"/>
      <c r="C478" s="128" t="s">
        <v>5</v>
      </c>
      <c r="D478" s="128" t="s">
        <v>96</v>
      </c>
      <c r="E478" s="128" t="s">
        <v>274</v>
      </c>
      <c r="F478" s="143" t="s">
        <v>470</v>
      </c>
      <c r="G478" s="177">
        <v>92012.1</v>
      </c>
      <c r="H478" s="14">
        <f>SUM(H479)</f>
        <v>0</v>
      </c>
      <c r="I478" s="14">
        <f t="shared" si="14"/>
        <v>0</v>
      </c>
      <c r="J478" s="16">
        <f>SUM('ведомствен.2014'!G381)</f>
        <v>92012.1</v>
      </c>
    </row>
    <row r="479" spans="1:9" s="16" customFormat="1" ht="28.5">
      <c r="A479" s="99" t="s">
        <v>272</v>
      </c>
      <c r="B479" s="161"/>
      <c r="C479" s="128" t="s">
        <v>5</v>
      </c>
      <c r="D479" s="128" t="s">
        <v>96</v>
      </c>
      <c r="E479" s="128" t="s">
        <v>545</v>
      </c>
      <c r="F479" s="143"/>
      <c r="G479" s="177">
        <f>SUM(G480)</f>
        <v>158497.6</v>
      </c>
      <c r="H479" s="14"/>
      <c r="I479" s="14">
        <f t="shared" si="14"/>
        <v>0</v>
      </c>
    </row>
    <row r="480" spans="1:10" s="16" customFormat="1" ht="15">
      <c r="A480" s="99" t="s">
        <v>469</v>
      </c>
      <c r="B480" s="162"/>
      <c r="C480" s="128" t="s">
        <v>5</v>
      </c>
      <c r="D480" s="128" t="s">
        <v>96</v>
      </c>
      <c r="E480" s="128" t="s">
        <v>545</v>
      </c>
      <c r="F480" s="143" t="s">
        <v>470</v>
      </c>
      <c r="G480" s="177">
        <v>158497.6</v>
      </c>
      <c r="H480" s="14">
        <f>SUM(H481)</f>
        <v>361.8</v>
      </c>
      <c r="I480" s="14">
        <f t="shared" si="14"/>
        <v>17.258980107808995</v>
      </c>
      <c r="J480" s="16">
        <f>SUM('ведомствен.2014'!G383)</f>
        <v>158497.6</v>
      </c>
    </row>
    <row r="481" spans="1:9" s="16" customFormat="1" ht="42.75">
      <c r="A481" s="100" t="s">
        <v>271</v>
      </c>
      <c r="B481" s="161"/>
      <c r="C481" s="128" t="s">
        <v>5</v>
      </c>
      <c r="D481" s="128" t="s">
        <v>96</v>
      </c>
      <c r="E481" s="128" t="s">
        <v>546</v>
      </c>
      <c r="F481" s="143"/>
      <c r="G481" s="177">
        <f>SUM(G482)</f>
        <v>77.1</v>
      </c>
      <c r="H481" s="14">
        <v>361.8</v>
      </c>
      <c r="I481" s="14">
        <f t="shared" si="14"/>
        <v>20.1</v>
      </c>
    </row>
    <row r="482" spans="1:10" s="16" customFormat="1" ht="15">
      <c r="A482" s="99" t="s">
        <v>469</v>
      </c>
      <c r="B482" s="161"/>
      <c r="C482" s="128" t="s">
        <v>5</v>
      </c>
      <c r="D482" s="128" t="s">
        <v>96</v>
      </c>
      <c r="E482" s="128" t="s">
        <v>546</v>
      </c>
      <c r="F482" s="143" t="s">
        <v>470</v>
      </c>
      <c r="G482" s="177">
        <v>77.1</v>
      </c>
      <c r="H482" s="14"/>
      <c r="I482" s="14">
        <f t="shared" si="14"/>
        <v>0</v>
      </c>
      <c r="J482" s="16">
        <f>SUM('ведомствен.2014'!G385)</f>
        <v>77.1</v>
      </c>
    </row>
    <row r="483" spans="1:9" s="16" customFormat="1" ht="85.5">
      <c r="A483" s="110" t="s">
        <v>548</v>
      </c>
      <c r="B483" s="151"/>
      <c r="C483" s="132" t="s">
        <v>5</v>
      </c>
      <c r="D483" s="132" t="s">
        <v>96</v>
      </c>
      <c r="E483" s="132" t="s">
        <v>547</v>
      </c>
      <c r="F483" s="201"/>
      <c r="G483" s="185">
        <f>G484</f>
        <v>78774.5</v>
      </c>
      <c r="H483" s="14">
        <f>SUM(H484)</f>
        <v>634.3</v>
      </c>
      <c r="I483" s="14">
        <f t="shared" si="14"/>
        <v>116.2147306705753</v>
      </c>
    </row>
    <row r="484" spans="1:10" s="16" customFormat="1" ht="15">
      <c r="A484" s="111" t="s">
        <v>469</v>
      </c>
      <c r="B484" s="151"/>
      <c r="C484" s="132" t="s">
        <v>5</v>
      </c>
      <c r="D484" s="132" t="s">
        <v>96</v>
      </c>
      <c r="E484" s="132" t="s">
        <v>547</v>
      </c>
      <c r="F484" s="201" t="s">
        <v>470</v>
      </c>
      <c r="G484" s="185">
        <v>78774.5</v>
      </c>
      <c r="H484" s="14">
        <v>634.3</v>
      </c>
      <c r="I484" s="14">
        <f t="shared" si="14"/>
        <v>116.2147306705753</v>
      </c>
      <c r="J484" s="16">
        <f>SUM('ведомствен.2014'!G387)</f>
        <v>78774.5</v>
      </c>
    </row>
    <row r="485" spans="1:10" s="16" customFormat="1" ht="15">
      <c r="A485" s="111" t="s">
        <v>211</v>
      </c>
      <c r="B485" s="151"/>
      <c r="C485" s="132" t="s">
        <v>5</v>
      </c>
      <c r="D485" s="132" t="s">
        <v>96</v>
      </c>
      <c r="E485" s="132" t="s">
        <v>549</v>
      </c>
      <c r="F485" s="201"/>
      <c r="G485" s="185">
        <f>G486+G487</f>
        <v>3896.3</v>
      </c>
      <c r="H485" s="14"/>
      <c r="I485" s="14"/>
      <c r="J485" s="38"/>
    </row>
    <row r="486" spans="1:10" s="16" customFormat="1" ht="15">
      <c r="A486" s="111" t="s">
        <v>469</v>
      </c>
      <c r="B486" s="151"/>
      <c r="C486" s="132" t="s">
        <v>5</v>
      </c>
      <c r="D486" s="132" t="s">
        <v>96</v>
      </c>
      <c r="E486" s="132" t="s">
        <v>549</v>
      </c>
      <c r="F486" s="201" t="s">
        <v>470</v>
      </c>
      <c r="G486" s="185">
        <v>2096.3</v>
      </c>
      <c r="H486" s="14">
        <f>SUM(H487)</f>
        <v>542.8</v>
      </c>
      <c r="I486" s="14">
        <f>SUM(H486/G492*100)</f>
        <v>0.9584314777996334</v>
      </c>
      <c r="J486" s="16">
        <f>SUM('ведомствен.2014'!G389)</f>
        <v>2096.3</v>
      </c>
    </row>
    <row r="487" spans="1:10" s="16" customFormat="1" ht="57">
      <c r="A487" s="111" t="s">
        <v>550</v>
      </c>
      <c r="B487" s="151"/>
      <c r="C487" s="132" t="s">
        <v>5</v>
      </c>
      <c r="D487" s="132" t="s">
        <v>96</v>
      </c>
      <c r="E487" s="132" t="s">
        <v>549</v>
      </c>
      <c r="F487" s="201" t="s">
        <v>477</v>
      </c>
      <c r="G487" s="185">
        <v>1800</v>
      </c>
      <c r="H487" s="14">
        <v>542.8</v>
      </c>
      <c r="I487" s="14">
        <f>SUM(H487/G493*100)</f>
        <v>1.0117276909197999</v>
      </c>
      <c r="J487" s="16">
        <f>SUM('ведомствен.2014'!G390)</f>
        <v>1800</v>
      </c>
    </row>
    <row r="488" spans="1:9" s="16" customFormat="1" ht="28.5">
      <c r="A488" s="111" t="s">
        <v>276</v>
      </c>
      <c r="B488" s="151"/>
      <c r="C488" s="132" t="s">
        <v>5</v>
      </c>
      <c r="D488" s="132" t="s">
        <v>96</v>
      </c>
      <c r="E488" s="132" t="s">
        <v>551</v>
      </c>
      <c r="F488" s="201"/>
      <c r="G488" s="185">
        <f>G489+G491+G493+G495+G497+G499+G501+G503+G505+G507+G509+G511+G514</f>
        <v>433210.30000000005</v>
      </c>
      <c r="H488" s="18"/>
      <c r="I488" s="14"/>
    </row>
    <row r="489" spans="1:9" s="16" customFormat="1" ht="57">
      <c r="A489" s="111" t="s">
        <v>431</v>
      </c>
      <c r="B489" s="151"/>
      <c r="C489" s="132" t="s">
        <v>5</v>
      </c>
      <c r="D489" s="132" t="s">
        <v>96</v>
      </c>
      <c r="E489" s="132" t="s">
        <v>552</v>
      </c>
      <c r="F489" s="201"/>
      <c r="G489" s="185">
        <f>G490</f>
        <v>545.8</v>
      </c>
      <c r="H489" s="18"/>
      <c r="I489" s="14"/>
    </row>
    <row r="490" spans="1:10" s="16" customFormat="1" ht="15">
      <c r="A490" s="111" t="s">
        <v>469</v>
      </c>
      <c r="B490" s="151"/>
      <c r="C490" s="132" t="s">
        <v>5</v>
      </c>
      <c r="D490" s="132" t="s">
        <v>96</v>
      </c>
      <c r="E490" s="132" t="s">
        <v>552</v>
      </c>
      <c r="F490" s="201" t="s">
        <v>470</v>
      </c>
      <c r="G490" s="185">
        <v>545.8</v>
      </c>
      <c r="H490" s="18"/>
      <c r="I490" s="14"/>
      <c r="J490" s="16">
        <f>SUM('ведомствен.2014'!G393)</f>
        <v>545.8</v>
      </c>
    </row>
    <row r="491" spans="1:9" s="16" customFormat="1" ht="28.5">
      <c r="A491" s="112" t="s">
        <v>432</v>
      </c>
      <c r="B491" s="151"/>
      <c r="C491" s="132" t="s">
        <v>5</v>
      </c>
      <c r="D491" s="132" t="s">
        <v>96</v>
      </c>
      <c r="E491" s="132" t="s">
        <v>553</v>
      </c>
      <c r="F491" s="201"/>
      <c r="G491" s="185">
        <f>SUM(G492)</f>
        <v>56634.2</v>
      </c>
      <c r="H491" s="14">
        <f>SUM(H492)</f>
        <v>1313.1</v>
      </c>
      <c r="I491" s="14">
        <f>SUM(H491/G497*100)</f>
        <v>85.47158758055066</v>
      </c>
    </row>
    <row r="492" spans="1:10" s="16" customFormat="1" ht="15">
      <c r="A492" s="111" t="s">
        <v>469</v>
      </c>
      <c r="B492" s="151"/>
      <c r="C492" s="132" t="s">
        <v>5</v>
      </c>
      <c r="D492" s="132" t="s">
        <v>96</v>
      </c>
      <c r="E492" s="132" t="s">
        <v>553</v>
      </c>
      <c r="F492" s="201" t="s">
        <v>470</v>
      </c>
      <c r="G492" s="185">
        <v>56634.2</v>
      </c>
      <c r="H492" s="14">
        <v>1313.1</v>
      </c>
      <c r="I492" s="14">
        <f>SUM(H492/G498*100)</f>
        <v>85.47158758055066</v>
      </c>
      <c r="J492" s="16">
        <f>SUM('ведомствен.2014'!G395)</f>
        <v>56634.2</v>
      </c>
    </row>
    <row r="493" spans="1:9" s="16" customFormat="1" ht="71.25">
      <c r="A493" s="113" t="s">
        <v>433</v>
      </c>
      <c r="B493" s="151"/>
      <c r="C493" s="132" t="s">
        <v>5</v>
      </c>
      <c r="D493" s="132" t="s">
        <v>96</v>
      </c>
      <c r="E493" s="132" t="s">
        <v>554</v>
      </c>
      <c r="F493" s="201"/>
      <c r="G493" s="185">
        <f>SUM(G494)</f>
        <v>53650.8</v>
      </c>
      <c r="H493" s="14">
        <f>SUM(H494)</f>
        <v>6301</v>
      </c>
      <c r="I493" s="14">
        <f>SUM(H493/G499*100)</f>
        <v>64.14994451401404</v>
      </c>
    </row>
    <row r="494" spans="1:10" s="16" customFormat="1" ht="15">
      <c r="A494" s="111" t="s">
        <v>469</v>
      </c>
      <c r="B494" s="151"/>
      <c r="C494" s="132" t="s">
        <v>5</v>
      </c>
      <c r="D494" s="132" t="s">
        <v>96</v>
      </c>
      <c r="E494" s="132" t="s">
        <v>554</v>
      </c>
      <c r="F494" s="201" t="s">
        <v>470</v>
      </c>
      <c r="G494" s="185">
        <v>53650.8</v>
      </c>
      <c r="H494" s="14">
        <v>6301</v>
      </c>
      <c r="I494" s="14">
        <f>SUM(H494/G500*100)</f>
        <v>64.14994451401404</v>
      </c>
      <c r="J494" s="16">
        <f>SUM('ведомствен.2014'!G397)</f>
        <v>53650.8</v>
      </c>
    </row>
    <row r="495" spans="1:10" s="16" customFormat="1" ht="85.5">
      <c r="A495" s="113" t="s">
        <v>555</v>
      </c>
      <c r="B495" s="151"/>
      <c r="C495" s="132" t="s">
        <v>5</v>
      </c>
      <c r="D495" s="132" t="s">
        <v>96</v>
      </c>
      <c r="E495" s="132" t="s">
        <v>556</v>
      </c>
      <c r="F495" s="201"/>
      <c r="G495" s="185">
        <f>G496</f>
        <v>170670.4</v>
      </c>
      <c r="H495" s="14"/>
      <c r="I495" s="14"/>
      <c r="J495" s="38"/>
    </row>
    <row r="496" spans="1:10" s="16" customFormat="1" ht="15">
      <c r="A496" s="111" t="s">
        <v>469</v>
      </c>
      <c r="B496" s="151"/>
      <c r="C496" s="132" t="s">
        <v>5</v>
      </c>
      <c r="D496" s="132" t="s">
        <v>96</v>
      </c>
      <c r="E496" s="132" t="s">
        <v>556</v>
      </c>
      <c r="F496" s="201" t="s">
        <v>470</v>
      </c>
      <c r="G496" s="185">
        <v>170670.4</v>
      </c>
      <c r="H496" s="14"/>
      <c r="I496" s="14"/>
      <c r="J496" s="16">
        <f>SUM('ведомствен.2014'!G399)</f>
        <v>170670.4</v>
      </c>
    </row>
    <row r="497" spans="1:9" s="16" customFormat="1" ht="99.75">
      <c r="A497" s="112" t="s">
        <v>434</v>
      </c>
      <c r="B497" s="151"/>
      <c r="C497" s="132" t="s">
        <v>5</v>
      </c>
      <c r="D497" s="132" t="s">
        <v>96</v>
      </c>
      <c r="E497" s="132" t="s">
        <v>557</v>
      </c>
      <c r="F497" s="201"/>
      <c r="G497" s="185">
        <f>SUM(G498)</f>
        <v>1536.3</v>
      </c>
      <c r="H497" s="14">
        <f>SUM(H498)</f>
        <v>18786.9</v>
      </c>
      <c r="I497" s="14">
        <f aca="true" t="shared" si="15" ref="I497:I502">SUM(H497/G503*100)</f>
        <v>1861.3791736847322</v>
      </c>
    </row>
    <row r="498" spans="1:10" s="16" customFormat="1" ht="15">
      <c r="A498" s="111" t="s">
        <v>469</v>
      </c>
      <c r="B498" s="151"/>
      <c r="C498" s="132" t="s">
        <v>5</v>
      </c>
      <c r="D498" s="132" t="s">
        <v>96</v>
      </c>
      <c r="E498" s="132" t="s">
        <v>557</v>
      </c>
      <c r="F498" s="201" t="s">
        <v>470</v>
      </c>
      <c r="G498" s="185">
        <v>1536.3</v>
      </c>
      <c r="H498" s="14">
        <v>18786.9</v>
      </c>
      <c r="I498" s="14">
        <f t="shared" si="15"/>
        <v>1861.3791736847322</v>
      </c>
      <c r="J498" s="16">
        <f>SUM('ведомствен.2014'!G401)</f>
        <v>1536.3</v>
      </c>
    </row>
    <row r="499" spans="1:9" s="16" customFormat="1" ht="99.75">
      <c r="A499" s="112" t="s">
        <v>435</v>
      </c>
      <c r="B499" s="151"/>
      <c r="C499" s="132" t="s">
        <v>5</v>
      </c>
      <c r="D499" s="132" t="s">
        <v>96</v>
      </c>
      <c r="E499" s="132" t="s">
        <v>558</v>
      </c>
      <c r="F499" s="201"/>
      <c r="G499" s="185">
        <f>G500</f>
        <v>9822.3</v>
      </c>
      <c r="H499" s="14">
        <f>SUM(H500)</f>
        <v>15760.4</v>
      </c>
      <c r="I499" s="14">
        <f t="shared" si="15"/>
        <v>6475.102711585866</v>
      </c>
    </row>
    <row r="500" spans="1:10" s="16" customFormat="1" ht="15">
      <c r="A500" s="111" t="s">
        <v>469</v>
      </c>
      <c r="B500" s="151"/>
      <c r="C500" s="132" t="s">
        <v>5</v>
      </c>
      <c r="D500" s="132" t="s">
        <v>96</v>
      </c>
      <c r="E500" s="132" t="s">
        <v>558</v>
      </c>
      <c r="F500" s="201" t="s">
        <v>470</v>
      </c>
      <c r="G500" s="185">
        <v>9822.3</v>
      </c>
      <c r="H500" s="14">
        <v>15760.4</v>
      </c>
      <c r="I500" s="14">
        <f t="shared" si="15"/>
        <v>6475.102711585866</v>
      </c>
      <c r="J500" s="16">
        <f>SUM('ведомствен.2014'!G403)</f>
        <v>9822.3</v>
      </c>
    </row>
    <row r="501" spans="1:9" s="25" customFormat="1" ht="57">
      <c r="A501" s="111" t="s">
        <v>436</v>
      </c>
      <c r="B501" s="151"/>
      <c r="C501" s="132" t="s">
        <v>5</v>
      </c>
      <c r="D501" s="132" t="s">
        <v>96</v>
      </c>
      <c r="E501" s="132" t="s">
        <v>559</v>
      </c>
      <c r="F501" s="201"/>
      <c r="G501" s="185">
        <f>SUM(G502)</f>
        <v>120441.6</v>
      </c>
      <c r="H501" s="14">
        <f>SUM(H502)</f>
        <v>40636.1</v>
      </c>
      <c r="I501" s="14">
        <f t="shared" si="15"/>
        <v>608.2702152501272</v>
      </c>
    </row>
    <row r="502" spans="1:10" s="25" customFormat="1" ht="15">
      <c r="A502" s="111" t="s">
        <v>469</v>
      </c>
      <c r="B502" s="151"/>
      <c r="C502" s="132" t="s">
        <v>5</v>
      </c>
      <c r="D502" s="132" t="s">
        <v>96</v>
      </c>
      <c r="E502" s="132" t="s">
        <v>559</v>
      </c>
      <c r="F502" s="201" t="s">
        <v>470</v>
      </c>
      <c r="G502" s="185">
        <v>120441.6</v>
      </c>
      <c r="H502" s="14">
        <v>40636.1</v>
      </c>
      <c r="I502" s="14">
        <f t="shared" si="15"/>
        <v>608.2702152501272</v>
      </c>
      <c r="J502" s="16">
        <f>SUM('ведомствен.2014'!G405)</f>
        <v>120441.6</v>
      </c>
    </row>
    <row r="503" spans="1:10" s="25" customFormat="1" ht="85.5">
      <c r="A503" s="111" t="s">
        <v>437</v>
      </c>
      <c r="B503" s="151"/>
      <c r="C503" s="132" t="s">
        <v>5</v>
      </c>
      <c r="D503" s="132" t="s">
        <v>96</v>
      </c>
      <c r="E503" s="132" t="s">
        <v>560</v>
      </c>
      <c r="F503" s="201"/>
      <c r="G503" s="185">
        <f>G504</f>
        <v>1009.3</v>
      </c>
      <c r="H503" s="14"/>
      <c r="I503" s="14"/>
      <c r="J503" s="38"/>
    </row>
    <row r="504" spans="1:10" s="16" customFormat="1" ht="15">
      <c r="A504" s="111" t="s">
        <v>469</v>
      </c>
      <c r="B504" s="151"/>
      <c r="C504" s="132" t="s">
        <v>5</v>
      </c>
      <c r="D504" s="132" t="s">
        <v>96</v>
      </c>
      <c r="E504" s="132" t="s">
        <v>560</v>
      </c>
      <c r="F504" s="201" t="s">
        <v>470</v>
      </c>
      <c r="G504" s="185">
        <v>1009.3</v>
      </c>
      <c r="H504" s="14">
        <f>SUM(H505)</f>
        <v>191.3</v>
      </c>
      <c r="I504" s="14">
        <f>SUM(H504/G510*100)</f>
        <v>3.570895243784067</v>
      </c>
      <c r="J504" s="16">
        <f>SUM('ведомствен.2014'!G407)</f>
        <v>1009.3</v>
      </c>
    </row>
    <row r="505" spans="1:10" s="16" customFormat="1" ht="71.25">
      <c r="A505" s="111" t="s">
        <v>561</v>
      </c>
      <c r="B505" s="151"/>
      <c r="C505" s="132" t="s">
        <v>5</v>
      </c>
      <c r="D505" s="132" t="s">
        <v>96</v>
      </c>
      <c r="E505" s="132" t="s">
        <v>562</v>
      </c>
      <c r="F505" s="201"/>
      <c r="G505" s="185">
        <f>SUM(G506)</f>
        <v>243.4</v>
      </c>
      <c r="H505" s="14">
        <v>191.3</v>
      </c>
      <c r="I505" s="14">
        <f>SUM(H505/G511*100)</f>
        <v>10.840369467898228</v>
      </c>
      <c r="J505" s="38"/>
    </row>
    <row r="506" spans="1:10" s="16" customFormat="1" ht="15">
      <c r="A506" s="111" t="s">
        <v>469</v>
      </c>
      <c r="B506" s="151"/>
      <c r="C506" s="132" t="s">
        <v>5</v>
      </c>
      <c r="D506" s="132" t="s">
        <v>96</v>
      </c>
      <c r="E506" s="132" t="s">
        <v>562</v>
      </c>
      <c r="F506" s="201" t="s">
        <v>470</v>
      </c>
      <c r="G506" s="185">
        <v>243.4</v>
      </c>
      <c r="H506" s="14">
        <f>SUM(H508)</f>
        <v>4180.7</v>
      </c>
      <c r="I506" s="14">
        <f>SUM(H506/G512*100)</f>
        <v>283.03432401326927</v>
      </c>
      <c r="J506" s="16">
        <f>SUM('ведомствен.2014'!G409)</f>
        <v>243.4</v>
      </c>
    </row>
    <row r="507" spans="1:10" s="16" customFormat="1" ht="57">
      <c r="A507" s="111" t="s">
        <v>438</v>
      </c>
      <c r="B507" s="151"/>
      <c r="C507" s="132" t="s">
        <v>5</v>
      </c>
      <c r="D507" s="132" t="s">
        <v>96</v>
      </c>
      <c r="E507" s="132" t="s">
        <v>563</v>
      </c>
      <c r="F507" s="201"/>
      <c r="G507" s="185">
        <f>G508</f>
        <v>6680.6</v>
      </c>
      <c r="H507" s="14"/>
      <c r="I507" s="14"/>
      <c r="J507" s="38"/>
    </row>
    <row r="508" spans="1:10" s="16" customFormat="1" ht="15">
      <c r="A508" s="111" t="s">
        <v>469</v>
      </c>
      <c r="B508" s="151"/>
      <c r="C508" s="132" t="s">
        <v>5</v>
      </c>
      <c r="D508" s="132" t="s">
        <v>96</v>
      </c>
      <c r="E508" s="132" t="s">
        <v>563</v>
      </c>
      <c r="F508" s="201" t="s">
        <v>470</v>
      </c>
      <c r="G508" s="185">
        <v>6680.6</v>
      </c>
      <c r="H508" s="14">
        <v>4180.7</v>
      </c>
      <c r="I508" s="14">
        <f>SUM(H508/G514*100)</f>
        <v>86.13428930506623</v>
      </c>
      <c r="J508" s="16">
        <f>SUM('ведомствен.2014'!G411)</f>
        <v>6680.6</v>
      </c>
    </row>
    <row r="509" spans="1:9" s="16" customFormat="1" ht="42.75">
      <c r="A509" s="111" t="s">
        <v>439</v>
      </c>
      <c r="B509" s="151"/>
      <c r="C509" s="132" t="s">
        <v>5</v>
      </c>
      <c r="D509" s="132" t="s">
        <v>96</v>
      </c>
      <c r="E509" s="132" t="s">
        <v>564</v>
      </c>
      <c r="F509" s="201"/>
      <c r="G509" s="185">
        <f>SUM(G510)</f>
        <v>5357.2</v>
      </c>
      <c r="H509" s="14">
        <f>SUM(H510)</f>
        <v>0</v>
      </c>
      <c r="I509" s="14">
        <f>SUM(H509/G515*100)</f>
        <v>0</v>
      </c>
    </row>
    <row r="510" spans="1:10" s="16" customFormat="1" ht="15">
      <c r="A510" s="111" t="s">
        <v>469</v>
      </c>
      <c r="B510" s="151"/>
      <c r="C510" s="132" t="s">
        <v>5</v>
      </c>
      <c r="D510" s="132" t="s">
        <v>96</v>
      </c>
      <c r="E510" s="132" t="s">
        <v>564</v>
      </c>
      <c r="F510" s="201" t="s">
        <v>470</v>
      </c>
      <c r="G510" s="185">
        <v>5357.2</v>
      </c>
      <c r="H510" s="14"/>
      <c r="I510" s="14">
        <f aca="true" t="shared" si="16" ref="I510:I515">SUM(H510/G518*100)</f>
        <v>0</v>
      </c>
      <c r="J510" s="16">
        <f>SUM('ведомствен.2014'!G413)</f>
        <v>5357.2</v>
      </c>
    </row>
    <row r="511" spans="1:9" s="25" customFormat="1" ht="42.75">
      <c r="A511" s="112" t="s">
        <v>440</v>
      </c>
      <c r="B511" s="151"/>
      <c r="C511" s="132" t="s">
        <v>5</v>
      </c>
      <c r="D511" s="132" t="s">
        <v>96</v>
      </c>
      <c r="E511" s="132" t="s">
        <v>565</v>
      </c>
      <c r="F511" s="201"/>
      <c r="G511" s="185">
        <f>SUM(G512+G513)</f>
        <v>1764.6999999999998</v>
      </c>
      <c r="H511" s="14">
        <f>SUM(H512)</f>
        <v>0</v>
      </c>
      <c r="I511" s="14">
        <f t="shared" si="16"/>
        <v>0</v>
      </c>
    </row>
    <row r="512" spans="1:10" s="25" customFormat="1" ht="15">
      <c r="A512" s="111" t="s">
        <v>469</v>
      </c>
      <c r="B512" s="151"/>
      <c r="C512" s="132" t="s">
        <v>5</v>
      </c>
      <c r="D512" s="132" t="s">
        <v>96</v>
      </c>
      <c r="E512" s="132" t="s">
        <v>565</v>
      </c>
      <c r="F512" s="201" t="s">
        <v>470</v>
      </c>
      <c r="G512" s="185">
        <v>1477.1</v>
      </c>
      <c r="H512" s="14"/>
      <c r="I512" s="14">
        <f t="shared" si="16"/>
        <v>0</v>
      </c>
      <c r="J512" s="16">
        <f>SUM('ведомствен.2014'!G415)</f>
        <v>1477.1</v>
      </c>
    </row>
    <row r="513" spans="1:10" s="16" customFormat="1" ht="42.75">
      <c r="A513" s="111" t="s">
        <v>566</v>
      </c>
      <c r="B513" s="151"/>
      <c r="C513" s="132" t="s">
        <v>5</v>
      </c>
      <c r="D513" s="132" t="s">
        <v>96</v>
      </c>
      <c r="E513" s="132" t="s">
        <v>565</v>
      </c>
      <c r="F513" s="201" t="s">
        <v>477</v>
      </c>
      <c r="G513" s="185">
        <v>287.6</v>
      </c>
      <c r="H513" s="14">
        <f>SUM(H514)</f>
        <v>16724.6</v>
      </c>
      <c r="I513" s="14">
        <f t="shared" si="16"/>
        <v>5661.679079214624</v>
      </c>
      <c r="J513" s="16">
        <f>SUM('ведомствен.2014'!G416)</f>
        <v>287.6</v>
      </c>
    </row>
    <row r="514" spans="1:10" s="16" customFormat="1" ht="42.75">
      <c r="A514" s="111" t="s">
        <v>441</v>
      </c>
      <c r="B514" s="151"/>
      <c r="C514" s="132" t="s">
        <v>5</v>
      </c>
      <c r="D514" s="132" t="s">
        <v>96</v>
      </c>
      <c r="E514" s="132" t="s">
        <v>567</v>
      </c>
      <c r="F514" s="201"/>
      <c r="G514" s="185">
        <f>SUM(G515)</f>
        <v>4853.7</v>
      </c>
      <c r="H514" s="14">
        <v>16724.6</v>
      </c>
      <c r="I514" s="14">
        <f t="shared" si="16"/>
        <v>5661.679079214624</v>
      </c>
      <c r="J514" s="38"/>
    </row>
    <row r="515" spans="1:10" s="16" customFormat="1" ht="15">
      <c r="A515" s="111" t="s">
        <v>469</v>
      </c>
      <c r="B515" s="151"/>
      <c r="C515" s="132" t="s">
        <v>5</v>
      </c>
      <c r="D515" s="132" t="s">
        <v>96</v>
      </c>
      <c r="E515" s="132" t="s">
        <v>567</v>
      </c>
      <c r="F515" s="201" t="s">
        <v>470</v>
      </c>
      <c r="G515" s="185">
        <v>4853.7</v>
      </c>
      <c r="H515" s="14">
        <f>SUM(H518)</f>
        <v>4118.3</v>
      </c>
      <c r="I515" s="14">
        <f t="shared" si="16"/>
        <v>1394.1435341909278</v>
      </c>
      <c r="J515" s="16">
        <f>SUM('ведомствен.2014'!G418)</f>
        <v>4853.7</v>
      </c>
    </row>
    <row r="516" spans="1:9" s="16" customFormat="1" ht="42.75">
      <c r="A516" s="107" t="s">
        <v>590</v>
      </c>
      <c r="B516" s="169"/>
      <c r="C516" s="120" t="s">
        <v>5</v>
      </c>
      <c r="D516" s="120" t="s">
        <v>96</v>
      </c>
      <c r="E516" s="120" t="s">
        <v>171</v>
      </c>
      <c r="F516" s="216"/>
      <c r="G516" s="182">
        <f>SUM(G517)</f>
        <v>9455.7</v>
      </c>
      <c r="H516" s="14"/>
      <c r="I516" s="14"/>
    </row>
    <row r="517" spans="1:10" s="16" customFormat="1" ht="15">
      <c r="A517" s="107" t="s">
        <v>469</v>
      </c>
      <c r="B517" s="169"/>
      <c r="C517" s="120" t="s">
        <v>5</v>
      </c>
      <c r="D517" s="120" t="s">
        <v>96</v>
      </c>
      <c r="E517" s="120" t="s">
        <v>171</v>
      </c>
      <c r="F517" s="216" t="s">
        <v>470</v>
      </c>
      <c r="G517" s="182">
        <v>9455.7</v>
      </c>
      <c r="H517" s="14"/>
      <c r="I517" s="14"/>
      <c r="J517" s="16">
        <f>SUM('ведомствен.2014'!G578)</f>
        <v>9455.7</v>
      </c>
    </row>
    <row r="518" spans="1:10" s="16" customFormat="1" ht="28.5">
      <c r="A518" s="111" t="s">
        <v>172</v>
      </c>
      <c r="B518" s="151"/>
      <c r="C518" s="132" t="s">
        <v>5</v>
      </c>
      <c r="D518" s="132" t="s">
        <v>96</v>
      </c>
      <c r="E518" s="132" t="s">
        <v>173</v>
      </c>
      <c r="F518" s="201"/>
      <c r="G518" s="185">
        <f>SUM(G519)</f>
        <v>952.9</v>
      </c>
      <c r="H518" s="14">
        <v>4118.3</v>
      </c>
      <c r="I518" s="14">
        <f>SUM(H518/G524*100)</f>
        <v>3.94398380383797</v>
      </c>
      <c r="J518" s="38"/>
    </row>
    <row r="519" spans="1:9" s="16" customFormat="1" ht="15">
      <c r="A519" s="111" t="s">
        <v>174</v>
      </c>
      <c r="B519" s="151"/>
      <c r="C519" s="132" t="s">
        <v>5</v>
      </c>
      <c r="D519" s="132" t="s">
        <v>96</v>
      </c>
      <c r="E519" s="132" t="s">
        <v>175</v>
      </c>
      <c r="F519" s="201"/>
      <c r="G519" s="185">
        <f>SUM(G520:G520)</f>
        <v>952.9</v>
      </c>
      <c r="H519" s="14">
        <f>SUM(H520)</f>
        <v>5628.5</v>
      </c>
      <c r="I519" s="14">
        <f>SUM(H519/G534*100)</f>
        <v>9.769123425762647</v>
      </c>
    </row>
    <row r="520" spans="1:10" s="16" customFormat="1" ht="15">
      <c r="A520" s="111" t="s">
        <v>469</v>
      </c>
      <c r="B520" s="151"/>
      <c r="C520" s="132" t="s">
        <v>5</v>
      </c>
      <c r="D520" s="132" t="s">
        <v>96</v>
      </c>
      <c r="E520" s="132" t="s">
        <v>175</v>
      </c>
      <c r="F520" s="201" t="s">
        <v>470</v>
      </c>
      <c r="G520" s="185">
        <v>952.9</v>
      </c>
      <c r="H520" s="14">
        <f>SUM(H521)</f>
        <v>5628.5</v>
      </c>
      <c r="I520" s="14">
        <f>SUM(H520/G537*100)</f>
        <v>18.422870085789008</v>
      </c>
      <c r="J520" s="16">
        <f>SUM('ведомствен.2014'!G421)</f>
        <v>952.9</v>
      </c>
    </row>
    <row r="521" spans="1:9" s="16" customFormat="1" ht="15">
      <c r="A521" s="105" t="s">
        <v>568</v>
      </c>
      <c r="B521" s="151"/>
      <c r="C521" s="132" t="s">
        <v>5</v>
      </c>
      <c r="D521" s="132" t="s">
        <v>96</v>
      </c>
      <c r="E521" s="132" t="s">
        <v>119</v>
      </c>
      <c r="F521" s="201"/>
      <c r="G521" s="185">
        <f>G522</f>
        <v>295.4</v>
      </c>
      <c r="H521" s="18">
        <v>5628.5</v>
      </c>
      <c r="I521" s="14">
        <f>SUM(H521/G538*100)</f>
        <v>180.2273455011207</v>
      </c>
    </row>
    <row r="522" spans="1:9" s="16" customFormat="1" ht="42.75">
      <c r="A522" s="105" t="s">
        <v>569</v>
      </c>
      <c r="B522" s="151"/>
      <c r="C522" s="132" t="s">
        <v>5</v>
      </c>
      <c r="D522" s="132" t="s">
        <v>96</v>
      </c>
      <c r="E522" s="132" t="s">
        <v>570</v>
      </c>
      <c r="F522" s="201"/>
      <c r="G522" s="185">
        <f>G523</f>
        <v>295.4</v>
      </c>
      <c r="H522" s="14">
        <f>SUM(H523)</f>
        <v>12.8</v>
      </c>
      <c r="I522" s="14">
        <f>SUM(H522/G539*100)</f>
        <v>0.4098623118796029</v>
      </c>
    </row>
    <row r="523" spans="1:10" s="16" customFormat="1" ht="15">
      <c r="A523" s="111" t="s">
        <v>469</v>
      </c>
      <c r="B523" s="151"/>
      <c r="C523" s="132" t="s">
        <v>5</v>
      </c>
      <c r="D523" s="132" t="s">
        <v>96</v>
      </c>
      <c r="E523" s="132" t="s">
        <v>570</v>
      </c>
      <c r="F523" s="201" t="s">
        <v>470</v>
      </c>
      <c r="G523" s="185">
        <v>295.4</v>
      </c>
      <c r="H523" s="14">
        <v>12.8</v>
      </c>
      <c r="I523" s="14">
        <f>SUM(H523/G540*100)</f>
        <v>0.45049801147362123</v>
      </c>
      <c r="J523" s="16">
        <f>SUM('ведомствен.2014'!G424)</f>
        <v>295.4</v>
      </c>
    </row>
    <row r="524" spans="1:11" s="16" customFormat="1" ht="15">
      <c r="A524" s="112" t="s">
        <v>149</v>
      </c>
      <c r="B524" s="151"/>
      <c r="C524" s="132" t="s">
        <v>5</v>
      </c>
      <c r="D524" s="132" t="s">
        <v>112</v>
      </c>
      <c r="E524" s="132"/>
      <c r="F524" s="201"/>
      <c r="G524" s="185">
        <f>SUM(G534)+G525</f>
        <v>104419.79999999999</v>
      </c>
      <c r="H524" s="14">
        <f>SUM(H534)</f>
        <v>90050.4</v>
      </c>
      <c r="I524" s="14">
        <f>SUM(H524/G541*100)</f>
        <v>3169.337979094076</v>
      </c>
      <c r="K524" s="16">
        <f>SUM(J525:J543)</f>
        <v>104419.80000000002</v>
      </c>
    </row>
    <row r="525" spans="1:9" s="16" customFormat="1" ht="15">
      <c r="A525" s="99" t="s">
        <v>22</v>
      </c>
      <c r="B525" s="161"/>
      <c r="C525" s="129" t="s">
        <v>5</v>
      </c>
      <c r="D525" s="129" t="s">
        <v>112</v>
      </c>
      <c r="E525" s="55" t="s">
        <v>23</v>
      </c>
      <c r="F525" s="142"/>
      <c r="G525" s="175">
        <f>SUM(G526)</f>
        <v>46804.6</v>
      </c>
      <c r="H525" s="14"/>
      <c r="I525" s="14"/>
    </row>
    <row r="526" spans="1:9" s="16" customFormat="1" ht="42.75">
      <c r="A526" s="103" t="s">
        <v>533</v>
      </c>
      <c r="B526" s="150"/>
      <c r="C526" s="129" t="s">
        <v>5</v>
      </c>
      <c r="D526" s="129" t="s">
        <v>112</v>
      </c>
      <c r="E526" s="129" t="s">
        <v>195</v>
      </c>
      <c r="F526" s="147"/>
      <c r="G526" s="175">
        <f>G531+G527</f>
        <v>46804.6</v>
      </c>
      <c r="H526" s="14"/>
      <c r="I526" s="14"/>
    </row>
    <row r="527" spans="1:9" s="16" customFormat="1" ht="71.25">
      <c r="A527" s="103" t="s">
        <v>534</v>
      </c>
      <c r="B527" s="150"/>
      <c r="C527" s="129" t="s">
        <v>5</v>
      </c>
      <c r="D527" s="129" t="s">
        <v>112</v>
      </c>
      <c r="E527" s="129" t="s">
        <v>535</v>
      </c>
      <c r="F527" s="147"/>
      <c r="G527" s="175">
        <f>SUM(G528)</f>
        <v>23007.6</v>
      </c>
      <c r="H527" s="14"/>
      <c r="I527" s="14"/>
    </row>
    <row r="528" spans="1:10" s="16" customFormat="1" ht="28.5">
      <c r="A528" s="103" t="s">
        <v>536</v>
      </c>
      <c r="B528" s="150"/>
      <c r="C528" s="129" t="s">
        <v>5</v>
      </c>
      <c r="D528" s="129" t="s">
        <v>112</v>
      </c>
      <c r="E528" s="129" t="s">
        <v>535</v>
      </c>
      <c r="F528" s="147" t="s">
        <v>528</v>
      </c>
      <c r="G528" s="175">
        <v>23007.6</v>
      </c>
      <c r="H528" s="14"/>
      <c r="I528" s="14"/>
      <c r="J528" s="16">
        <f>SUM('ведомствен.2014'!G266)</f>
        <v>23007.6</v>
      </c>
    </row>
    <row r="529" spans="1:9" s="16" customFormat="1" ht="15" hidden="1">
      <c r="A529" s="103" t="s">
        <v>55</v>
      </c>
      <c r="B529" s="150"/>
      <c r="C529" s="129" t="s">
        <v>5</v>
      </c>
      <c r="D529" s="129" t="s">
        <v>112</v>
      </c>
      <c r="E529" s="129" t="s">
        <v>535</v>
      </c>
      <c r="F529" s="147" t="s">
        <v>537</v>
      </c>
      <c r="G529" s="175"/>
      <c r="H529" s="14"/>
      <c r="I529" s="14"/>
    </row>
    <row r="530" spans="1:9" s="16" customFormat="1" ht="28.5" hidden="1">
      <c r="A530" s="103" t="s">
        <v>538</v>
      </c>
      <c r="B530" s="150"/>
      <c r="C530" s="129" t="s">
        <v>5</v>
      </c>
      <c r="D530" s="129" t="s">
        <v>112</v>
      </c>
      <c r="E530" s="129" t="s">
        <v>535</v>
      </c>
      <c r="F530" s="147" t="s">
        <v>539</v>
      </c>
      <c r="G530" s="175"/>
      <c r="H530" s="14"/>
      <c r="I530" s="14"/>
    </row>
    <row r="531" spans="1:9" s="16" customFormat="1" ht="57">
      <c r="A531" s="103" t="s">
        <v>540</v>
      </c>
      <c r="B531" s="150"/>
      <c r="C531" s="129" t="s">
        <v>5</v>
      </c>
      <c r="D531" s="129" t="s">
        <v>112</v>
      </c>
      <c r="E531" s="129" t="s">
        <v>429</v>
      </c>
      <c r="F531" s="147"/>
      <c r="G531" s="175">
        <f>SUM(G532)</f>
        <v>23797</v>
      </c>
      <c r="H531" s="14"/>
      <c r="I531" s="14"/>
    </row>
    <row r="532" spans="1:10" s="16" customFormat="1" ht="28.5">
      <c r="A532" s="103" t="s">
        <v>536</v>
      </c>
      <c r="B532" s="150"/>
      <c r="C532" s="129" t="s">
        <v>5</v>
      </c>
      <c r="D532" s="129" t="s">
        <v>112</v>
      </c>
      <c r="E532" s="129" t="s">
        <v>429</v>
      </c>
      <c r="F532" s="147" t="s">
        <v>528</v>
      </c>
      <c r="G532" s="175">
        <v>23797</v>
      </c>
      <c r="H532" s="14"/>
      <c r="I532" s="14"/>
      <c r="J532" s="16">
        <f>SUM('ведомствен.2014'!G270)</f>
        <v>23797</v>
      </c>
    </row>
    <row r="533" spans="1:9" s="16" customFormat="1" ht="15" hidden="1">
      <c r="A533" s="103" t="s">
        <v>55</v>
      </c>
      <c r="B533" s="150"/>
      <c r="C533" s="129" t="s">
        <v>5</v>
      </c>
      <c r="D533" s="129" t="s">
        <v>112</v>
      </c>
      <c r="E533" s="129" t="s">
        <v>429</v>
      </c>
      <c r="F533" s="147" t="s">
        <v>537</v>
      </c>
      <c r="G533" s="175"/>
      <c r="H533" s="14"/>
      <c r="I533" s="14"/>
    </row>
    <row r="534" spans="1:10" s="16" customFormat="1" ht="15">
      <c r="A534" s="111" t="s">
        <v>150</v>
      </c>
      <c r="B534" s="151"/>
      <c r="C534" s="132" t="s">
        <v>5</v>
      </c>
      <c r="D534" s="132" t="s">
        <v>112</v>
      </c>
      <c r="E534" s="132" t="s">
        <v>212</v>
      </c>
      <c r="F534" s="201"/>
      <c r="G534" s="185">
        <f>SUM(G537)+G535</f>
        <v>57615.2</v>
      </c>
      <c r="H534" s="14">
        <v>90050.4</v>
      </c>
      <c r="I534" s="14">
        <f>SUM(H534/G542*100)</f>
        <v>366.24612606456964</v>
      </c>
      <c r="J534" s="38"/>
    </row>
    <row r="535" spans="1:10" s="16" customFormat="1" ht="57">
      <c r="A535" s="107" t="s">
        <v>151</v>
      </c>
      <c r="B535" s="169"/>
      <c r="C535" s="120" t="s">
        <v>5</v>
      </c>
      <c r="D535" s="120" t="s">
        <v>112</v>
      </c>
      <c r="E535" s="120" t="s">
        <v>152</v>
      </c>
      <c r="F535" s="216"/>
      <c r="G535" s="182">
        <f>SUM(G536)</f>
        <v>27063.5</v>
      </c>
      <c r="H535" s="14"/>
      <c r="I535" s="14"/>
      <c r="J535" s="38"/>
    </row>
    <row r="536" spans="1:10" s="16" customFormat="1" ht="15">
      <c r="A536" s="107" t="s">
        <v>469</v>
      </c>
      <c r="B536" s="169"/>
      <c r="C536" s="120" t="s">
        <v>5</v>
      </c>
      <c r="D536" s="120" t="s">
        <v>112</v>
      </c>
      <c r="E536" s="120" t="s">
        <v>152</v>
      </c>
      <c r="F536" s="216" t="s">
        <v>470</v>
      </c>
      <c r="G536" s="182">
        <v>27063.5</v>
      </c>
      <c r="H536" s="14"/>
      <c r="I536" s="14"/>
      <c r="J536" s="38">
        <f>SUM('ведомствен.2014'!G582)</f>
        <v>27063.5</v>
      </c>
    </row>
    <row r="537" spans="1:10" s="16" customFormat="1" ht="28.5">
      <c r="A537" s="111" t="s">
        <v>442</v>
      </c>
      <c r="B537" s="151"/>
      <c r="C537" s="132" t="s">
        <v>5</v>
      </c>
      <c r="D537" s="132" t="s">
        <v>112</v>
      </c>
      <c r="E537" s="132" t="s">
        <v>153</v>
      </c>
      <c r="F537" s="201"/>
      <c r="G537" s="185">
        <f>SUM(G542+G538+G540)</f>
        <v>30551.7</v>
      </c>
      <c r="H537" s="14"/>
      <c r="I537" s="14"/>
      <c r="J537" s="38"/>
    </row>
    <row r="538" spans="1:9" s="16" customFormat="1" ht="15">
      <c r="A538" s="111" t="s">
        <v>154</v>
      </c>
      <c r="B538" s="151"/>
      <c r="C538" s="132" t="s">
        <v>5</v>
      </c>
      <c r="D538" s="132" t="s">
        <v>112</v>
      </c>
      <c r="E538" s="132" t="s">
        <v>155</v>
      </c>
      <c r="F538" s="201"/>
      <c r="G538" s="185">
        <f>SUM(G539)</f>
        <v>3123</v>
      </c>
      <c r="H538" s="14">
        <f>SUM(H539)</f>
        <v>56493.7</v>
      </c>
      <c r="I538" s="14">
        <f aca="true" t="shared" si="17" ref="I538:I556">SUM(H538/G544*100)</f>
        <v>132.45667714715117</v>
      </c>
    </row>
    <row r="539" spans="1:10" s="16" customFormat="1" ht="15">
      <c r="A539" s="111" t="s">
        <v>469</v>
      </c>
      <c r="B539" s="151"/>
      <c r="C539" s="132" t="s">
        <v>5</v>
      </c>
      <c r="D539" s="132" t="s">
        <v>112</v>
      </c>
      <c r="E539" s="132" t="s">
        <v>155</v>
      </c>
      <c r="F539" s="201" t="s">
        <v>470</v>
      </c>
      <c r="G539" s="185">
        <v>3123</v>
      </c>
      <c r="H539" s="14">
        <v>56493.7</v>
      </c>
      <c r="I539" s="14">
        <f t="shared" si="17"/>
        <v>205.86057494342757</v>
      </c>
      <c r="J539" s="16">
        <f>SUM('ведомствен.2014'!G429)</f>
        <v>3123</v>
      </c>
    </row>
    <row r="540" spans="1:9" s="16" customFormat="1" ht="15">
      <c r="A540" s="111" t="s">
        <v>443</v>
      </c>
      <c r="B540" s="151"/>
      <c r="C540" s="132" t="s">
        <v>5</v>
      </c>
      <c r="D540" s="132" t="s">
        <v>112</v>
      </c>
      <c r="E540" s="132" t="s">
        <v>156</v>
      </c>
      <c r="F540" s="201"/>
      <c r="G540" s="185">
        <f>SUM(G541)</f>
        <v>2841.3</v>
      </c>
      <c r="H540" s="14">
        <f>SUM(H541+H545+H547+H560+H562+H555+H568)</f>
        <v>182903.19999999998</v>
      </c>
      <c r="I540" s="14">
        <f t="shared" si="17"/>
        <v>5871.880317185142</v>
      </c>
    </row>
    <row r="541" spans="1:10" s="16" customFormat="1" ht="15">
      <c r="A541" s="111" t="s">
        <v>469</v>
      </c>
      <c r="B541" s="151"/>
      <c r="C541" s="132" t="s">
        <v>5</v>
      </c>
      <c r="D541" s="132" t="s">
        <v>112</v>
      </c>
      <c r="E541" s="132" t="s">
        <v>156</v>
      </c>
      <c r="F541" s="201" t="s">
        <v>470</v>
      </c>
      <c r="G541" s="185">
        <v>2841.3</v>
      </c>
      <c r="H541" s="14">
        <f>SUM(H542)</f>
        <v>37224.7</v>
      </c>
      <c r="I541" s="14">
        <f t="shared" si="17"/>
        <v>1199.9065209683135</v>
      </c>
      <c r="J541" s="16">
        <f>SUM('ведомствен.2014'!G431)</f>
        <v>2841.3</v>
      </c>
    </row>
    <row r="542" spans="1:10" s="16" customFormat="1" ht="15">
      <c r="A542" s="111" t="s">
        <v>444</v>
      </c>
      <c r="B542" s="151"/>
      <c r="C542" s="132" t="s">
        <v>5</v>
      </c>
      <c r="D542" s="132" t="s">
        <v>112</v>
      </c>
      <c r="E542" s="132" t="s">
        <v>445</v>
      </c>
      <c r="F542" s="201"/>
      <c r="G542" s="185">
        <f>SUM(G543)</f>
        <v>24587.4</v>
      </c>
      <c r="H542" s="14">
        <v>37224.7</v>
      </c>
      <c r="I542" s="14">
        <f t="shared" si="17"/>
        <v>295434.126984127</v>
      </c>
      <c r="J542" s="38"/>
    </row>
    <row r="543" spans="1:10" s="16" customFormat="1" ht="15">
      <c r="A543" s="111" t="s">
        <v>469</v>
      </c>
      <c r="B543" s="151"/>
      <c r="C543" s="132" t="s">
        <v>5</v>
      </c>
      <c r="D543" s="132" t="s">
        <v>112</v>
      </c>
      <c r="E543" s="132" t="s">
        <v>445</v>
      </c>
      <c r="F543" s="201" t="s">
        <v>470</v>
      </c>
      <c r="G543" s="185">
        <v>24587.4</v>
      </c>
      <c r="H543" s="14">
        <f>SUM(H544)</f>
        <v>0</v>
      </c>
      <c r="I543" s="14">
        <f t="shared" si="17"/>
        <v>0</v>
      </c>
      <c r="J543" s="16">
        <f>SUM('ведомствен.2014'!G433)</f>
        <v>24587.4</v>
      </c>
    </row>
    <row r="544" spans="1:9" s="16" customFormat="1" ht="15">
      <c r="A544" s="111" t="s">
        <v>157</v>
      </c>
      <c r="B544" s="151"/>
      <c r="C544" s="132" t="s">
        <v>5</v>
      </c>
      <c r="D544" s="132" t="s">
        <v>355</v>
      </c>
      <c r="E544" s="132"/>
      <c r="F544" s="201"/>
      <c r="G544" s="185">
        <f>G545+G557+G567+G565</f>
        <v>42650.7</v>
      </c>
      <c r="H544" s="14"/>
      <c r="I544" s="14">
        <f t="shared" si="17"/>
        <v>0</v>
      </c>
    </row>
    <row r="545" spans="1:9" s="16" customFormat="1" ht="42.75">
      <c r="A545" s="105" t="s">
        <v>89</v>
      </c>
      <c r="B545" s="151"/>
      <c r="C545" s="132" t="s">
        <v>5</v>
      </c>
      <c r="D545" s="132" t="s">
        <v>355</v>
      </c>
      <c r="E545" s="132" t="s">
        <v>90</v>
      </c>
      <c r="F545" s="201"/>
      <c r="G545" s="185">
        <f>G546+G549+G552+G554</f>
        <v>27442.7</v>
      </c>
      <c r="H545" s="14">
        <f>SUM(H546)</f>
        <v>29554</v>
      </c>
      <c r="I545" s="14">
        <f t="shared" si="17"/>
        <v>4685.161699429297</v>
      </c>
    </row>
    <row r="546" spans="1:10" s="16" customFormat="1" ht="15">
      <c r="A546" s="105" t="s">
        <v>97</v>
      </c>
      <c r="B546" s="151"/>
      <c r="C546" s="132" t="s">
        <v>5</v>
      </c>
      <c r="D546" s="132" t="s">
        <v>355</v>
      </c>
      <c r="E546" s="132" t="s">
        <v>99</v>
      </c>
      <c r="F546" s="201"/>
      <c r="G546" s="185">
        <f>G547+G548</f>
        <v>3114.9</v>
      </c>
      <c r="H546" s="14">
        <v>29554</v>
      </c>
      <c r="I546" s="14">
        <f t="shared" si="17"/>
        <v>202.80108969388385</v>
      </c>
      <c r="J546" s="38"/>
    </row>
    <row r="547" spans="1:10" s="16" customFormat="1" ht="42.75">
      <c r="A547" s="105" t="s">
        <v>571</v>
      </c>
      <c r="B547" s="151"/>
      <c r="C547" s="132" t="s">
        <v>5</v>
      </c>
      <c r="D547" s="132" t="s">
        <v>355</v>
      </c>
      <c r="E547" s="132" t="s">
        <v>99</v>
      </c>
      <c r="F547" s="201" t="s">
        <v>460</v>
      </c>
      <c r="G547" s="185">
        <v>3102.3</v>
      </c>
      <c r="H547" s="14">
        <f>SUM(H548)</f>
        <v>37911</v>
      </c>
      <c r="I547" s="14">
        <f t="shared" si="17"/>
        <v>260.1472596394678</v>
      </c>
      <c r="J547" s="16">
        <f>SUM('ведомствен.2014'!G437)</f>
        <v>3102.3</v>
      </c>
    </row>
    <row r="548" spans="1:10" s="16" customFormat="1" ht="15">
      <c r="A548" s="105" t="s">
        <v>464</v>
      </c>
      <c r="B548" s="151"/>
      <c r="C548" s="132" t="s">
        <v>5</v>
      </c>
      <c r="D548" s="132" t="s">
        <v>355</v>
      </c>
      <c r="E548" s="132" t="s">
        <v>99</v>
      </c>
      <c r="F548" s="201" t="s">
        <v>110</v>
      </c>
      <c r="G548" s="185">
        <v>12.6</v>
      </c>
      <c r="H548" s="14">
        <v>37911</v>
      </c>
      <c r="I548" s="14">
        <f t="shared" si="17"/>
        <v>686.5820308962818</v>
      </c>
      <c r="J548" s="16">
        <f>SUM('ведомствен.2014'!G438)</f>
        <v>12.6</v>
      </c>
    </row>
    <row r="549" spans="1:9" s="16" customFormat="1" ht="42.75">
      <c r="A549" s="111" t="s">
        <v>572</v>
      </c>
      <c r="B549" s="151"/>
      <c r="C549" s="132" t="s">
        <v>5</v>
      </c>
      <c r="D549" s="132" t="s">
        <v>355</v>
      </c>
      <c r="E549" s="132" t="s">
        <v>160</v>
      </c>
      <c r="F549" s="201"/>
      <c r="G549" s="185">
        <f>G550+G551</f>
        <v>4233.2</v>
      </c>
      <c r="H549" s="14">
        <f>SUM(H550)</f>
        <v>0</v>
      </c>
      <c r="I549" s="14">
        <f t="shared" si="17"/>
        <v>0</v>
      </c>
    </row>
    <row r="550" spans="1:10" s="16" customFormat="1" ht="42.75">
      <c r="A550" s="105" t="s">
        <v>571</v>
      </c>
      <c r="B550" s="151"/>
      <c r="C550" s="132" t="s">
        <v>5</v>
      </c>
      <c r="D550" s="132" t="s">
        <v>355</v>
      </c>
      <c r="E550" s="132" t="s">
        <v>160</v>
      </c>
      <c r="F550" s="201" t="s">
        <v>460</v>
      </c>
      <c r="G550" s="185">
        <v>3602.4</v>
      </c>
      <c r="H550" s="14"/>
      <c r="I550" s="14">
        <f t="shared" si="17"/>
        <v>0</v>
      </c>
      <c r="J550" s="16">
        <f>SUM('ведомствен.2014'!G440)</f>
        <v>3602.4</v>
      </c>
    </row>
    <row r="551" spans="1:10" s="16" customFormat="1" ht="15">
      <c r="A551" s="105" t="s">
        <v>464</v>
      </c>
      <c r="B551" s="172"/>
      <c r="C551" s="132" t="s">
        <v>5</v>
      </c>
      <c r="D551" s="132" t="s">
        <v>355</v>
      </c>
      <c r="E551" s="132" t="s">
        <v>160</v>
      </c>
      <c r="F551" s="201" t="s">
        <v>110</v>
      </c>
      <c r="G551" s="185">
        <v>630.8</v>
      </c>
      <c r="H551" s="14">
        <f>SUM(H552)</f>
        <v>0</v>
      </c>
      <c r="I551" s="14">
        <f t="shared" si="17"/>
        <v>0</v>
      </c>
      <c r="J551" s="16">
        <f>SUM('ведомствен.2014'!G441)</f>
        <v>630.8</v>
      </c>
    </row>
    <row r="552" spans="1:9" s="16" customFormat="1" ht="28.5">
      <c r="A552" s="111" t="s">
        <v>158</v>
      </c>
      <c r="B552" s="151"/>
      <c r="C552" s="132" t="s">
        <v>5</v>
      </c>
      <c r="D552" s="132" t="s">
        <v>355</v>
      </c>
      <c r="E552" s="132" t="s">
        <v>159</v>
      </c>
      <c r="F552" s="201"/>
      <c r="G552" s="185">
        <f>SUM(G553)</f>
        <v>14572.9</v>
      </c>
      <c r="H552" s="14"/>
      <c r="I552" s="14">
        <f t="shared" si="17"/>
        <v>0</v>
      </c>
    </row>
    <row r="553" spans="1:10" s="16" customFormat="1" ht="42.75">
      <c r="A553" s="105" t="s">
        <v>571</v>
      </c>
      <c r="B553" s="151"/>
      <c r="C553" s="132" t="s">
        <v>5</v>
      </c>
      <c r="D553" s="132" t="s">
        <v>355</v>
      </c>
      <c r="E553" s="132" t="s">
        <v>159</v>
      </c>
      <c r="F553" s="201" t="s">
        <v>460</v>
      </c>
      <c r="G553" s="185">
        <v>14572.9</v>
      </c>
      <c r="H553" s="14">
        <f>SUM(H554)</f>
        <v>0</v>
      </c>
      <c r="I553" s="14">
        <f t="shared" si="17"/>
        <v>0</v>
      </c>
      <c r="J553" s="16">
        <f>SUM('ведомствен.2014'!G443)</f>
        <v>14572.9</v>
      </c>
    </row>
    <row r="554" spans="1:9" s="16" customFormat="1" ht="42.75">
      <c r="A554" s="111" t="s">
        <v>161</v>
      </c>
      <c r="B554" s="172"/>
      <c r="C554" s="132" t="s">
        <v>5</v>
      </c>
      <c r="D554" s="132" t="s">
        <v>355</v>
      </c>
      <c r="E554" s="132" t="s">
        <v>162</v>
      </c>
      <c r="F554" s="201"/>
      <c r="G554" s="185">
        <f>G555+G556</f>
        <v>5521.700000000001</v>
      </c>
      <c r="H554" s="14"/>
      <c r="I554" s="14">
        <f t="shared" si="17"/>
        <v>0</v>
      </c>
    </row>
    <row r="555" spans="1:10" ht="42.75">
      <c r="A555" s="105" t="s">
        <v>571</v>
      </c>
      <c r="B555" s="151"/>
      <c r="C555" s="132" t="s">
        <v>5</v>
      </c>
      <c r="D555" s="132" t="s">
        <v>355</v>
      </c>
      <c r="E555" s="132" t="s">
        <v>162</v>
      </c>
      <c r="F555" s="201" t="s">
        <v>460</v>
      </c>
      <c r="G555" s="185">
        <v>4955.6</v>
      </c>
      <c r="H555" s="14">
        <f>SUM(H556)</f>
        <v>70381.4</v>
      </c>
      <c r="I555" s="14">
        <f t="shared" si="17"/>
        <v>8535.217074945427</v>
      </c>
      <c r="J555" s="16">
        <f>SUM('ведомствен.2014'!G445)</f>
        <v>4955.6</v>
      </c>
    </row>
    <row r="556" spans="1:10" ht="15">
      <c r="A556" s="105" t="s">
        <v>464</v>
      </c>
      <c r="B556" s="151"/>
      <c r="C556" s="132" t="s">
        <v>5</v>
      </c>
      <c r="D556" s="132" t="s">
        <v>355</v>
      </c>
      <c r="E556" s="132" t="s">
        <v>162</v>
      </c>
      <c r="F556" s="201" t="s">
        <v>110</v>
      </c>
      <c r="G556" s="185">
        <v>566.1</v>
      </c>
      <c r="H556" s="14">
        <v>70381.4</v>
      </c>
      <c r="I556" s="14">
        <f t="shared" si="17"/>
        <v>4482.035279882824</v>
      </c>
      <c r="J556" s="16">
        <f>SUM('ведомствен.2014'!G446)</f>
        <v>566.1</v>
      </c>
    </row>
    <row r="557" spans="1:10" ht="28.5">
      <c r="A557" s="105" t="s">
        <v>461</v>
      </c>
      <c r="B557" s="151"/>
      <c r="C557" s="132" t="s">
        <v>5</v>
      </c>
      <c r="D557" s="132" t="s">
        <v>355</v>
      </c>
      <c r="E557" s="132" t="s">
        <v>462</v>
      </c>
      <c r="F557" s="201"/>
      <c r="G557" s="185">
        <f>G558+G560+G562</f>
        <v>2624.8999999999996</v>
      </c>
      <c r="H557" s="14"/>
      <c r="I557" s="14"/>
      <c r="J557" s="38"/>
    </row>
    <row r="558" spans="1:10" ht="28.5">
      <c r="A558" s="111" t="s">
        <v>450</v>
      </c>
      <c r="B558" s="172"/>
      <c r="C558" s="132" t="s">
        <v>5</v>
      </c>
      <c r="D558" s="132" t="s">
        <v>355</v>
      </c>
      <c r="E558" s="132" t="s">
        <v>463</v>
      </c>
      <c r="F558" s="201"/>
      <c r="G558" s="185">
        <f>SUM(G559)</f>
        <v>230</v>
      </c>
      <c r="H558" s="14"/>
      <c r="I558" s="14"/>
      <c r="J558" s="38"/>
    </row>
    <row r="559" spans="1:10" ht="15">
      <c r="A559" s="105" t="s">
        <v>464</v>
      </c>
      <c r="B559" s="151"/>
      <c r="C559" s="132" t="s">
        <v>5</v>
      </c>
      <c r="D559" s="132" t="s">
        <v>355</v>
      </c>
      <c r="E559" s="132" t="s">
        <v>463</v>
      </c>
      <c r="F559" s="201" t="s">
        <v>110</v>
      </c>
      <c r="G559" s="185">
        <v>230</v>
      </c>
      <c r="H559" s="14"/>
      <c r="I559" s="14"/>
      <c r="J559" s="16">
        <f>SUM('ведомствен.2014'!G449)</f>
        <v>230</v>
      </c>
    </row>
    <row r="560" spans="1:9" s="16" customFormat="1" ht="28.5">
      <c r="A560" s="111" t="s">
        <v>451</v>
      </c>
      <c r="B560" s="172"/>
      <c r="C560" s="132" t="s">
        <v>5</v>
      </c>
      <c r="D560" s="132" t="s">
        <v>355</v>
      </c>
      <c r="E560" s="132" t="s">
        <v>466</v>
      </c>
      <c r="F560" s="201"/>
      <c r="G560" s="185">
        <f>SUM(G561)</f>
        <v>824.6</v>
      </c>
      <c r="H560" s="14">
        <f>SUM(H561)</f>
        <v>1365.8</v>
      </c>
      <c r="I560" s="14" t="e">
        <f>SUM(H560/G568*100)</f>
        <v>#DIV/0!</v>
      </c>
    </row>
    <row r="561" spans="1:10" s="16" customFormat="1" ht="15">
      <c r="A561" s="105" t="s">
        <v>464</v>
      </c>
      <c r="B561" s="151"/>
      <c r="C561" s="132" t="s">
        <v>5</v>
      </c>
      <c r="D561" s="132" t="s">
        <v>355</v>
      </c>
      <c r="E561" s="132" t="s">
        <v>466</v>
      </c>
      <c r="F561" s="201" t="s">
        <v>110</v>
      </c>
      <c r="G561" s="185">
        <v>824.6</v>
      </c>
      <c r="H561" s="14">
        <v>1365.8</v>
      </c>
      <c r="I561" s="14" t="e">
        <f>SUM(H561/G569*100)</f>
        <v>#DIV/0!</v>
      </c>
      <c r="J561" s="16">
        <f>SUM('ведомствен.2014'!G451)</f>
        <v>824.6</v>
      </c>
    </row>
    <row r="562" spans="1:9" s="16" customFormat="1" ht="28.5">
      <c r="A562" s="111" t="s">
        <v>467</v>
      </c>
      <c r="B562" s="172"/>
      <c r="C562" s="132" t="s">
        <v>5</v>
      </c>
      <c r="D562" s="132" t="s">
        <v>355</v>
      </c>
      <c r="E562" s="132" t="s">
        <v>468</v>
      </c>
      <c r="F562" s="201"/>
      <c r="G562" s="185">
        <f>G563+G564</f>
        <v>1570.3</v>
      </c>
      <c r="H562" s="14">
        <f>SUM(H563)</f>
        <v>1324.9</v>
      </c>
      <c r="I562" s="14" t="e">
        <f>SUM(H562/#REF!*100)</f>
        <v>#REF!</v>
      </c>
    </row>
    <row r="563" spans="1:10" s="16" customFormat="1" ht="42.75">
      <c r="A563" s="105" t="s">
        <v>571</v>
      </c>
      <c r="B563" s="151"/>
      <c r="C563" s="132" t="s">
        <v>5</v>
      </c>
      <c r="D563" s="132" t="s">
        <v>355</v>
      </c>
      <c r="E563" s="132" t="s">
        <v>468</v>
      </c>
      <c r="F563" s="201" t="s">
        <v>460</v>
      </c>
      <c r="G563" s="185">
        <v>300</v>
      </c>
      <c r="H563" s="14">
        <v>1324.9</v>
      </c>
      <c r="I563" s="14" t="e">
        <f>SUM(H563/#REF!*100)</f>
        <v>#REF!</v>
      </c>
      <c r="J563" s="16">
        <f>SUM('ведомствен.2014'!G453)</f>
        <v>300</v>
      </c>
    </row>
    <row r="564" spans="1:10" s="16" customFormat="1" ht="15">
      <c r="A564" s="105" t="s">
        <v>464</v>
      </c>
      <c r="B564" s="151"/>
      <c r="C564" s="132" t="s">
        <v>5</v>
      </c>
      <c r="D564" s="132" t="s">
        <v>355</v>
      </c>
      <c r="E564" s="132" t="s">
        <v>468</v>
      </c>
      <c r="F564" s="201" t="s">
        <v>110</v>
      </c>
      <c r="G564" s="185">
        <v>1270.3</v>
      </c>
      <c r="H564" s="14">
        <f>SUM(H567)</f>
        <v>0</v>
      </c>
      <c r="I564" s="14" t="e">
        <f>SUM(H564/#REF!*100)</f>
        <v>#REF!</v>
      </c>
      <c r="J564" s="16">
        <f>SUM('ведомствен.2014'!G454)</f>
        <v>1270.3</v>
      </c>
    </row>
    <row r="565" spans="1:9" s="16" customFormat="1" ht="28.5">
      <c r="A565" s="100" t="s">
        <v>595</v>
      </c>
      <c r="B565" s="161"/>
      <c r="C565" s="55" t="s">
        <v>5</v>
      </c>
      <c r="D565" s="55" t="s">
        <v>355</v>
      </c>
      <c r="E565" s="55" t="s">
        <v>594</v>
      </c>
      <c r="F565" s="142"/>
      <c r="G565" s="177">
        <f>SUM(G566)</f>
        <v>12583.1</v>
      </c>
      <c r="H565" s="14"/>
      <c r="I565" s="14"/>
    </row>
    <row r="566" spans="1:10" s="16" customFormat="1" ht="15">
      <c r="A566" s="99" t="s">
        <v>465</v>
      </c>
      <c r="B566" s="161"/>
      <c r="C566" s="55" t="s">
        <v>5</v>
      </c>
      <c r="D566" s="55" t="s">
        <v>355</v>
      </c>
      <c r="E566" s="55" t="s">
        <v>594</v>
      </c>
      <c r="F566" s="142" t="s">
        <v>165</v>
      </c>
      <c r="G566" s="177">
        <v>12583.1</v>
      </c>
      <c r="H566" s="14"/>
      <c r="I566" s="14"/>
      <c r="J566" s="16">
        <f>SUM('ведомствен.2014'!G316)</f>
        <v>12583.1</v>
      </c>
    </row>
    <row r="567" spans="1:9" s="16" customFormat="1" ht="15" hidden="1">
      <c r="A567" s="105" t="s">
        <v>568</v>
      </c>
      <c r="B567" s="151"/>
      <c r="C567" s="132" t="s">
        <v>5</v>
      </c>
      <c r="D567" s="132" t="s">
        <v>355</v>
      </c>
      <c r="E567" s="132" t="s">
        <v>119</v>
      </c>
      <c r="F567" s="201"/>
      <c r="G567" s="185">
        <f>G568</f>
        <v>0</v>
      </c>
      <c r="H567" s="14"/>
      <c r="I567" s="14" t="e">
        <f>SUM(H567/#REF!*100)</f>
        <v>#REF!</v>
      </c>
    </row>
    <row r="568" spans="1:10" ht="57" hidden="1">
      <c r="A568" s="111" t="s">
        <v>573</v>
      </c>
      <c r="B568" s="151"/>
      <c r="C568" s="132" t="s">
        <v>5</v>
      </c>
      <c r="D568" s="132" t="s">
        <v>355</v>
      </c>
      <c r="E568" s="132" t="s">
        <v>329</v>
      </c>
      <c r="F568" s="201"/>
      <c r="G568" s="185">
        <f>G569</f>
        <v>0</v>
      </c>
      <c r="H568" s="14">
        <f>SUM(H569)</f>
        <v>5141.4</v>
      </c>
      <c r="I568" s="14" t="e">
        <f>SUM(H568/#REF!*100)</f>
        <v>#REF!</v>
      </c>
      <c r="J568"/>
    </row>
    <row r="569" spans="1:10" ht="42.75" hidden="1">
      <c r="A569" s="111" t="s">
        <v>566</v>
      </c>
      <c r="B569" s="151"/>
      <c r="C569" s="132" t="s">
        <v>5</v>
      </c>
      <c r="D569" s="132" t="s">
        <v>355</v>
      </c>
      <c r="E569" s="132" t="s">
        <v>329</v>
      </c>
      <c r="F569" s="201" t="s">
        <v>477</v>
      </c>
      <c r="G569" s="185"/>
      <c r="H569" s="14">
        <v>5141.4</v>
      </c>
      <c r="I569" s="14" t="e">
        <f>SUM(H569/#REF!*100)</f>
        <v>#REF!</v>
      </c>
      <c r="J569" s="16">
        <f>SUM('ведомствен.2014'!G457)</f>
        <v>0</v>
      </c>
    </row>
    <row r="570" spans="1:11" s="28" customFormat="1" ht="15">
      <c r="A570" s="102" t="s">
        <v>233</v>
      </c>
      <c r="B570" s="164"/>
      <c r="C570" s="131" t="s">
        <v>383</v>
      </c>
      <c r="D570" s="131"/>
      <c r="E570" s="131"/>
      <c r="F570" s="146"/>
      <c r="G570" s="179">
        <f>SUM(G571)</f>
        <v>7148.1</v>
      </c>
      <c r="H570" s="27"/>
      <c r="I570" s="14"/>
      <c r="J570" s="36"/>
      <c r="K570" s="40">
        <f>SUM(J571:J599)</f>
        <v>7148.1</v>
      </c>
    </row>
    <row r="571" spans="1:10" s="28" customFormat="1" ht="15">
      <c r="A571" s="99" t="s">
        <v>226</v>
      </c>
      <c r="B571" s="161"/>
      <c r="C571" s="55" t="s">
        <v>383</v>
      </c>
      <c r="D571" s="55" t="s">
        <v>423</v>
      </c>
      <c r="E571" s="55"/>
      <c r="F571" s="142"/>
      <c r="G571" s="177">
        <f>SUM(G572+G578)</f>
        <v>7148.1</v>
      </c>
      <c r="H571" s="27"/>
      <c r="I571" s="14"/>
      <c r="J571" s="36"/>
    </row>
    <row r="572" spans="1:10" s="28" customFormat="1" ht="28.5">
      <c r="A572" s="99" t="s">
        <v>453</v>
      </c>
      <c r="B572" s="161"/>
      <c r="C572" s="55" t="s">
        <v>383</v>
      </c>
      <c r="D572" s="55" t="s">
        <v>423</v>
      </c>
      <c r="E572" s="55" t="s">
        <v>454</v>
      </c>
      <c r="F572" s="143"/>
      <c r="G572" s="177">
        <f>SUM(G573)</f>
        <v>3854.3</v>
      </c>
      <c r="H572" s="27"/>
      <c r="I572" s="14"/>
      <c r="J572" s="36"/>
    </row>
    <row r="573" spans="1:10" s="28" customFormat="1" ht="28.5">
      <c r="A573" s="99" t="s">
        <v>47</v>
      </c>
      <c r="B573" s="161"/>
      <c r="C573" s="55" t="s">
        <v>383</v>
      </c>
      <c r="D573" s="55" t="s">
        <v>423</v>
      </c>
      <c r="E573" s="55" t="s">
        <v>455</v>
      </c>
      <c r="F573" s="143"/>
      <c r="G573" s="177">
        <f>SUM(G574)</f>
        <v>3854.3</v>
      </c>
      <c r="H573" s="27"/>
      <c r="I573" s="14"/>
      <c r="J573" s="36"/>
    </row>
    <row r="574" spans="1:10" ht="28.5">
      <c r="A574" s="99" t="s">
        <v>542</v>
      </c>
      <c r="B574" s="161"/>
      <c r="C574" s="55" t="s">
        <v>383</v>
      </c>
      <c r="D574" s="55" t="s">
        <v>423</v>
      </c>
      <c r="E574" s="55" t="s">
        <v>543</v>
      </c>
      <c r="F574" s="143"/>
      <c r="G574" s="177">
        <f>SUM(G575:G577)</f>
        <v>3854.3</v>
      </c>
      <c r="H574" s="14"/>
      <c r="I574" s="14"/>
      <c r="J574"/>
    </row>
    <row r="575" spans="1:10" ht="42.75">
      <c r="A575" s="99" t="s">
        <v>459</v>
      </c>
      <c r="B575" s="161"/>
      <c r="C575" s="55" t="s">
        <v>383</v>
      </c>
      <c r="D575" s="55" t="s">
        <v>423</v>
      </c>
      <c r="E575" s="55" t="s">
        <v>543</v>
      </c>
      <c r="F575" s="142" t="s">
        <v>460</v>
      </c>
      <c r="G575" s="177">
        <v>3228.9</v>
      </c>
      <c r="H575" s="27"/>
      <c r="I575" s="14"/>
      <c r="J575">
        <f>SUM('ведомствен.2014'!G472)</f>
        <v>3228.9</v>
      </c>
    </row>
    <row r="576" spans="1:10" ht="15">
      <c r="A576" s="99" t="s">
        <v>464</v>
      </c>
      <c r="B576" s="161"/>
      <c r="C576" s="55" t="s">
        <v>383</v>
      </c>
      <c r="D576" s="55" t="s">
        <v>423</v>
      </c>
      <c r="E576" s="55" t="s">
        <v>543</v>
      </c>
      <c r="F576" s="142" t="s">
        <v>110</v>
      </c>
      <c r="G576" s="178">
        <v>619.4</v>
      </c>
      <c r="H576" s="27"/>
      <c r="I576" s="14"/>
      <c r="J576">
        <f>SUM('ведомствен.2014'!G473)</f>
        <v>619.4</v>
      </c>
    </row>
    <row r="577" spans="1:10" ht="15">
      <c r="A577" s="99" t="s">
        <v>465</v>
      </c>
      <c r="B577" s="161"/>
      <c r="C577" s="55" t="s">
        <v>383</v>
      </c>
      <c r="D577" s="55" t="s">
        <v>423</v>
      </c>
      <c r="E577" s="55" t="s">
        <v>543</v>
      </c>
      <c r="F577" s="143" t="s">
        <v>165</v>
      </c>
      <c r="G577" s="177">
        <v>6</v>
      </c>
      <c r="H577" s="27"/>
      <c r="I577" s="14"/>
      <c r="J577">
        <f>SUM('ведомствен.2014'!G474)</f>
        <v>6</v>
      </c>
    </row>
    <row r="578" spans="1:10" ht="15">
      <c r="A578" s="105" t="s">
        <v>118</v>
      </c>
      <c r="B578" s="161"/>
      <c r="C578" s="55" t="s">
        <v>383</v>
      </c>
      <c r="D578" s="55" t="s">
        <v>423</v>
      </c>
      <c r="E578" s="133" t="s">
        <v>119</v>
      </c>
      <c r="F578" s="142"/>
      <c r="G578" s="177">
        <f>SUM(G579)</f>
        <v>3293.8</v>
      </c>
      <c r="H578" s="14"/>
      <c r="I578" s="14"/>
      <c r="J578"/>
    </row>
    <row r="579" spans="1:10" ht="42.75">
      <c r="A579" s="99" t="s">
        <v>544</v>
      </c>
      <c r="B579" s="161"/>
      <c r="C579" s="55" t="s">
        <v>383</v>
      </c>
      <c r="D579" s="55" t="s">
        <v>423</v>
      </c>
      <c r="E579" s="133" t="s">
        <v>88</v>
      </c>
      <c r="F579" s="142"/>
      <c r="G579" s="177">
        <f>SUM(G580:G581)</f>
        <v>3293.8</v>
      </c>
      <c r="H579" s="34"/>
      <c r="I579" s="14"/>
      <c r="J579"/>
    </row>
    <row r="580" spans="1:10" ht="15.75">
      <c r="A580" s="99" t="s">
        <v>464</v>
      </c>
      <c r="B580" s="161"/>
      <c r="C580" s="55" t="s">
        <v>383</v>
      </c>
      <c r="D580" s="55" t="s">
        <v>423</v>
      </c>
      <c r="E580" s="133" t="s">
        <v>88</v>
      </c>
      <c r="F580" s="142" t="s">
        <v>110</v>
      </c>
      <c r="G580" s="177">
        <v>2321.8</v>
      </c>
      <c r="H580" s="34"/>
      <c r="I580" s="14"/>
      <c r="J580">
        <f>SUM('ведомствен.2014'!G477)</f>
        <v>2321.8</v>
      </c>
    </row>
    <row r="581" spans="1:10" ht="28.5">
      <c r="A581" s="105" t="s">
        <v>481</v>
      </c>
      <c r="B581" s="161"/>
      <c r="C581" s="55" t="s">
        <v>383</v>
      </c>
      <c r="D581" s="55" t="s">
        <v>423</v>
      </c>
      <c r="E581" s="133" t="s">
        <v>88</v>
      </c>
      <c r="F581" s="142" t="s">
        <v>477</v>
      </c>
      <c r="G581" s="177">
        <v>972</v>
      </c>
      <c r="H581" s="34"/>
      <c r="I581" s="14"/>
      <c r="J581">
        <f>SUM('ведомствен.2014'!G478)</f>
        <v>972</v>
      </c>
    </row>
    <row r="582" spans="1:9" s="28" customFormat="1" ht="42.75" hidden="1">
      <c r="A582" s="99" t="s">
        <v>142</v>
      </c>
      <c r="B582" s="161"/>
      <c r="C582" s="55" t="s">
        <v>383</v>
      </c>
      <c r="D582" s="55" t="s">
        <v>423</v>
      </c>
      <c r="E582" s="133" t="s">
        <v>376</v>
      </c>
      <c r="F582" s="142"/>
      <c r="G582" s="177">
        <f>SUM(G583)</f>
        <v>0</v>
      </c>
      <c r="H582" s="27"/>
      <c r="I582" s="14"/>
    </row>
    <row r="583" spans="1:9" s="28" customFormat="1" ht="28.5" hidden="1">
      <c r="A583" s="105" t="s">
        <v>133</v>
      </c>
      <c r="B583" s="161"/>
      <c r="C583" s="55" t="s">
        <v>383</v>
      </c>
      <c r="D583" s="55" t="s">
        <v>423</v>
      </c>
      <c r="E583" s="133" t="s">
        <v>376</v>
      </c>
      <c r="F583" s="142" t="s">
        <v>73</v>
      </c>
      <c r="G583" s="177"/>
      <c r="H583" s="27"/>
      <c r="I583" s="14"/>
    </row>
    <row r="584" spans="1:9" s="28" customFormat="1" ht="15" hidden="1">
      <c r="A584" s="99" t="s">
        <v>145</v>
      </c>
      <c r="B584" s="161"/>
      <c r="C584" s="55" t="s">
        <v>383</v>
      </c>
      <c r="D584" s="55" t="s">
        <v>425</v>
      </c>
      <c r="E584" s="128"/>
      <c r="F584" s="143"/>
      <c r="G584" s="177">
        <f>SUM(G585)</f>
        <v>0</v>
      </c>
      <c r="H584" s="27"/>
      <c r="I584" s="14"/>
    </row>
    <row r="585" spans="1:10" s="28" customFormat="1" ht="15" hidden="1">
      <c r="A585" s="99" t="s">
        <v>3</v>
      </c>
      <c r="B585" s="161"/>
      <c r="C585" s="55" t="s">
        <v>383</v>
      </c>
      <c r="D585" s="55" t="s">
        <v>425</v>
      </c>
      <c r="E585" s="55" t="s">
        <v>4</v>
      </c>
      <c r="F585" s="143"/>
      <c r="G585" s="177">
        <f>SUM(G586)</f>
        <v>0</v>
      </c>
      <c r="H585" s="27"/>
      <c r="I585" s="14"/>
      <c r="J585"/>
    </row>
    <row r="586" spans="1:9" s="28" customFormat="1" ht="42.75" hidden="1">
      <c r="A586" s="99" t="s">
        <v>146</v>
      </c>
      <c r="B586" s="161"/>
      <c r="C586" s="55" t="s">
        <v>383</v>
      </c>
      <c r="D586" s="55" t="s">
        <v>425</v>
      </c>
      <c r="E586" s="55" t="s">
        <v>281</v>
      </c>
      <c r="F586" s="143"/>
      <c r="G586" s="177">
        <f>SUM(G587)</f>
        <v>0</v>
      </c>
      <c r="H586" s="27"/>
      <c r="I586" s="14"/>
    </row>
    <row r="587" spans="1:9" s="28" customFormat="1" ht="28.5" hidden="1">
      <c r="A587" s="105" t="s">
        <v>133</v>
      </c>
      <c r="B587" s="161"/>
      <c r="C587" s="55" t="s">
        <v>383</v>
      </c>
      <c r="D587" s="55" t="s">
        <v>425</v>
      </c>
      <c r="E587" s="55" t="s">
        <v>281</v>
      </c>
      <c r="F587" s="142" t="s">
        <v>73</v>
      </c>
      <c r="G587" s="177"/>
      <c r="H587" s="27"/>
      <c r="I587" s="14"/>
    </row>
    <row r="588" spans="1:10" ht="15" hidden="1">
      <c r="A588" s="99" t="s">
        <v>227</v>
      </c>
      <c r="B588" s="161"/>
      <c r="C588" s="55" t="s">
        <v>383</v>
      </c>
      <c r="D588" s="55" t="s">
        <v>121</v>
      </c>
      <c r="E588" s="128"/>
      <c r="F588" s="143"/>
      <c r="G588" s="177">
        <f>SUM(G589+G595+G597)+G592</f>
        <v>0</v>
      </c>
      <c r="H588" s="14" t="e">
        <f>SUM(H593)+H597+H599</f>
        <v>#REF!</v>
      </c>
      <c r="I588" s="14" t="e">
        <f>SUM(H588/G594*100)</f>
        <v>#REF!</v>
      </c>
      <c r="J588"/>
    </row>
    <row r="589" spans="1:10" ht="42.75" hidden="1">
      <c r="A589" s="99" t="s">
        <v>89</v>
      </c>
      <c r="B589" s="161"/>
      <c r="C589" s="55" t="s">
        <v>383</v>
      </c>
      <c r="D589" s="55" t="s">
        <v>121</v>
      </c>
      <c r="E589" s="55" t="s">
        <v>90</v>
      </c>
      <c r="F589" s="143"/>
      <c r="G589" s="177">
        <f>SUM(G590)</f>
        <v>0</v>
      </c>
      <c r="H589" s="14"/>
      <c r="I589" s="14"/>
      <c r="J589"/>
    </row>
    <row r="590" spans="1:10" ht="15" hidden="1">
      <c r="A590" s="99" t="s">
        <v>97</v>
      </c>
      <c r="B590" s="161"/>
      <c r="C590" s="55" t="s">
        <v>383</v>
      </c>
      <c r="D590" s="55" t="s">
        <v>121</v>
      </c>
      <c r="E590" s="55" t="s">
        <v>99</v>
      </c>
      <c r="F590" s="143"/>
      <c r="G590" s="177">
        <f>SUM(G591)</f>
        <v>0</v>
      </c>
      <c r="H590" s="14"/>
      <c r="I590" s="14"/>
      <c r="J590"/>
    </row>
    <row r="591" spans="1:10" ht="15" hidden="1">
      <c r="A591" s="99" t="s">
        <v>93</v>
      </c>
      <c r="B591" s="161"/>
      <c r="C591" s="55" t="s">
        <v>383</v>
      </c>
      <c r="D591" s="55" t="s">
        <v>121</v>
      </c>
      <c r="E591" s="55" t="s">
        <v>99</v>
      </c>
      <c r="F591" s="142" t="s">
        <v>94</v>
      </c>
      <c r="G591" s="177"/>
      <c r="H591" s="18">
        <f>SUM(H592)</f>
        <v>1042.3</v>
      </c>
      <c r="I591" s="14" t="e">
        <f>SUM(H591/G597*100)</f>
        <v>#DIV/0!</v>
      </c>
      <c r="J591"/>
    </row>
    <row r="592" spans="1:10" ht="15" hidden="1">
      <c r="A592" s="105" t="s">
        <v>118</v>
      </c>
      <c r="B592" s="161"/>
      <c r="C592" s="55" t="s">
        <v>383</v>
      </c>
      <c r="D592" s="55" t="s">
        <v>121</v>
      </c>
      <c r="E592" s="133" t="s">
        <v>119</v>
      </c>
      <c r="F592" s="142"/>
      <c r="G592" s="177">
        <f>SUM(G593)</f>
        <v>0</v>
      </c>
      <c r="H592" s="18">
        <v>1042.3</v>
      </c>
      <c r="I592" s="14" t="e">
        <f>SUM(H592/G598*100)</f>
        <v>#DIV/0!</v>
      </c>
      <c r="J592"/>
    </row>
    <row r="593" spans="1:9" s="28" customFormat="1" ht="42.75" hidden="1">
      <c r="A593" s="108" t="s">
        <v>196</v>
      </c>
      <c r="B593" s="161"/>
      <c r="C593" s="55" t="s">
        <v>383</v>
      </c>
      <c r="D593" s="55" t="s">
        <v>121</v>
      </c>
      <c r="E593" s="128" t="s">
        <v>286</v>
      </c>
      <c r="F593" s="142"/>
      <c r="G593" s="177">
        <f>SUM(G594)</f>
        <v>0</v>
      </c>
      <c r="H593" s="27"/>
      <c r="I593" s="14"/>
    </row>
    <row r="594" spans="1:9" s="28" customFormat="1" ht="15" hidden="1">
      <c r="A594" s="99" t="s">
        <v>93</v>
      </c>
      <c r="B594" s="161"/>
      <c r="C594" s="55" t="s">
        <v>383</v>
      </c>
      <c r="D594" s="55" t="s">
        <v>121</v>
      </c>
      <c r="E594" s="128" t="s">
        <v>286</v>
      </c>
      <c r="F594" s="142" t="s">
        <v>94</v>
      </c>
      <c r="G594" s="177"/>
      <c r="H594" s="27"/>
      <c r="I594" s="14"/>
    </row>
    <row r="595" spans="1:11" s="42" customFormat="1" ht="15.75" hidden="1">
      <c r="A595" s="105" t="s">
        <v>351</v>
      </c>
      <c r="B595" s="161"/>
      <c r="C595" s="55" t="s">
        <v>383</v>
      </c>
      <c r="D595" s="55" t="s">
        <v>121</v>
      </c>
      <c r="E595" s="128" t="s">
        <v>352</v>
      </c>
      <c r="F595" s="143"/>
      <c r="G595" s="177">
        <f>SUM(G596)</f>
        <v>0</v>
      </c>
      <c r="H595" s="41"/>
      <c r="I595" s="17"/>
      <c r="K595" s="50"/>
    </row>
    <row r="596" spans="1:9" s="28" customFormat="1" ht="15" hidden="1">
      <c r="A596" s="99" t="s">
        <v>93</v>
      </c>
      <c r="B596" s="161"/>
      <c r="C596" s="55" t="s">
        <v>383</v>
      </c>
      <c r="D596" s="55" t="s">
        <v>121</v>
      </c>
      <c r="E596" s="128" t="s">
        <v>352</v>
      </c>
      <c r="F596" s="143" t="s">
        <v>94</v>
      </c>
      <c r="G596" s="177"/>
      <c r="H596" s="27"/>
      <c r="I596" s="14"/>
    </row>
    <row r="597" spans="1:9" s="28" customFormat="1" ht="28.5" hidden="1">
      <c r="A597" s="100" t="s">
        <v>103</v>
      </c>
      <c r="B597" s="161"/>
      <c r="C597" s="55" t="s">
        <v>383</v>
      </c>
      <c r="D597" s="55" t="s">
        <v>121</v>
      </c>
      <c r="E597" s="55" t="s">
        <v>104</v>
      </c>
      <c r="F597" s="144"/>
      <c r="G597" s="177">
        <f>SUM(G599)</f>
        <v>0</v>
      </c>
      <c r="H597" s="18" t="e">
        <f>SUM(H598)</f>
        <v>#REF!</v>
      </c>
      <c r="I597" s="14" t="e">
        <f>SUM(H597/G602*100)</f>
        <v>#REF!</v>
      </c>
    </row>
    <row r="598" spans="1:9" s="28" customFormat="1" ht="15" hidden="1">
      <c r="A598" s="100" t="s">
        <v>105</v>
      </c>
      <c r="B598" s="161"/>
      <c r="C598" s="55" t="s">
        <v>383</v>
      </c>
      <c r="D598" s="55" t="s">
        <v>121</v>
      </c>
      <c r="E598" s="55" t="s">
        <v>236</v>
      </c>
      <c r="F598" s="144"/>
      <c r="G598" s="177">
        <f>SUM(G599)</f>
        <v>0</v>
      </c>
      <c r="H598" s="18" t="e">
        <f>SUM(H599)</f>
        <v>#REF!</v>
      </c>
      <c r="I598" s="14" t="e">
        <f>SUM(H598/G603*100)</f>
        <v>#REF!</v>
      </c>
    </row>
    <row r="599" spans="1:10" s="28" customFormat="1" ht="15" hidden="1">
      <c r="A599" s="99" t="s">
        <v>93</v>
      </c>
      <c r="B599" s="161"/>
      <c r="C599" s="55" t="s">
        <v>383</v>
      </c>
      <c r="D599" s="55" t="s">
        <v>121</v>
      </c>
      <c r="E599" s="55" t="s">
        <v>236</v>
      </c>
      <c r="F599" s="144" t="s">
        <v>94</v>
      </c>
      <c r="G599" s="177"/>
      <c r="H599" s="18" t="e">
        <f>SUM(#REF!)</f>
        <v>#REF!</v>
      </c>
      <c r="I599" s="14" t="e">
        <f>SUM(H599/G604*100)</f>
        <v>#REF!</v>
      </c>
      <c r="J599" s="40"/>
    </row>
    <row r="600" spans="1:9" ht="30.75" thickBot="1">
      <c r="A600" s="102" t="s">
        <v>366</v>
      </c>
      <c r="B600" s="164"/>
      <c r="C600" s="130" t="s">
        <v>224</v>
      </c>
      <c r="D600" s="130" t="s">
        <v>177</v>
      </c>
      <c r="E600" s="130"/>
      <c r="F600" s="149"/>
      <c r="G600" s="179">
        <f>SUM(G601)</f>
        <v>30000</v>
      </c>
      <c r="H600" s="29">
        <f>-76000-174.5-350</f>
        <v>-76524.5</v>
      </c>
      <c r="I600" s="29">
        <f>-76000-174.5-350</f>
        <v>-76524.5</v>
      </c>
    </row>
    <row r="601" spans="1:9" ht="28.5">
      <c r="A601" s="99" t="s">
        <v>225</v>
      </c>
      <c r="B601" s="161"/>
      <c r="C601" s="55" t="s">
        <v>224</v>
      </c>
      <c r="D601" s="55" t="s">
        <v>423</v>
      </c>
      <c r="E601" s="55"/>
      <c r="F601" s="142"/>
      <c r="G601" s="177">
        <f>SUM(G602)</f>
        <v>30000</v>
      </c>
      <c r="H601" s="30"/>
      <c r="I601" s="30"/>
    </row>
    <row r="602" spans="1:9" ht="15.75" thickBot="1">
      <c r="A602" s="99" t="s">
        <v>367</v>
      </c>
      <c r="B602" s="161"/>
      <c r="C602" s="55" t="s">
        <v>224</v>
      </c>
      <c r="D602" s="55" t="s">
        <v>423</v>
      </c>
      <c r="E602" s="55" t="s">
        <v>368</v>
      </c>
      <c r="F602" s="144"/>
      <c r="G602" s="177">
        <f>SUM(G604)</f>
        <v>30000</v>
      </c>
      <c r="H602" s="31"/>
      <c r="I602" s="31"/>
    </row>
    <row r="603" spans="1:9" ht="15">
      <c r="A603" s="99" t="s">
        <v>369</v>
      </c>
      <c r="B603" s="161"/>
      <c r="C603" s="55" t="s">
        <v>224</v>
      </c>
      <c r="D603" s="55" t="s">
        <v>423</v>
      </c>
      <c r="E603" s="55" t="s">
        <v>370</v>
      </c>
      <c r="F603" s="144"/>
      <c r="G603" s="177">
        <f>SUM(G604)</f>
        <v>30000</v>
      </c>
      <c r="H603" s="32">
        <v>0</v>
      </c>
      <c r="I603" s="32">
        <v>0</v>
      </c>
    </row>
    <row r="604" spans="1:10" ht="15.75" thickBot="1">
      <c r="A604" s="99" t="s">
        <v>472</v>
      </c>
      <c r="B604" s="161"/>
      <c r="C604" s="55" t="s">
        <v>224</v>
      </c>
      <c r="D604" s="55" t="s">
        <v>423</v>
      </c>
      <c r="E604" s="55" t="s">
        <v>370</v>
      </c>
      <c r="F604" s="144" t="s">
        <v>164</v>
      </c>
      <c r="G604" s="177">
        <v>30000</v>
      </c>
      <c r="H604" s="32">
        <v>62000</v>
      </c>
      <c r="I604" s="32">
        <v>62000</v>
      </c>
      <c r="J604" s="36">
        <f>SUM('ведомствен.2014'!G321)</f>
        <v>30000</v>
      </c>
    </row>
    <row r="605" spans="1:10" ht="15.75" thickBot="1">
      <c r="A605" s="136" t="s">
        <v>163</v>
      </c>
      <c r="B605" s="173"/>
      <c r="C605" s="134"/>
      <c r="D605" s="134"/>
      <c r="E605" s="134"/>
      <c r="F605" s="159"/>
      <c r="G605" s="186">
        <f>SUM(G13+G85+G116+G155+G240+G251+G335+G406+G453+G570+G600)</f>
        <v>3276110.9</v>
      </c>
      <c r="H605" s="33">
        <v>62000</v>
      </c>
      <c r="I605" s="33">
        <v>62000</v>
      </c>
      <c r="J605" s="39">
        <f>SUM(J13:J604)</f>
        <v>3276110.8999999994</v>
      </c>
    </row>
    <row r="606" ht="6.75" customHeight="1">
      <c r="G606" s="48"/>
    </row>
    <row r="607" spans="7:10" ht="12.75" hidden="1">
      <c r="G607" s="59">
        <f>SUM(J605-G605)</f>
        <v>-4.656612873077393E-10</v>
      </c>
      <c r="J607" s="36">
        <f>SUM('ведомствен.2014'!G730-'функцион.2014'!J605)</f>
        <v>0</v>
      </c>
    </row>
  </sheetData>
  <sheetProtection/>
  <mergeCells count="1">
    <mergeCell ref="F5:G5"/>
  </mergeCells>
  <printOptions/>
  <pageMargins left="1.1023622047244095" right="0.15748031496062992" top="0.15748031496062992" bottom="0.03937007874015748" header="0.5118110236220472" footer="0.2362204724409449"/>
  <pageSetup fitToHeight="19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35"/>
  <sheetViews>
    <sheetView zoomScalePageLayoutView="0" workbookViewId="0" topLeftCell="A1">
      <selection activeCell="A1" sqref="A1:G71"/>
    </sheetView>
  </sheetViews>
  <sheetFormatPr defaultColWidth="9.00390625" defaultRowHeight="12.75"/>
  <cols>
    <col min="1" max="1" width="78.25390625" style="73" customWidth="1"/>
    <col min="2" max="2" width="6.875" style="74" customWidth="1"/>
    <col min="3" max="3" width="7.75390625" style="75" customWidth="1"/>
    <col min="4" max="4" width="6.875" style="75" customWidth="1"/>
    <col min="5" max="5" width="12.75390625" style="75" customWidth="1"/>
    <col min="6" max="6" width="10.125" style="75" customWidth="1"/>
    <col min="7" max="7" width="17.125" style="77" customWidth="1"/>
    <col min="8" max="8" width="11.00390625" style="77" hidden="1" customWidth="1"/>
    <col min="9" max="9" width="4.375" style="77" hidden="1" customWidth="1"/>
    <col min="10" max="10" width="5.875" style="75" customWidth="1"/>
    <col min="11" max="11" width="12.375" style="75" customWidth="1"/>
    <col min="12" max="16384" width="9.125" style="75" customWidth="1"/>
  </cols>
  <sheetData>
    <row r="1" spans="6:9" ht="15">
      <c r="F1" s="61" t="s">
        <v>448</v>
      </c>
      <c r="G1" s="62"/>
      <c r="I1" s="78"/>
    </row>
    <row r="2" spans="1:9" ht="15">
      <c r="A2" s="73" t="s">
        <v>239</v>
      </c>
      <c r="F2" s="60" t="s">
        <v>598</v>
      </c>
      <c r="G2" s="62"/>
      <c r="I2" s="78"/>
    </row>
    <row r="3" spans="6:9" ht="15">
      <c r="F3" s="60" t="s">
        <v>257</v>
      </c>
      <c r="G3" s="62"/>
      <c r="I3" s="78"/>
    </row>
    <row r="4" spans="6:9" ht="15">
      <c r="F4" s="60" t="s">
        <v>258</v>
      </c>
      <c r="G4" s="62"/>
      <c r="I4" s="78"/>
    </row>
    <row r="5" spans="2:7" ht="15.75">
      <c r="B5" s="79" t="s">
        <v>240</v>
      </c>
      <c r="F5" s="225" t="s">
        <v>599</v>
      </c>
      <c r="G5" s="225"/>
    </row>
    <row r="6" ht="15.75">
      <c r="B6" s="79" t="s">
        <v>241</v>
      </c>
    </row>
    <row r="7" ht="15.75">
      <c r="B7" s="79" t="s">
        <v>458</v>
      </c>
    </row>
    <row r="8" ht="16.5" thickBot="1">
      <c r="B8" s="63"/>
    </row>
    <row r="9" spans="1:9" ht="15">
      <c r="A9" s="226" t="s">
        <v>242</v>
      </c>
      <c r="B9" s="187" t="s">
        <v>263</v>
      </c>
      <c r="C9" s="188"/>
      <c r="D9" s="189"/>
      <c r="E9" s="189"/>
      <c r="F9" s="189"/>
      <c r="G9" s="71" t="s">
        <v>264</v>
      </c>
      <c r="H9" s="80" t="s">
        <v>265</v>
      </c>
      <c r="I9" s="80" t="s">
        <v>266</v>
      </c>
    </row>
    <row r="10" spans="1:9" ht="46.5" customHeight="1" thickBot="1">
      <c r="A10" s="227"/>
      <c r="B10" s="190" t="s">
        <v>267</v>
      </c>
      <c r="C10" s="191" t="s">
        <v>268</v>
      </c>
      <c r="D10" s="191" t="s">
        <v>269</v>
      </c>
      <c r="E10" s="191" t="s">
        <v>270</v>
      </c>
      <c r="F10" s="192" t="s">
        <v>473</v>
      </c>
      <c r="G10" s="72" t="s">
        <v>457</v>
      </c>
      <c r="H10" s="81" t="s">
        <v>420</v>
      </c>
      <c r="I10" s="81" t="s">
        <v>421</v>
      </c>
    </row>
    <row r="11" spans="1:9" ht="15.75">
      <c r="A11" s="98" t="s">
        <v>184</v>
      </c>
      <c r="B11" s="193" t="s">
        <v>185</v>
      </c>
      <c r="C11" s="194"/>
      <c r="D11" s="194"/>
      <c r="E11" s="194"/>
      <c r="F11" s="195"/>
      <c r="G11" s="221">
        <f>SUM(G12)</f>
        <v>19523</v>
      </c>
      <c r="H11" s="64" t="e">
        <f>SUM(H12)+#REF!+#REF!</f>
        <v>#REF!</v>
      </c>
      <c r="I11" s="64" t="e">
        <f aca="true" t="shared" si="0" ref="I11:I42">SUM(H11/G11*100)</f>
        <v>#REF!</v>
      </c>
    </row>
    <row r="12" spans="1:9" ht="15">
      <c r="A12" s="99" t="s">
        <v>422</v>
      </c>
      <c r="B12" s="46"/>
      <c r="C12" s="55" t="s">
        <v>423</v>
      </c>
      <c r="D12" s="55"/>
      <c r="E12" s="55"/>
      <c r="F12" s="142"/>
      <c r="G12" s="177">
        <f>SUM(G13+G17+G24)</f>
        <v>19523</v>
      </c>
      <c r="H12" s="22">
        <f>SUM(H13+H17+H24)</f>
        <v>9401.9</v>
      </c>
      <c r="I12" s="22">
        <f t="shared" si="0"/>
        <v>48.1580699687548</v>
      </c>
    </row>
    <row r="13" spans="1:9" ht="28.5">
      <c r="A13" s="99" t="s">
        <v>424</v>
      </c>
      <c r="B13" s="46"/>
      <c r="C13" s="55" t="s">
        <v>423</v>
      </c>
      <c r="D13" s="55" t="s">
        <v>425</v>
      </c>
      <c r="E13" s="55"/>
      <c r="F13" s="142"/>
      <c r="G13" s="177">
        <f>SUM(G14)</f>
        <v>1725</v>
      </c>
      <c r="H13" s="22">
        <f>SUM(H14)</f>
        <v>983.5</v>
      </c>
      <c r="I13" s="22">
        <f t="shared" si="0"/>
        <v>57.014492753623195</v>
      </c>
    </row>
    <row r="14" spans="1:9" ht="28.5">
      <c r="A14" s="99" t="s">
        <v>89</v>
      </c>
      <c r="B14" s="46"/>
      <c r="C14" s="55" t="s">
        <v>423</v>
      </c>
      <c r="D14" s="55" t="s">
        <v>425</v>
      </c>
      <c r="E14" s="55" t="s">
        <v>90</v>
      </c>
      <c r="F14" s="142"/>
      <c r="G14" s="177">
        <f>SUM(G16)</f>
        <v>1725</v>
      </c>
      <c r="H14" s="22">
        <f>SUM(H16:H16)</f>
        <v>983.5</v>
      </c>
      <c r="I14" s="22">
        <f t="shared" si="0"/>
        <v>57.014492753623195</v>
      </c>
    </row>
    <row r="15" spans="1:9" ht="15">
      <c r="A15" s="99" t="s">
        <v>91</v>
      </c>
      <c r="B15" s="46"/>
      <c r="C15" s="55" t="s">
        <v>423</v>
      </c>
      <c r="D15" s="55" t="s">
        <v>425</v>
      </c>
      <c r="E15" s="55" t="s">
        <v>92</v>
      </c>
      <c r="F15" s="142"/>
      <c r="G15" s="177">
        <f>SUM(G16)</f>
        <v>1725</v>
      </c>
      <c r="H15" s="22">
        <f>SUM(H16)</f>
        <v>983.5</v>
      </c>
      <c r="I15" s="22">
        <f t="shared" si="0"/>
        <v>57.014492753623195</v>
      </c>
    </row>
    <row r="16" spans="1:9" ht="28.5">
      <c r="A16" s="99" t="s">
        <v>459</v>
      </c>
      <c r="B16" s="46"/>
      <c r="C16" s="55" t="s">
        <v>423</v>
      </c>
      <c r="D16" s="55" t="s">
        <v>425</v>
      </c>
      <c r="E16" s="55" t="s">
        <v>92</v>
      </c>
      <c r="F16" s="142" t="s">
        <v>460</v>
      </c>
      <c r="G16" s="177">
        <v>1725</v>
      </c>
      <c r="H16" s="22">
        <v>983.5</v>
      </c>
      <c r="I16" s="22">
        <f t="shared" si="0"/>
        <v>57.014492753623195</v>
      </c>
    </row>
    <row r="17" spans="1:9" ht="42.75">
      <c r="A17" s="99" t="s">
        <v>95</v>
      </c>
      <c r="B17" s="46"/>
      <c r="C17" s="55" t="s">
        <v>423</v>
      </c>
      <c r="D17" s="55" t="s">
        <v>96</v>
      </c>
      <c r="E17" s="55"/>
      <c r="F17" s="142"/>
      <c r="G17" s="177">
        <f>SUM(G18)</f>
        <v>11111.5</v>
      </c>
      <c r="H17" s="22">
        <f>SUM(H18)</f>
        <v>8231.8</v>
      </c>
      <c r="I17" s="22">
        <f t="shared" si="0"/>
        <v>74.0836070737524</v>
      </c>
    </row>
    <row r="18" spans="1:9" ht="28.5">
      <c r="A18" s="99" t="s">
        <v>89</v>
      </c>
      <c r="B18" s="46"/>
      <c r="C18" s="55" t="s">
        <v>423</v>
      </c>
      <c r="D18" s="55" t="s">
        <v>96</v>
      </c>
      <c r="E18" s="55" t="s">
        <v>90</v>
      </c>
      <c r="F18" s="143"/>
      <c r="G18" s="177">
        <f>SUM(G19+G22)</f>
        <v>11111.5</v>
      </c>
      <c r="H18" s="22">
        <f>SUM(H19+H22)</f>
        <v>8231.8</v>
      </c>
      <c r="I18" s="22">
        <f t="shared" si="0"/>
        <v>74.0836070737524</v>
      </c>
    </row>
    <row r="19" spans="1:9" ht="15">
      <c r="A19" s="99" t="s">
        <v>97</v>
      </c>
      <c r="B19" s="46"/>
      <c r="C19" s="55" t="s">
        <v>98</v>
      </c>
      <c r="D19" s="55" t="s">
        <v>96</v>
      </c>
      <c r="E19" s="55" t="s">
        <v>99</v>
      </c>
      <c r="F19" s="143"/>
      <c r="G19" s="177">
        <f>SUM(G20+G21)</f>
        <v>11111.5</v>
      </c>
      <c r="H19" s="22">
        <f>SUM(H20)</f>
        <v>8068.7</v>
      </c>
      <c r="I19" s="22">
        <f t="shared" si="0"/>
        <v>72.6157584484543</v>
      </c>
    </row>
    <row r="20" spans="1:9" ht="28.5">
      <c r="A20" s="99" t="s">
        <v>459</v>
      </c>
      <c r="B20" s="46"/>
      <c r="C20" s="55" t="s">
        <v>423</v>
      </c>
      <c r="D20" s="55" t="s">
        <v>96</v>
      </c>
      <c r="E20" s="55" t="s">
        <v>99</v>
      </c>
      <c r="F20" s="142" t="s">
        <v>460</v>
      </c>
      <c r="G20" s="177">
        <v>11104.4</v>
      </c>
      <c r="H20" s="22">
        <v>8068.7</v>
      </c>
      <c r="I20" s="22">
        <f t="shared" si="0"/>
        <v>72.66218796152877</v>
      </c>
    </row>
    <row r="21" spans="1:9" ht="15">
      <c r="A21" s="99" t="s">
        <v>464</v>
      </c>
      <c r="B21" s="46"/>
      <c r="C21" s="55" t="s">
        <v>423</v>
      </c>
      <c r="D21" s="55" t="s">
        <v>96</v>
      </c>
      <c r="E21" s="55" t="s">
        <v>99</v>
      </c>
      <c r="F21" s="142" t="s">
        <v>110</v>
      </c>
      <c r="G21" s="178">
        <v>7.1</v>
      </c>
      <c r="H21" s="22"/>
      <c r="I21" s="22"/>
    </row>
    <row r="22" spans="1:9" ht="15" hidden="1">
      <c r="A22" s="99" t="s">
        <v>100</v>
      </c>
      <c r="B22" s="46"/>
      <c r="C22" s="55" t="s">
        <v>98</v>
      </c>
      <c r="D22" s="55" t="s">
        <v>96</v>
      </c>
      <c r="E22" s="55" t="s">
        <v>101</v>
      </c>
      <c r="F22" s="142"/>
      <c r="G22" s="177">
        <f>SUM(G23)</f>
        <v>0</v>
      </c>
      <c r="H22" s="22">
        <f>SUM(H23)</f>
        <v>163.1</v>
      </c>
      <c r="I22" s="22" t="e">
        <f t="shared" si="0"/>
        <v>#DIV/0!</v>
      </c>
    </row>
    <row r="23" spans="1:9" ht="15" hidden="1">
      <c r="A23" s="99" t="s">
        <v>93</v>
      </c>
      <c r="B23" s="46"/>
      <c r="C23" s="55" t="s">
        <v>98</v>
      </c>
      <c r="D23" s="55" t="s">
        <v>96</v>
      </c>
      <c r="E23" s="55" t="s">
        <v>101</v>
      </c>
      <c r="F23" s="142" t="s">
        <v>94</v>
      </c>
      <c r="G23" s="177"/>
      <c r="H23" s="22">
        <v>163.1</v>
      </c>
      <c r="I23" s="22" t="e">
        <f t="shared" si="0"/>
        <v>#DIV/0!</v>
      </c>
    </row>
    <row r="24" spans="1:9" ht="15">
      <c r="A24" s="99" t="s">
        <v>102</v>
      </c>
      <c r="B24" s="46"/>
      <c r="C24" s="55" t="s">
        <v>423</v>
      </c>
      <c r="D24" s="55" t="s">
        <v>224</v>
      </c>
      <c r="E24" s="55"/>
      <c r="F24" s="143"/>
      <c r="G24" s="177">
        <f>SUM(G25)</f>
        <v>6686.5</v>
      </c>
      <c r="H24" s="22">
        <f>SUM(H31)</f>
        <v>186.6</v>
      </c>
      <c r="I24" s="22">
        <f t="shared" si="0"/>
        <v>2.7906976744186047</v>
      </c>
    </row>
    <row r="25" spans="1:9" ht="28.5">
      <c r="A25" s="99" t="s">
        <v>461</v>
      </c>
      <c r="B25" s="46"/>
      <c r="C25" s="55" t="s">
        <v>423</v>
      </c>
      <c r="D25" s="55" t="s">
        <v>224</v>
      </c>
      <c r="E25" s="55" t="s">
        <v>462</v>
      </c>
      <c r="F25" s="143"/>
      <c r="G25" s="177">
        <f>SUM(G26+G29+G31)</f>
        <v>6686.5</v>
      </c>
      <c r="H25" s="22"/>
      <c r="I25" s="22"/>
    </row>
    <row r="26" spans="1:9" ht="15">
      <c r="A26" s="99" t="s">
        <v>450</v>
      </c>
      <c r="B26" s="46"/>
      <c r="C26" s="55" t="s">
        <v>423</v>
      </c>
      <c r="D26" s="55" t="s">
        <v>224</v>
      </c>
      <c r="E26" s="55" t="s">
        <v>463</v>
      </c>
      <c r="F26" s="142"/>
      <c r="G26" s="178">
        <f>SUM(G27:G28)</f>
        <v>571.4</v>
      </c>
      <c r="H26" s="22"/>
      <c r="I26" s="22"/>
    </row>
    <row r="27" spans="1:9" ht="15">
      <c r="A27" s="99" t="s">
        <v>464</v>
      </c>
      <c r="B27" s="46"/>
      <c r="C27" s="55" t="s">
        <v>423</v>
      </c>
      <c r="D27" s="55" t="s">
        <v>224</v>
      </c>
      <c r="E27" s="55" t="s">
        <v>463</v>
      </c>
      <c r="F27" s="142" t="s">
        <v>110</v>
      </c>
      <c r="G27" s="178">
        <v>527</v>
      </c>
      <c r="H27" s="22"/>
      <c r="I27" s="22"/>
    </row>
    <row r="28" spans="1:9" ht="15">
      <c r="A28" s="99" t="s">
        <v>465</v>
      </c>
      <c r="B28" s="46"/>
      <c r="C28" s="55" t="s">
        <v>423</v>
      </c>
      <c r="D28" s="55" t="s">
        <v>224</v>
      </c>
      <c r="E28" s="55" t="s">
        <v>463</v>
      </c>
      <c r="F28" s="142" t="s">
        <v>165</v>
      </c>
      <c r="G28" s="178">
        <v>44.4</v>
      </c>
      <c r="H28" s="22"/>
      <c r="I28" s="22"/>
    </row>
    <row r="29" spans="1:9" ht="28.5">
      <c r="A29" s="99" t="s">
        <v>451</v>
      </c>
      <c r="B29" s="46"/>
      <c r="C29" s="55" t="s">
        <v>423</v>
      </c>
      <c r="D29" s="55" t="s">
        <v>224</v>
      </c>
      <c r="E29" s="55" t="s">
        <v>466</v>
      </c>
      <c r="F29" s="142"/>
      <c r="G29" s="178">
        <f>SUM(G30)</f>
        <v>238.2</v>
      </c>
      <c r="H29" s="22"/>
      <c r="I29" s="22"/>
    </row>
    <row r="30" spans="1:9" ht="15">
      <c r="A30" s="99" t="s">
        <v>464</v>
      </c>
      <c r="B30" s="46"/>
      <c r="C30" s="55" t="s">
        <v>423</v>
      </c>
      <c r="D30" s="55" t="s">
        <v>224</v>
      </c>
      <c r="E30" s="55" t="s">
        <v>466</v>
      </c>
      <c r="F30" s="142" t="s">
        <v>110</v>
      </c>
      <c r="G30" s="178">
        <v>238.2</v>
      </c>
      <c r="H30" s="22"/>
      <c r="I30" s="22"/>
    </row>
    <row r="31" spans="1:9" ht="28.5">
      <c r="A31" s="100" t="s">
        <v>467</v>
      </c>
      <c r="B31" s="46"/>
      <c r="C31" s="55" t="s">
        <v>423</v>
      </c>
      <c r="D31" s="55" t="s">
        <v>224</v>
      </c>
      <c r="E31" s="55" t="s">
        <v>468</v>
      </c>
      <c r="F31" s="144"/>
      <c r="G31" s="177">
        <f>SUM(G32:G34)</f>
        <v>5876.900000000001</v>
      </c>
      <c r="H31" s="22">
        <f>SUM(H34)</f>
        <v>186.6</v>
      </c>
      <c r="I31" s="22">
        <f t="shared" si="0"/>
        <v>3.1751433578927664</v>
      </c>
    </row>
    <row r="32" spans="1:9" ht="15">
      <c r="A32" s="99" t="s">
        <v>464</v>
      </c>
      <c r="B32" s="46"/>
      <c r="C32" s="55" t="s">
        <v>423</v>
      </c>
      <c r="D32" s="55" t="s">
        <v>224</v>
      </c>
      <c r="E32" s="55" t="s">
        <v>468</v>
      </c>
      <c r="F32" s="144" t="s">
        <v>110</v>
      </c>
      <c r="G32" s="177">
        <v>5197.8</v>
      </c>
      <c r="H32" s="22">
        <f>SUM(H34)</f>
        <v>186.6</v>
      </c>
      <c r="I32" s="22">
        <f t="shared" si="0"/>
        <v>3.589980376313055</v>
      </c>
    </row>
    <row r="33" spans="1:9" ht="15">
      <c r="A33" s="99" t="s">
        <v>469</v>
      </c>
      <c r="B33" s="46"/>
      <c r="C33" s="55" t="s">
        <v>423</v>
      </c>
      <c r="D33" s="55" t="s">
        <v>224</v>
      </c>
      <c r="E33" s="55" t="s">
        <v>468</v>
      </c>
      <c r="F33" s="144" t="s">
        <v>470</v>
      </c>
      <c r="G33" s="177">
        <v>666</v>
      </c>
      <c r="H33" s="22"/>
      <c r="I33" s="22"/>
    </row>
    <row r="34" spans="1:9" ht="15">
      <c r="A34" s="99" t="s">
        <v>465</v>
      </c>
      <c r="B34" s="46"/>
      <c r="C34" s="55" t="s">
        <v>423</v>
      </c>
      <c r="D34" s="55" t="s">
        <v>224</v>
      </c>
      <c r="E34" s="55" t="s">
        <v>468</v>
      </c>
      <c r="F34" s="144" t="s">
        <v>165</v>
      </c>
      <c r="G34" s="177">
        <v>13.1</v>
      </c>
      <c r="H34" s="22">
        <v>186.6</v>
      </c>
      <c r="I34" s="22">
        <f t="shared" si="0"/>
        <v>1424.4274809160306</v>
      </c>
    </row>
    <row r="35" spans="1:9" ht="15.75">
      <c r="A35" s="101" t="s">
        <v>186</v>
      </c>
      <c r="B35" s="152" t="s">
        <v>187</v>
      </c>
      <c r="C35" s="128"/>
      <c r="D35" s="128"/>
      <c r="E35" s="128"/>
      <c r="F35" s="143"/>
      <c r="G35" s="184">
        <f aca="true" t="shared" si="1" ref="G35:H37">SUM(G36)</f>
        <v>5614.4</v>
      </c>
      <c r="H35" s="65" t="e">
        <f t="shared" si="1"/>
        <v>#REF!</v>
      </c>
      <c r="I35" s="65" t="e">
        <f t="shared" si="0"/>
        <v>#REF!</v>
      </c>
    </row>
    <row r="36" spans="1:9" ht="15">
      <c r="A36" s="99" t="s">
        <v>422</v>
      </c>
      <c r="B36" s="46"/>
      <c r="C36" s="55" t="s">
        <v>423</v>
      </c>
      <c r="D36" s="55"/>
      <c r="E36" s="55"/>
      <c r="F36" s="142"/>
      <c r="G36" s="177">
        <f>SUM(G37)+G44</f>
        <v>5614.4</v>
      </c>
      <c r="H36" s="22" t="e">
        <f t="shared" si="1"/>
        <v>#REF!</v>
      </c>
      <c r="I36" s="22" t="e">
        <f t="shared" si="0"/>
        <v>#REF!</v>
      </c>
    </row>
    <row r="37" spans="1:9" ht="28.5">
      <c r="A37" s="100" t="s">
        <v>354</v>
      </c>
      <c r="B37" s="46"/>
      <c r="C37" s="55" t="s">
        <v>423</v>
      </c>
      <c r="D37" s="55" t="s">
        <v>355</v>
      </c>
      <c r="E37" s="55"/>
      <c r="F37" s="142"/>
      <c r="G37" s="177">
        <f t="shared" si="1"/>
        <v>4929.9</v>
      </c>
      <c r="H37" s="22" t="e">
        <f t="shared" si="1"/>
        <v>#REF!</v>
      </c>
      <c r="I37" s="22" t="e">
        <f t="shared" si="0"/>
        <v>#REF!</v>
      </c>
    </row>
    <row r="38" spans="1:9" ht="28.5">
      <c r="A38" s="99" t="s">
        <v>89</v>
      </c>
      <c r="B38" s="46"/>
      <c r="C38" s="55" t="s">
        <v>423</v>
      </c>
      <c r="D38" s="55" t="s">
        <v>355</v>
      </c>
      <c r="E38" s="55" t="s">
        <v>90</v>
      </c>
      <c r="F38" s="143"/>
      <c r="G38" s="177">
        <f>SUM(G39+G42)</f>
        <v>4929.9</v>
      </c>
      <c r="H38" s="22" t="e">
        <f>SUM(H39+H42)</f>
        <v>#REF!</v>
      </c>
      <c r="I38" s="22" t="e">
        <f t="shared" si="0"/>
        <v>#REF!</v>
      </c>
    </row>
    <row r="39" spans="1:9" ht="15">
      <c r="A39" s="99" t="s">
        <v>97</v>
      </c>
      <c r="B39" s="46"/>
      <c r="C39" s="55" t="s">
        <v>423</v>
      </c>
      <c r="D39" s="55" t="s">
        <v>355</v>
      </c>
      <c r="E39" s="55" t="s">
        <v>99</v>
      </c>
      <c r="F39" s="143"/>
      <c r="G39" s="177">
        <f>SUM(G40)+G41</f>
        <v>3237.9</v>
      </c>
      <c r="H39" s="22">
        <f>SUM(H40)</f>
        <v>2155.5</v>
      </c>
      <c r="I39" s="22">
        <f t="shared" si="0"/>
        <v>66.57092559992589</v>
      </c>
    </row>
    <row r="40" spans="1:9" ht="28.5">
      <c r="A40" s="99" t="s">
        <v>459</v>
      </c>
      <c r="B40" s="46"/>
      <c r="C40" s="55" t="s">
        <v>423</v>
      </c>
      <c r="D40" s="55" t="s">
        <v>355</v>
      </c>
      <c r="E40" s="55" t="s">
        <v>99</v>
      </c>
      <c r="F40" s="142" t="s">
        <v>460</v>
      </c>
      <c r="G40" s="177">
        <v>3229.6</v>
      </c>
      <c r="H40" s="22">
        <v>2155.5</v>
      </c>
      <c r="I40" s="22">
        <f t="shared" si="0"/>
        <v>66.74201139459996</v>
      </c>
    </row>
    <row r="41" spans="1:9" ht="15">
      <c r="A41" s="99" t="s">
        <v>464</v>
      </c>
      <c r="B41" s="46"/>
      <c r="C41" s="55" t="s">
        <v>423</v>
      </c>
      <c r="D41" s="55" t="s">
        <v>355</v>
      </c>
      <c r="E41" s="55" t="s">
        <v>99</v>
      </c>
      <c r="F41" s="142" t="s">
        <v>110</v>
      </c>
      <c r="G41" s="178">
        <v>8.3</v>
      </c>
      <c r="H41" s="22"/>
      <c r="I41" s="22"/>
    </row>
    <row r="42" spans="1:9" s="82" customFormat="1" ht="28.5">
      <c r="A42" s="99" t="s">
        <v>358</v>
      </c>
      <c r="B42" s="46"/>
      <c r="C42" s="55" t="s">
        <v>98</v>
      </c>
      <c r="D42" s="55" t="s">
        <v>355</v>
      </c>
      <c r="E42" s="55" t="s">
        <v>359</v>
      </c>
      <c r="F42" s="144"/>
      <c r="G42" s="177">
        <f>SUM(G43)</f>
        <v>1692</v>
      </c>
      <c r="H42" s="22" t="e">
        <f>SUM(#REF!)</f>
        <v>#REF!</v>
      </c>
      <c r="I42" s="22" t="e">
        <f t="shared" si="0"/>
        <v>#REF!</v>
      </c>
    </row>
    <row r="43" spans="1:9" s="82" customFormat="1" ht="28.5">
      <c r="A43" s="99" t="s">
        <v>459</v>
      </c>
      <c r="B43" s="46"/>
      <c r="C43" s="55" t="s">
        <v>98</v>
      </c>
      <c r="D43" s="55" t="s">
        <v>355</v>
      </c>
      <c r="E43" s="55" t="s">
        <v>359</v>
      </c>
      <c r="F43" s="142" t="s">
        <v>460</v>
      </c>
      <c r="G43" s="177">
        <v>1692</v>
      </c>
      <c r="H43" s="22"/>
      <c r="I43" s="22"/>
    </row>
    <row r="44" spans="1:9" s="82" customFormat="1" ht="15">
      <c r="A44" s="99" t="s">
        <v>102</v>
      </c>
      <c r="B44" s="46"/>
      <c r="C44" s="55" t="s">
        <v>423</v>
      </c>
      <c r="D44" s="55" t="s">
        <v>224</v>
      </c>
      <c r="E44" s="55"/>
      <c r="F44" s="143"/>
      <c r="G44" s="177">
        <f>SUM(G45)</f>
        <v>684.5</v>
      </c>
      <c r="H44" s="22"/>
      <c r="I44" s="22"/>
    </row>
    <row r="45" spans="1:9" s="82" customFormat="1" ht="28.5">
      <c r="A45" s="99" t="s">
        <v>461</v>
      </c>
      <c r="B45" s="46"/>
      <c r="C45" s="55" t="s">
        <v>423</v>
      </c>
      <c r="D45" s="55" t="s">
        <v>224</v>
      </c>
      <c r="E45" s="55" t="s">
        <v>462</v>
      </c>
      <c r="F45" s="143"/>
      <c r="G45" s="177">
        <f>SUM(G46+G49+G51)</f>
        <v>684.5</v>
      </c>
      <c r="H45" s="22"/>
      <c r="I45" s="22"/>
    </row>
    <row r="46" spans="1:9" s="82" customFormat="1" ht="15">
      <c r="A46" s="99" t="s">
        <v>450</v>
      </c>
      <c r="B46" s="46"/>
      <c r="C46" s="55" t="s">
        <v>423</v>
      </c>
      <c r="D46" s="55" t="s">
        <v>224</v>
      </c>
      <c r="E46" s="55" t="s">
        <v>463</v>
      </c>
      <c r="F46" s="142"/>
      <c r="G46" s="178">
        <f>SUM(G47:G48)</f>
        <v>121.8</v>
      </c>
      <c r="H46" s="22"/>
      <c r="I46" s="22"/>
    </row>
    <row r="47" spans="1:9" s="82" customFormat="1" ht="15">
      <c r="A47" s="99" t="s">
        <v>464</v>
      </c>
      <c r="B47" s="46"/>
      <c r="C47" s="55" t="s">
        <v>423</v>
      </c>
      <c r="D47" s="55" t="s">
        <v>224</v>
      </c>
      <c r="E47" s="55" t="s">
        <v>463</v>
      </c>
      <c r="F47" s="142" t="s">
        <v>110</v>
      </c>
      <c r="G47" s="178">
        <v>119</v>
      </c>
      <c r="H47" s="22"/>
      <c r="I47" s="22"/>
    </row>
    <row r="48" spans="1:9" s="82" customFormat="1" ht="15">
      <c r="A48" s="99" t="s">
        <v>465</v>
      </c>
      <c r="B48" s="46"/>
      <c r="C48" s="55" t="s">
        <v>423</v>
      </c>
      <c r="D48" s="55" t="s">
        <v>224</v>
      </c>
      <c r="E48" s="55" t="s">
        <v>463</v>
      </c>
      <c r="F48" s="142" t="s">
        <v>165</v>
      </c>
      <c r="G48" s="178">
        <v>2.8</v>
      </c>
      <c r="H48" s="22"/>
      <c r="I48" s="22"/>
    </row>
    <row r="49" spans="1:9" s="82" customFormat="1" ht="28.5">
      <c r="A49" s="99" t="s">
        <v>451</v>
      </c>
      <c r="B49" s="46"/>
      <c r="C49" s="55" t="s">
        <v>423</v>
      </c>
      <c r="D49" s="55" t="s">
        <v>224</v>
      </c>
      <c r="E49" s="55" t="s">
        <v>466</v>
      </c>
      <c r="F49" s="142"/>
      <c r="G49" s="178">
        <f>SUM(G50)</f>
        <v>157</v>
      </c>
      <c r="H49" s="22"/>
      <c r="I49" s="22"/>
    </row>
    <row r="50" spans="1:9" s="82" customFormat="1" ht="15">
      <c r="A50" s="99" t="s">
        <v>464</v>
      </c>
      <c r="B50" s="46"/>
      <c r="C50" s="55" t="s">
        <v>423</v>
      </c>
      <c r="D50" s="55" t="s">
        <v>224</v>
      </c>
      <c r="E50" s="55" t="s">
        <v>466</v>
      </c>
      <c r="F50" s="142" t="s">
        <v>110</v>
      </c>
      <c r="G50" s="178">
        <v>157</v>
      </c>
      <c r="H50" s="22"/>
      <c r="I50" s="22"/>
    </row>
    <row r="51" spans="1:9" s="82" customFormat="1" ht="28.5">
      <c r="A51" s="100" t="s">
        <v>467</v>
      </c>
      <c r="B51" s="46"/>
      <c r="C51" s="55" t="s">
        <v>423</v>
      </c>
      <c r="D51" s="55" t="s">
        <v>224</v>
      </c>
      <c r="E51" s="55" t="s">
        <v>468</v>
      </c>
      <c r="F51" s="144"/>
      <c r="G51" s="177">
        <f>SUM(G52:G53)</f>
        <v>405.70000000000005</v>
      </c>
      <c r="H51" s="22"/>
      <c r="I51" s="22"/>
    </row>
    <row r="52" spans="1:9" s="82" customFormat="1" ht="15">
      <c r="A52" s="99" t="s">
        <v>464</v>
      </c>
      <c r="B52" s="46"/>
      <c r="C52" s="55" t="s">
        <v>423</v>
      </c>
      <c r="D52" s="55" t="s">
        <v>224</v>
      </c>
      <c r="E52" s="55" t="s">
        <v>468</v>
      </c>
      <c r="F52" s="144" t="s">
        <v>110</v>
      </c>
      <c r="G52" s="177">
        <v>399.1</v>
      </c>
      <c r="H52" s="22"/>
      <c r="I52" s="22"/>
    </row>
    <row r="53" spans="1:9" s="82" customFormat="1" ht="15">
      <c r="A53" s="99" t="s">
        <v>465</v>
      </c>
      <c r="B53" s="46"/>
      <c r="C53" s="55" t="s">
        <v>423</v>
      </c>
      <c r="D53" s="55" t="s">
        <v>224</v>
      </c>
      <c r="E53" s="55" t="s">
        <v>468</v>
      </c>
      <c r="F53" s="144" t="s">
        <v>165</v>
      </c>
      <c r="G53" s="177">
        <v>6.6</v>
      </c>
      <c r="H53" s="22"/>
      <c r="I53" s="22"/>
    </row>
    <row r="54" spans="1:9" ht="15.75">
      <c r="A54" s="102" t="s">
        <v>188</v>
      </c>
      <c r="B54" s="145" t="s">
        <v>189</v>
      </c>
      <c r="C54" s="133"/>
      <c r="D54" s="133"/>
      <c r="E54" s="133"/>
      <c r="F54" s="196"/>
      <c r="G54" s="184">
        <f>SUM(G55+G98+G130+G163+G246+G256+G261)</f>
        <v>415864.79999999993</v>
      </c>
      <c r="H54" s="65" t="e">
        <f>SUM(H55+H100+#REF!+#REF!+#REF!+#REF!+#REF!+#REF!+#REF!)</f>
        <v>#REF!</v>
      </c>
      <c r="I54" s="65" t="e">
        <f>SUM(H54/G54*100)</f>
        <v>#REF!</v>
      </c>
    </row>
    <row r="55" spans="1:9" ht="15">
      <c r="A55" s="99" t="s">
        <v>422</v>
      </c>
      <c r="B55" s="46"/>
      <c r="C55" s="55" t="s">
        <v>423</v>
      </c>
      <c r="D55" s="55"/>
      <c r="E55" s="55"/>
      <c r="F55" s="142"/>
      <c r="G55" s="177">
        <f>SUM(G56+G78+G75)</f>
        <v>138794.4</v>
      </c>
      <c r="H55" s="22" t="e">
        <f>SUM(H56+H76+#REF!+H74+#REF!)</f>
        <v>#REF!</v>
      </c>
      <c r="I55" s="22" t="e">
        <f>SUM(H55/G55*100)</f>
        <v>#REF!</v>
      </c>
    </row>
    <row r="56" spans="1:9" ht="28.5">
      <c r="A56" s="99" t="s">
        <v>244</v>
      </c>
      <c r="B56" s="46"/>
      <c r="C56" s="55" t="s">
        <v>423</v>
      </c>
      <c r="D56" s="55" t="s">
        <v>112</v>
      </c>
      <c r="E56" s="55"/>
      <c r="F56" s="142"/>
      <c r="G56" s="177">
        <f>SUM(G57)</f>
        <v>96768.9</v>
      </c>
      <c r="H56" s="22" t="e">
        <f>SUM(H57)+#REF!+H69</f>
        <v>#REF!</v>
      </c>
      <c r="I56" s="22" t="e">
        <f>SUM(H56/G56*100)</f>
        <v>#REF!</v>
      </c>
    </row>
    <row r="57" spans="1:9" ht="28.5">
      <c r="A57" s="99" t="s">
        <v>89</v>
      </c>
      <c r="B57" s="46"/>
      <c r="C57" s="55" t="s">
        <v>423</v>
      </c>
      <c r="D57" s="55" t="s">
        <v>112</v>
      </c>
      <c r="E57" s="55" t="s">
        <v>90</v>
      </c>
      <c r="F57" s="143"/>
      <c r="G57" s="177">
        <f>SUM(G58+G73+G61+G64+G67+G70)</f>
        <v>96768.9</v>
      </c>
      <c r="H57" s="22" t="e">
        <f>SUM(H58+H68)</f>
        <v>#REF!</v>
      </c>
      <c r="I57" s="22" t="e">
        <f>SUM(H57/G57*100)</f>
        <v>#REF!</v>
      </c>
    </row>
    <row r="58" spans="1:9" ht="15">
      <c r="A58" s="99" t="s">
        <v>97</v>
      </c>
      <c r="B58" s="46"/>
      <c r="C58" s="55" t="s">
        <v>423</v>
      </c>
      <c r="D58" s="55" t="s">
        <v>112</v>
      </c>
      <c r="E58" s="55" t="s">
        <v>99</v>
      </c>
      <c r="F58" s="143"/>
      <c r="G58" s="177">
        <f>SUM(G59+G60)</f>
        <v>93505</v>
      </c>
      <c r="H58" s="22" t="e">
        <f>SUM(H59:H59+H60+H61+H63)+#REF!+H64</f>
        <v>#REF!</v>
      </c>
      <c r="I58" s="22" t="e">
        <f>SUM(H58/G58*100)</f>
        <v>#REF!</v>
      </c>
    </row>
    <row r="59" spans="1:9" ht="28.5">
      <c r="A59" s="99" t="s">
        <v>459</v>
      </c>
      <c r="B59" s="46"/>
      <c r="C59" s="55" t="s">
        <v>423</v>
      </c>
      <c r="D59" s="55" t="s">
        <v>112</v>
      </c>
      <c r="E59" s="55" t="s">
        <v>99</v>
      </c>
      <c r="F59" s="142" t="s">
        <v>460</v>
      </c>
      <c r="G59" s="177">
        <v>93407.5</v>
      </c>
      <c r="H59" s="22">
        <v>50612.1</v>
      </c>
      <c r="I59" s="22" t="e">
        <f>SUM(H59/#REF!*100)</f>
        <v>#REF!</v>
      </c>
    </row>
    <row r="60" spans="1:9" ht="15">
      <c r="A60" s="99" t="s">
        <v>464</v>
      </c>
      <c r="B60" s="46"/>
      <c r="C60" s="55" t="s">
        <v>423</v>
      </c>
      <c r="D60" s="55" t="s">
        <v>112</v>
      </c>
      <c r="E60" s="55" t="s">
        <v>99</v>
      </c>
      <c r="F60" s="142" t="s">
        <v>110</v>
      </c>
      <c r="G60" s="178">
        <v>97.5</v>
      </c>
      <c r="H60" s="22">
        <v>507.8</v>
      </c>
      <c r="I60" s="22">
        <f>SUM(H60/G61*100)</f>
        <v>36.46940534329216</v>
      </c>
    </row>
    <row r="61" spans="1:9" ht="28.5">
      <c r="A61" s="99" t="s">
        <v>116</v>
      </c>
      <c r="B61" s="46"/>
      <c r="C61" s="55" t="s">
        <v>423</v>
      </c>
      <c r="D61" s="55" t="s">
        <v>112</v>
      </c>
      <c r="E61" s="55" t="s">
        <v>117</v>
      </c>
      <c r="F61" s="142"/>
      <c r="G61" s="177">
        <f>SUM(G62:G63)</f>
        <v>1392.3999999999999</v>
      </c>
      <c r="H61" s="22">
        <v>41.9</v>
      </c>
      <c r="I61" s="22">
        <f>SUM(H61/G64*100)</f>
        <v>44.669509594882726</v>
      </c>
    </row>
    <row r="62" spans="1:9" ht="28.5">
      <c r="A62" s="99" t="s">
        <v>459</v>
      </c>
      <c r="B62" s="46"/>
      <c r="C62" s="55" t="s">
        <v>423</v>
      </c>
      <c r="D62" s="55" t="s">
        <v>112</v>
      </c>
      <c r="E62" s="55" t="s">
        <v>117</v>
      </c>
      <c r="F62" s="142" t="s">
        <v>460</v>
      </c>
      <c r="G62" s="177">
        <v>1368.8</v>
      </c>
      <c r="H62" s="22"/>
      <c r="I62" s="22"/>
    </row>
    <row r="63" spans="1:9" ht="15">
      <c r="A63" s="99" t="s">
        <v>464</v>
      </c>
      <c r="B63" s="46"/>
      <c r="C63" s="55" t="s">
        <v>423</v>
      </c>
      <c r="D63" s="55" t="s">
        <v>112</v>
      </c>
      <c r="E63" s="55" t="s">
        <v>117</v>
      </c>
      <c r="F63" s="142" t="s">
        <v>110</v>
      </c>
      <c r="G63" s="178">
        <v>23.6</v>
      </c>
      <c r="H63" s="22"/>
      <c r="I63" s="22">
        <f>SUM(H63/G66*100)</f>
        <v>0</v>
      </c>
    </row>
    <row r="64" spans="1:9" s="76" customFormat="1" ht="42.75">
      <c r="A64" s="99" t="s">
        <v>347</v>
      </c>
      <c r="B64" s="46"/>
      <c r="C64" s="55" t="s">
        <v>423</v>
      </c>
      <c r="D64" s="55" t="s">
        <v>112</v>
      </c>
      <c r="E64" s="55" t="s">
        <v>348</v>
      </c>
      <c r="F64" s="142"/>
      <c r="G64" s="177">
        <f>SUM(G65:G66)</f>
        <v>93.8</v>
      </c>
      <c r="H64" s="22"/>
      <c r="I64" s="22">
        <f>SUM(H64/G69*100)</f>
        <v>0</v>
      </c>
    </row>
    <row r="65" spans="1:9" s="76" customFormat="1" ht="28.5">
      <c r="A65" s="99" t="s">
        <v>459</v>
      </c>
      <c r="B65" s="46"/>
      <c r="C65" s="55" t="s">
        <v>423</v>
      </c>
      <c r="D65" s="55" t="s">
        <v>112</v>
      </c>
      <c r="E65" s="55" t="s">
        <v>348</v>
      </c>
      <c r="F65" s="142" t="s">
        <v>460</v>
      </c>
      <c r="G65" s="177">
        <v>72.3</v>
      </c>
      <c r="H65" s="22"/>
      <c r="I65" s="22"/>
    </row>
    <row r="66" spans="1:9" s="76" customFormat="1" ht="15">
      <c r="A66" s="99" t="s">
        <v>464</v>
      </c>
      <c r="B66" s="46"/>
      <c r="C66" s="55" t="s">
        <v>423</v>
      </c>
      <c r="D66" s="55" t="s">
        <v>112</v>
      </c>
      <c r="E66" s="55" t="s">
        <v>348</v>
      </c>
      <c r="F66" s="142" t="s">
        <v>110</v>
      </c>
      <c r="G66" s="178">
        <v>21.5</v>
      </c>
      <c r="H66" s="22"/>
      <c r="I66" s="22"/>
    </row>
    <row r="67" spans="1:9" s="76" customFormat="1" ht="28.5">
      <c r="A67" s="103" t="s">
        <v>51</v>
      </c>
      <c r="B67" s="54"/>
      <c r="C67" s="128" t="s">
        <v>423</v>
      </c>
      <c r="D67" s="128" t="s">
        <v>112</v>
      </c>
      <c r="E67" s="128" t="s">
        <v>52</v>
      </c>
      <c r="F67" s="143"/>
      <c r="G67" s="177">
        <f>SUM(G68:G69)</f>
        <v>179.6</v>
      </c>
      <c r="H67" s="22"/>
      <c r="I67" s="22"/>
    </row>
    <row r="68" spans="1:9" s="82" customFormat="1" ht="28.5">
      <c r="A68" s="99" t="s">
        <v>459</v>
      </c>
      <c r="B68" s="46"/>
      <c r="C68" s="55" t="s">
        <v>423</v>
      </c>
      <c r="D68" s="55" t="s">
        <v>112</v>
      </c>
      <c r="E68" s="128" t="s">
        <v>52</v>
      </c>
      <c r="F68" s="142" t="s">
        <v>460</v>
      </c>
      <c r="G68" s="177">
        <v>140</v>
      </c>
      <c r="H68" s="22" t="e">
        <f>SUM(#REF!)</f>
        <v>#REF!</v>
      </c>
      <c r="I68" s="22" t="e">
        <f>SUM(H68/G73*100)</f>
        <v>#REF!</v>
      </c>
    </row>
    <row r="69" spans="1:9" s="82" customFormat="1" ht="15">
      <c r="A69" s="99" t="s">
        <v>464</v>
      </c>
      <c r="B69" s="46"/>
      <c r="C69" s="55" t="s">
        <v>423</v>
      </c>
      <c r="D69" s="55" t="s">
        <v>112</v>
      </c>
      <c r="E69" s="128" t="s">
        <v>52</v>
      </c>
      <c r="F69" s="142" t="s">
        <v>110</v>
      </c>
      <c r="G69" s="178">
        <v>39.6</v>
      </c>
      <c r="H69" s="22" t="e">
        <f>SUM(#REF!)</f>
        <v>#REF!</v>
      </c>
      <c r="I69" s="22" t="e">
        <f>SUM(H69/#REF!*100)</f>
        <v>#REF!</v>
      </c>
    </row>
    <row r="70" spans="1:9" s="82" customFormat="1" ht="28.5">
      <c r="A70" s="103" t="s">
        <v>138</v>
      </c>
      <c r="B70" s="54"/>
      <c r="C70" s="128" t="s">
        <v>423</v>
      </c>
      <c r="D70" s="128" t="s">
        <v>112</v>
      </c>
      <c r="E70" s="128" t="s">
        <v>139</v>
      </c>
      <c r="F70" s="143"/>
      <c r="G70" s="177">
        <f>SUM(G71:G72)</f>
        <v>357.70000000000005</v>
      </c>
      <c r="H70" s="22"/>
      <c r="I70" s="22"/>
    </row>
    <row r="71" spans="1:9" s="82" customFormat="1" ht="28.5">
      <c r="A71" s="99" t="s">
        <v>459</v>
      </c>
      <c r="B71" s="46"/>
      <c r="C71" s="55" t="s">
        <v>423</v>
      </c>
      <c r="D71" s="55" t="s">
        <v>112</v>
      </c>
      <c r="E71" s="128" t="s">
        <v>139</v>
      </c>
      <c r="F71" s="142" t="s">
        <v>460</v>
      </c>
      <c r="G71" s="177">
        <v>288.8</v>
      </c>
      <c r="H71" s="22"/>
      <c r="I71" s="22"/>
    </row>
    <row r="72" spans="1:9" s="82" customFormat="1" ht="15">
      <c r="A72" s="99" t="s">
        <v>464</v>
      </c>
      <c r="B72" s="46"/>
      <c r="C72" s="55" t="s">
        <v>423</v>
      </c>
      <c r="D72" s="55" t="s">
        <v>112</v>
      </c>
      <c r="E72" s="128" t="s">
        <v>139</v>
      </c>
      <c r="F72" s="142" t="s">
        <v>110</v>
      </c>
      <c r="G72" s="178">
        <v>68.9</v>
      </c>
      <c r="H72" s="22"/>
      <c r="I72" s="22"/>
    </row>
    <row r="73" spans="1:9" s="82" customFormat="1" ht="28.5">
      <c r="A73" s="99" t="s">
        <v>349</v>
      </c>
      <c r="B73" s="46"/>
      <c r="C73" s="55" t="s">
        <v>98</v>
      </c>
      <c r="D73" s="55" t="s">
        <v>112</v>
      </c>
      <c r="E73" s="55" t="s">
        <v>350</v>
      </c>
      <c r="F73" s="143"/>
      <c r="G73" s="177">
        <f>SUM(G74)</f>
        <v>1240.4</v>
      </c>
      <c r="H73" s="22">
        <v>155.9</v>
      </c>
      <c r="I73" s="22" t="e">
        <f>SUM(H73/#REF!*100)</f>
        <v>#REF!</v>
      </c>
    </row>
    <row r="74" spans="1:9" s="82" customFormat="1" ht="28.5">
      <c r="A74" s="99" t="s">
        <v>459</v>
      </c>
      <c r="B74" s="46"/>
      <c r="C74" s="55" t="s">
        <v>423</v>
      </c>
      <c r="D74" s="55" t="s">
        <v>112</v>
      </c>
      <c r="E74" s="55" t="s">
        <v>350</v>
      </c>
      <c r="F74" s="142" t="s">
        <v>460</v>
      </c>
      <c r="G74" s="177">
        <v>1240.4</v>
      </c>
      <c r="H74" s="22" t="e">
        <f>SUM(#REF!)</f>
        <v>#REF!</v>
      </c>
      <c r="I74" s="22" t="e">
        <f>SUM(H74/G75*100)</f>
        <v>#REF!</v>
      </c>
    </row>
    <row r="75" spans="1:9" ht="15" hidden="1">
      <c r="A75" s="99" t="s">
        <v>120</v>
      </c>
      <c r="B75" s="46"/>
      <c r="C75" s="55" t="s">
        <v>423</v>
      </c>
      <c r="D75" s="55" t="s">
        <v>121</v>
      </c>
      <c r="E75" s="55"/>
      <c r="F75" s="143"/>
      <c r="G75" s="177">
        <f>SUM(G76)</f>
        <v>0</v>
      </c>
      <c r="H75" s="22"/>
      <c r="I75" s="22" t="e">
        <f>SUM(H75/#REF!*100)</f>
        <v>#REF!</v>
      </c>
    </row>
    <row r="76" spans="1:9" ht="28.5" hidden="1">
      <c r="A76" s="100" t="s">
        <v>238</v>
      </c>
      <c r="B76" s="46"/>
      <c r="C76" s="55" t="s">
        <v>423</v>
      </c>
      <c r="D76" s="55" t="s">
        <v>121</v>
      </c>
      <c r="E76" s="55" t="s">
        <v>353</v>
      </c>
      <c r="F76" s="143"/>
      <c r="G76" s="177">
        <f>SUM(G77)</f>
        <v>0</v>
      </c>
      <c r="H76" s="22" t="e">
        <f>SUM(H77)</f>
        <v>#REF!</v>
      </c>
      <c r="I76" s="22" t="e">
        <f>SUM(H76/#REF!*100)</f>
        <v>#REF!</v>
      </c>
    </row>
    <row r="77" spans="1:9" ht="15" hidden="1">
      <c r="A77" s="99" t="s">
        <v>93</v>
      </c>
      <c r="B77" s="46"/>
      <c r="C77" s="55" t="s">
        <v>423</v>
      </c>
      <c r="D77" s="55" t="s">
        <v>121</v>
      </c>
      <c r="E77" s="55" t="s">
        <v>353</v>
      </c>
      <c r="F77" s="142" t="s">
        <v>94</v>
      </c>
      <c r="G77" s="177"/>
      <c r="H77" s="22" t="e">
        <f>SUM(#REF!+#REF!)</f>
        <v>#REF!</v>
      </c>
      <c r="I77" s="22" t="e">
        <f>SUM(H77/#REF!*100)</f>
        <v>#REF!</v>
      </c>
    </row>
    <row r="78" spans="1:9" ht="15">
      <c r="A78" s="99" t="s">
        <v>102</v>
      </c>
      <c r="B78" s="46"/>
      <c r="C78" s="55" t="s">
        <v>423</v>
      </c>
      <c r="D78" s="55" t="s">
        <v>224</v>
      </c>
      <c r="E78" s="55"/>
      <c r="F78" s="143"/>
      <c r="G78" s="177">
        <f>SUM(G79+G90)</f>
        <v>42025.5</v>
      </c>
      <c r="H78" s="22">
        <f>SUM(H79)</f>
        <v>836.4</v>
      </c>
      <c r="I78" s="22">
        <f>SUM(H78/G82*100)</f>
        <v>1127.2237196765498</v>
      </c>
    </row>
    <row r="79" spans="1:9" ht="28.5">
      <c r="A79" s="103" t="s">
        <v>461</v>
      </c>
      <c r="B79" s="197"/>
      <c r="C79" s="129" t="s">
        <v>423</v>
      </c>
      <c r="D79" s="129" t="s">
        <v>224</v>
      </c>
      <c r="E79" s="129" t="s">
        <v>462</v>
      </c>
      <c r="F79" s="198"/>
      <c r="G79" s="175">
        <f>G80+G83+G85+G87</f>
        <v>39559.1</v>
      </c>
      <c r="H79" s="22">
        <f>SUM(H80)</f>
        <v>836.4</v>
      </c>
      <c r="I79" s="22" t="e">
        <f>SUM(H79/#REF!*100)</f>
        <v>#REF!</v>
      </c>
    </row>
    <row r="80" spans="1:9" ht="15">
      <c r="A80" s="103" t="s">
        <v>450</v>
      </c>
      <c r="B80" s="199"/>
      <c r="C80" s="129" t="s">
        <v>423</v>
      </c>
      <c r="D80" s="129" t="s">
        <v>224</v>
      </c>
      <c r="E80" s="129" t="s">
        <v>463</v>
      </c>
      <c r="F80" s="147"/>
      <c r="G80" s="175">
        <f>G81+G82</f>
        <v>3601.3999999999996</v>
      </c>
      <c r="H80" s="22">
        <v>836.4</v>
      </c>
      <c r="I80" s="22" t="e">
        <f>SUM(H80/#REF!*100)</f>
        <v>#REF!</v>
      </c>
    </row>
    <row r="81" spans="1:9" ht="15">
      <c r="A81" s="103" t="s">
        <v>464</v>
      </c>
      <c r="B81" s="199"/>
      <c r="C81" s="129" t="s">
        <v>423</v>
      </c>
      <c r="D81" s="129" t="s">
        <v>224</v>
      </c>
      <c r="E81" s="129" t="s">
        <v>463</v>
      </c>
      <c r="F81" s="147" t="s">
        <v>110</v>
      </c>
      <c r="G81" s="175">
        <v>3527.2</v>
      </c>
      <c r="H81" s="22" t="e">
        <f>SUM(#REF!)</f>
        <v>#REF!</v>
      </c>
      <c r="I81" s="22" t="e">
        <f>SUM(H81/G83*100)</f>
        <v>#REF!</v>
      </c>
    </row>
    <row r="82" spans="1:9" ht="15">
      <c r="A82" s="103" t="s">
        <v>465</v>
      </c>
      <c r="B82" s="199"/>
      <c r="C82" s="129" t="s">
        <v>423</v>
      </c>
      <c r="D82" s="129" t="s">
        <v>224</v>
      </c>
      <c r="E82" s="129" t="s">
        <v>463</v>
      </c>
      <c r="F82" s="147" t="s">
        <v>165</v>
      </c>
      <c r="G82" s="175">
        <v>74.2</v>
      </c>
      <c r="H82" s="22" t="e">
        <f>SUM(#REF!)</f>
        <v>#REF!</v>
      </c>
      <c r="I82" s="22" t="e">
        <f>SUM(H82/#REF!*100)</f>
        <v>#REF!</v>
      </c>
    </row>
    <row r="83" spans="1:9" ht="28.5">
      <c r="A83" s="103" t="s">
        <v>451</v>
      </c>
      <c r="B83" s="199"/>
      <c r="C83" s="129" t="s">
        <v>423</v>
      </c>
      <c r="D83" s="129" t="s">
        <v>224</v>
      </c>
      <c r="E83" s="129" t="s">
        <v>466</v>
      </c>
      <c r="F83" s="147"/>
      <c r="G83" s="175">
        <f>SUM(G84)</f>
        <v>8538.3</v>
      </c>
      <c r="H83" s="22"/>
      <c r="I83" s="22"/>
    </row>
    <row r="84" spans="1:9" ht="15">
      <c r="A84" s="103" t="s">
        <v>464</v>
      </c>
      <c r="B84" s="199"/>
      <c r="C84" s="129" t="s">
        <v>423</v>
      </c>
      <c r="D84" s="129" t="s">
        <v>224</v>
      </c>
      <c r="E84" s="129" t="s">
        <v>466</v>
      </c>
      <c r="F84" s="147" t="s">
        <v>110</v>
      </c>
      <c r="G84" s="175">
        <v>8538.3</v>
      </c>
      <c r="H84" s="22"/>
      <c r="I84" s="22"/>
    </row>
    <row r="85" spans="1:9" ht="28.5">
      <c r="A85" s="103" t="s">
        <v>486</v>
      </c>
      <c r="B85" s="199"/>
      <c r="C85" s="129" t="s">
        <v>423</v>
      </c>
      <c r="D85" s="129" t="s">
        <v>224</v>
      </c>
      <c r="E85" s="129" t="s">
        <v>487</v>
      </c>
      <c r="F85" s="147"/>
      <c r="G85" s="175">
        <f>SUM(G86)</f>
        <v>15862</v>
      </c>
      <c r="H85" s="22" t="e">
        <f>SUM(H86)</f>
        <v>#REF!</v>
      </c>
      <c r="I85" s="22" t="e">
        <f>SUM(H85/G88*100)</f>
        <v>#REF!</v>
      </c>
    </row>
    <row r="86" spans="1:9" ht="15">
      <c r="A86" s="103" t="s">
        <v>464</v>
      </c>
      <c r="B86" s="199"/>
      <c r="C86" s="129" t="s">
        <v>423</v>
      </c>
      <c r="D86" s="129" t="s">
        <v>224</v>
      </c>
      <c r="E86" s="129" t="s">
        <v>487</v>
      </c>
      <c r="F86" s="147" t="s">
        <v>110</v>
      </c>
      <c r="G86" s="175">
        <f>15612+250</f>
        <v>15862</v>
      </c>
      <c r="H86" s="22" t="e">
        <f>SUM(#REF!)</f>
        <v>#REF!</v>
      </c>
      <c r="I86" s="22" t="e">
        <f>SUM(H86/#REF!*100)</f>
        <v>#REF!</v>
      </c>
    </row>
    <row r="87" spans="1:9" ht="28.5">
      <c r="A87" s="103" t="s">
        <v>467</v>
      </c>
      <c r="B87" s="199"/>
      <c r="C87" s="129" t="s">
        <v>423</v>
      </c>
      <c r="D87" s="129" t="s">
        <v>224</v>
      </c>
      <c r="E87" s="129" t="s">
        <v>468</v>
      </c>
      <c r="F87" s="147"/>
      <c r="G87" s="175">
        <f>G88+G89</f>
        <v>11557.4</v>
      </c>
      <c r="H87" s="22" t="e">
        <f>SUM(#REF!)</f>
        <v>#REF!</v>
      </c>
      <c r="I87" s="22" t="e">
        <f>SUM(H87/#REF!*100)</f>
        <v>#REF!</v>
      </c>
    </row>
    <row r="88" spans="1:9" ht="15">
      <c r="A88" s="103" t="s">
        <v>464</v>
      </c>
      <c r="B88" s="199"/>
      <c r="C88" s="129" t="s">
        <v>423</v>
      </c>
      <c r="D88" s="129" t="s">
        <v>224</v>
      </c>
      <c r="E88" s="129" t="s">
        <v>468</v>
      </c>
      <c r="F88" s="147" t="s">
        <v>110</v>
      </c>
      <c r="G88" s="175">
        <v>8947.8</v>
      </c>
      <c r="H88" s="22" t="e">
        <f>SUM(#REF!)</f>
        <v>#REF!</v>
      </c>
      <c r="I88" s="22" t="e">
        <f>SUM(H88/#REF!*100)</f>
        <v>#REF!</v>
      </c>
    </row>
    <row r="89" spans="1:9" ht="15">
      <c r="A89" s="103" t="s">
        <v>465</v>
      </c>
      <c r="B89" s="199"/>
      <c r="C89" s="129" t="s">
        <v>423</v>
      </c>
      <c r="D89" s="129" t="s">
        <v>224</v>
      </c>
      <c r="E89" s="129" t="s">
        <v>468</v>
      </c>
      <c r="F89" s="147" t="s">
        <v>165</v>
      </c>
      <c r="G89" s="175">
        <v>2609.6</v>
      </c>
      <c r="H89" s="22">
        <v>1317.4</v>
      </c>
      <c r="I89" s="22" t="e">
        <f>SUM(H89/#REF!*100)</f>
        <v>#REF!</v>
      </c>
    </row>
    <row r="90" spans="1:9" ht="28.5">
      <c r="A90" s="103" t="s">
        <v>574</v>
      </c>
      <c r="B90" s="199"/>
      <c r="C90" s="129" t="s">
        <v>423</v>
      </c>
      <c r="D90" s="129" t="s">
        <v>224</v>
      </c>
      <c r="E90" s="129" t="s">
        <v>126</v>
      </c>
      <c r="F90" s="147"/>
      <c r="G90" s="175">
        <f>G91</f>
        <v>2466.4</v>
      </c>
      <c r="H90" s="22"/>
      <c r="I90" s="22"/>
    </row>
    <row r="91" spans="1:9" ht="15">
      <c r="A91" s="103" t="s">
        <v>46</v>
      </c>
      <c r="B91" s="199"/>
      <c r="C91" s="129" t="s">
        <v>423</v>
      </c>
      <c r="D91" s="129" t="s">
        <v>224</v>
      </c>
      <c r="E91" s="129" t="s">
        <v>192</v>
      </c>
      <c r="F91" s="147"/>
      <c r="G91" s="175">
        <f>G92+G94</f>
        <v>2466.4</v>
      </c>
      <c r="H91" s="22"/>
      <c r="I91" s="22"/>
    </row>
    <row r="92" spans="1:9" ht="28.5">
      <c r="A92" s="103" t="s">
        <v>488</v>
      </c>
      <c r="B92" s="199"/>
      <c r="C92" s="129" t="s">
        <v>423</v>
      </c>
      <c r="D92" s="129" t="s">
        <v>224</v>
      </c>
      <c r="E92" s="129" t="s">
        <v>194</v>
      </c>
      <c r="F92" s="147"/>
      <c r="G92" s="175">
        <f>SUM(G93)</f>
        <v>2380.8</v>
      </c>
      <c r="H92" s="22"/>
      <c r="I92" s="22"/>
    </row>
    <row r="93" spans="1:9" ht="28.5">
      <c r="A93" s="103" t="s">
        <v>489</v>
      </c>
      <c r="B93" s="199"/>
      <c r="C93" s="129" t="s">
        <v>423</v>
      </c>
      <c r="D93" s="129" t="s">
        <v>224</v>
      </c>
      <c r="E93" s="129" t="s">
        <v>194</v>
      </c>
      <c r="F93" s="147" t="s">
        <v>477</v>
      </c>
      <c r="G93" s="175">
        <v>2380.8</v>
      </c>
      <c r="H93" s="22"/>
      <c r="I93" s="22"/>
    </row>
    <row r="94" spans="1:9" ht="15">
      <c r="A94" s="99" t="s">
        <v>148</v>
      </c>
      <c r="B94" s="199"/>
      <c r="C94" s="129" t="s">
        <v>423</v>
      </c>
      <c r="D94" s="129" t="s">
        <v>224</v>
      </c>
      <c r="E94" s="129" t="s">
        <v>379</v>
      </c>
      <c r="F94" s="147"/>
      <c r="G94" s="175">
        <f>SUM(G95)</f>
        <v>85.6</v>
      </c>
      <c r="H94" s="22"/>
      <c r="I94" s="22"/>
    </row>
    <row r="95" spans="1:9" ht="28.5">
      <c r="A95" s="103" t="s">
        <v>134</v>
      </c>
      <c r="B95" s="199"/>
      <c r="C95" s="129" t="s">
        <v>423</v>
      </c>
      <c r="D95" s="129" t="s">
        <v>224</v>
      </c>
      <c r="E95" s="129" t="s">
        <v>380</v>
      </c>
      <c r="F95" s="147"/>
      <c r="G95" s="175">
        <f>SUM(G96)</f>
        <v>85.6</v>
      </c>
      <c r="H95" s="22"/>
      <c r="I95" s="22"/>
    </row>
    <row r="96" spans="1:9" ht="28.5">
      <c r="A96" s="103" t="s">
        <v>489</v>
      </c>
      <c r="B96" s="199"/>
      <c r="C96" s="129" t="s">
        <v>423</v>
      </c>
      <c r="D96" s="129" t="s">
        <v>224</v>
      </c>
      <c r="E96" s="129" t="s">
        <v>380</v>
      </c>
      <c r="F96" s="147" t="s">
        <v>477</v>
      </c>
      <c r="G96" s="175">
        <v>85.6</v>
      </c>
      <c r="H96" s="22">
        <f>SUM(H97)</f>
        <v>0</v>
      </c>
      <c r="I96" s="22">
        <f>SUM(H96/G102*100)</f>
        <v>0</v>
      </c>
    </row>
    <row r="97" spans="1:9" ht="28.5">
      <c r="A97" s="103" t="s">
        <v>134</v>
      </c>
      <c r="B97" s="199"/>
      <c r="C97" s="129" t="s">
        <v>423</v>
      </c>
      <c r="D97" s="129" t="s">
        <v>224</v>
      </c>
      <c r="E97" s="129" t="s">
        <v>380</v>
      </c>
      <c r="F97" s="147"/>
      <c r="G97" s="175">
        <f>G100</f>
        <v>4966.7</v>
      </c>
      <c r="H97" s="22">
        <f>SUM(H98:H99)</f>
        <v>0</v>
      </c>
      <c r="I97" s="22" t="e">
        <f>SUM(H97/#REF!*100)</f>
        <v>#REF!</v>
      </c>
    </row>
    <row r="98" spans="1:9" ht="15">
      <c r="A98" s="103" t="s">
        <v>129</v>
      </c>
      <c r="B98" s="199"/>
      <c r="C98" s="129" t="s">
        <v>96</v>
      </c>
      <c r="D98" s="129"/>
      <c r="E98" s="129"/>
      <c r="F98" s="147"/>
      <c r="G98" s="175">
        <f>SUM(G105)+G99</f>
        <v>21129.699999999997</v>
      </c>
      <c r="H98" s="22"/>
      <c r="I98" s="22" t="e">
        <f>SUM(H98/#REF!*100)</f>
        <v>#REF!</v>
      </c>
    </row>
    <row r="99" spans="1:9" ht="15">
      <c r="A99" s="200" t="s">
        <v>50</v>
      </c>
      <c r="B99" s="199"/>
      <c r="C99" s="129" t="s">
        <v>96</v>
      </c>
      <c r="D99" s="129" t="s">
        <v>112</v>
      </c>
      <c r="E99" s="129"/>
      <c r="F99" s="147"/>
      <c r="G99" s="175">
        <f>SUM(G101)</f>
        <v>4966.7</v>
      </c>
      <c r="H99" s="22"/>
      <c r="I99" s="22">
        <f>SUM(H99/G103*100)</f>
        <v>0</v>
      </c>
    </row>
    <row r="100" spans="1:9" ht="15">
      <c r="A100" s="103" t="s">
        <v>374</v>
      </c>
      <c r="B100" s="199"/>
      <c r="C100" s="129" t="s">
        <v>96</v>
      </c>
      <c r="D100" s="129" t="s">
        <v>112</v>
      </c>
      <c r="E100" s="129" t="s">
        <v>375</v>
      </c>
      <c r="F100" s="147"/>
      <c r="G100" s="175">
        <f>SUM(G101)</f>
        <v>4966.7</v>
      </c>
      <c r="H100" s="22" t="e">
        <f>SUM(H103)+H102+#REF!</f>
        <v>#REF!</v>
      </c>
      <c r="I100" s="22" t="e">
        <f>SUM(H100/#REF!*100)</f>
        <v>#REF!</v>
      </c>
    </row>
    <row r="101" spans="1:9" s="76" customFormat="1" ht="28.5">
      <c r="A101" s="103" t="s">
        <v>591</v>
      </c>
      <c r="B101" s="199"/>
      <c r="C101" s="129" t="s">
        <v>96</v>
      </c>
      <c r="D101" s="129" t="s">
        <v>112</v>
      </c>
      <c r="E101" s="129" t="s">
        <v>493</v>
      </c>
      <c r="F101" s="147"/>
      <c r="G101" s="175">
        <f>G102+G103+G104</f>
        <v>4966.7</v>
      </c>
      <c r="H101" s="22" t="e">
        <f>SUM(#REF!)</f>
        <v>#REF!</v>
      </c>
      <c r="I101" s="22" t="e">
        <f>SUM(H101/#REF!*100)</f>
        <v>#REF!</v>
      </c>
    </row>
    <row r="102" spans="1:9" s="76" customFormat="1" ht="28.5">
      <c r="A102" s="103" t="s">
        <v>459</v>
      </c>
      <c r="B102" s="199"/>
      <c r="C102" s="129" t="s">
        <v>96</v>
      </c>
      <c r="D102" s="129" t="s">
        <v>112</v>
      </c>
      <c r="E102" s="129" t="s">
        <v>493</v>
      </c>
      <c r="F102" s="147" t="s">
        <v>460</v>
      </c>
      <c r="G102" s="175">
        <v>3843.6</v>
      </c>
      <c r="H102" s="22"/>
      <c r="I102" s="22"/>
    </row>
    <row r="103" spans="1:9" ht="15">
      <c r="A103" s="103" t="s">
        <v>464</v>
      </c>
      <c r="B103" s="199"/>
      <c r="C103" s="129" t="s">
        <v>96</v>
      </c>
      <c r="D103" s="129" t="s">
        <v>112</v>
      </c>
      <c r="E103" s="129" t="s">
        <v>493</v>
      </c>
      <c r="F103" s="147" t="s">
        <v>110</v>
      </c>
      <c r="G103" s="175">
        <v>1025.1</v>
      </c>
      <c r="H103" s="22" t="e">
        <f>SUM(#REF!+H108+H111+H114)+#REF!</f>
        <v>#REF!</v>
      </c>
      <c r="I103" s="22" t="e">
        <f>SUM(H103/G105*100)</f>
        <v>#REF!</v>
      </c>
    </row>
    <row r="104" spans="1:9" ht="15">
      <c r="A104" s="103" t="s">
        <v>465</v>
      </c>
      <c r="B104" s="199"/>
      <c r="C104" s="129" t="s">
        <v>96</v>
      </c>
      <c r="D104" s="129" t="s">
        <v>112</v>
      </c>
      <c r="E104" s="129" t="s">
        <v>493</v>
      </c>
      <c r="F104" s="147" t="s">
        <v>165</v>
      </c>
      <c r="G104" s="175">
        <v>98</v>
      </c>
      <c r="H104" s="22"/>
      <c r="I104" s="22">
        <f>SUM(H104/G108*100)</f>
        <v>0</v>
      </c>
    </row>
    <row r="105" spans="1:9" ht="28.5">
      <c r="A105" s="105" t="s">
        <v>287</v>
      </c>
      <c r="B105" s="157"/>
      <c r="C105" s="132" t="s">
        <v>96</v>
      </c>
      <c r="D105" s="132" t="s">
        <v>288</v>
      </c>
      <c r="E105" s="132"/>
      <c r="F105" s="201"/>
      <c r="G105" s="180">
        <f>G115+G120+G106+G125</f>
        <v>16162.999999999998</v>
      </c>
      <c r="H105" s="22">
        <v>438.8</v>
      </c>
      <c r="I105" s="22" t="e">
        <f aca="true" t="shared" si="2" ref="I105:I110">SUM(H105/G111*100)</f>
        <v>#DIV/0!</v>
      </c>
    </row>
    <row r="106" spans="1:9" ht="28.5">
      <c r="A106" s="103" t="s">
        <v>575</v>
      </c>
      <c r="B106" s="199"/>
      <c r="C106" s="129" t="s">
        <v>96</v>
      </c>
      <c r="D106" s="129" t="s">
        <v>288</v>
      </c>
      <c r="E106" s="129" t="s">
        <v>494</v>
      </c>
      <c r="F106" s="147"/>
      <c r="G106" s="175">
        <f>SUM(G107)</f>
        <v>12112.999999999998</v>
      </c>
      <c r="H106" s="22">
        <f>SUM(H107)</f>
        <v>9825.3</v>
      </c>
      <c r="I106" s="22">
        <f t="shared" si="2"/>
        <v>459.27639882204454</v>
      </c>
    </row>
    <row r="107" spans="1:9" ht="28.5">
      <c r="A107" s="103" t="s">
        <v>47</v>
      </c>
      <c r="B107" s="199"/>
      <c r="C107" s="129" t="s">
        <v>96</v>
      </c>
      <c r="D107" s="129" t="s">
        <v>288</v>
      </c>
      <c r="E107" s="129" t="s">
        <v>495</v>
      </c>
      <c r="F107" s="147"/>
      <c r="G107" s="175">
        <f>G108+G112+G114</f>
        <v>12112.999999999998</v>
      </c>
      <c r="H107" s="22">
        <v>9825.3</v>
      </c>
      <c r="I107" s="22" t="e">
        <f t="shared" si="2"/>
        <v>#DIV/0!</v>
      </c>
    </row>
    <row r="108" spans="1:9" ht="28.5">
      <c r="A108" s="103" t="s">
        <v>459</v>
      </c>
      <c r="B108" s="199"/>
      <c r="C108" s="129" t="s">
        <v>96</v>
      </c>
      <c r="D108" s="129" t="s">
        <v>288</v>
      </c>
      <c r="E108" s="129" t="s">
        <v>495</v>
      </c>
      <c r="F108" s="147" t="s">
        <v>460</v>
      </c>
      <c r="G108" s="175">
        <v>9868.3</v>
      </c>
      <c r="H108" s="22">
        <f>SUM(H109)</f>
        <v>227.3</v>
      </c>
      <c r="I108" s="22">
        <f t="shared" si="2"/>
        <v>215.65464895635677</v>
      </c>
    </row>
    <row r="109" spans="1:9" ht="15" hidden="1">
      <c r="A109" s="103" t="s">
        <v>496</v>
      </c>
      <c r="B109" s="199"/>
      <c r="C109" s="129" t="s">
        <v>96</v>
      </c>
      <c r="D109" s="129" t="s">
        <v>288</v>
      </c>
      <c r="E109" s="129" t="s">
        <v>495</v>
      </c>
      <c r="F109" s="147" t="s">
        <v>497</v>
      </c>
      <c r="G109" s="175"/>
      <c r="H109" s="22">
        <f>SUM(H110)</f>
        <v>227.3</v>
      </c>
      <c r="I109" s="22">
        <f t="shared" si="2"/>
        <v>8.265454545454546</v>
      </c>
    </row>
    <row r="110" spans="1:9" ht="28.5" hidden="1">
      <c r="A110" s="103" t="s">
        <v>498</v>
      </c>
      <c r="B110" s="202"/>
      <c r="C110" s="129" t="s">
        <v>96</v>
      </c>
      <c r="D110" s="129" t="s">
        <v>288</v>
      </c>
      <c r="E110" s="129" t="s">
        <v>495</v>
      </c>
      <c r="F110" s="147" t="s">
        <v>499</v>
      </c>
      <c r="G110" s="175"/>
      <c r="H110" s="22">
        <v>227.3</v>
      </c>
      <c r="I110" s="22">
        <f t="shared" si="2"/>
        <v>30.306666666666672</v>
      </c>
    </row>
    <row r="111" spans="1:9" ht="28.5" hidden="1">
      <c r="A111" s="103" t="s">
        <v>500</v>
      </c>
      <c r="B111" s="202"/>
      <c r="C111" s="129" t="s">
        <v>96</v>
      </c>
      <c r="D111" s="129" t="s">
        <v>288</v>
      </c>
      <c r="E111" s="129" t="s">
        <v>495</v>
      </c>
      <c r="F111" s="147" t="s">
        <v>501</v>
      </c>
      <c r="G111" s="175"/>
      <c r="H111" s="22">
        <f>SUM(H112)</f>
        <v>5387.8</v>
      </c>
      <c r="I111" s="22" t="e">
        <f>SUM(H111/#REF!*100)</f>
        <v>#REF!</v>
      </c>
    </row>
    <row r="112" spans="1:9" ht="15.75">
      <c r="A112" s="103" t="s">
        <v>464</v>
      </c>
      <c r="B112" s="202"/>
      <c r="C112" s="129" t="s">
        <v>96</v>
      </c>
      <c r="D112" s="129" t="s">
        <v>288</v>
      </c>
      <c r="E112" s="129" t="s">
        <v>495</v>
      </c>
      <c r="F112" s="147" t="s">
        <v>110</v>
      </c>
      <c r="G112" s="175">
        <v>2139.3</v>
      </c>
      <c r="H112" s="22">
        <f>SUM(H113)</f>
        <v>5387.8</v>
      </c>
      <c r="I112" s="22" t="e">
        <f>SUM(H112/#REF!*100)</f>
        <v>#REF!</v>
      </c>
    </row>
    <row r="113" spans="1:9" ht="15.75" hidden="1">
      <c r="A113" s="103" t="s">
        <v>482</v>
      </c>
      <c r="B113" s="202"/>
      <c r="C113" s="129" t="s">
        <v>96</v>
      </c>
      <c r="D113" s="129" t="s">
        <v>288</v>
      </c>
      <c r="E113" s="129" t="s">
        <v>495</v>
      </c>
      <c r="F113" s="147" t="s">
        <v>483</v>
      </c>
      <c r="G113" s="175"/>
      <c r="H113" s="22">
        <v>5387.8</v>
      </c>
      <c r="I113" s="22" t="e">
        <f>SUM(H113/#REF!*100)</f>
        <v>#REF!</v>
      </c>
    </row>
    <row r="114" spans="1:9" ht="15">
      <c r="A114" s="45" t="s">
        <v>465</v>
      </c>
      <c r="B114" s="119"/>
      <c r="C114" s="119" t="s">
        <v>96</v>
      </c>
      <c r="D114" s="119" t="s">
        <v>288</v>
      </c>
      <c r="E114" s="119" t="s">
        <v>495</v>
      </c>
      <c r="F114" s="119" t="s">
        <v>165</v>
      </c>
      <c r="G114" s="222">
        <v>105.4</v>
      </c>
      <c r="H114" s="22">
        <f>SUM(H116)</f>
        <v>0</v>
      </c>
      <c r="I114" s="22">
        <f>SUM(H114/G118*100)</f>
        <v>0</v>
      </c>
    </row>
    <row r="115" spans="1:9" ht="28.5">
      <c r="A115" s="103" t="s">
        <v>576</v>
      </c>
      <c r="B115" s="199"/>
      <c r="C115" s="129" t="s">
        <v>96</v>
      </c>
      <c r="D115" s="129" t="s">
        <v>288</v>
      </c>
      <c r="E115" s="129" t="s">
        <v>502</v>
      </c>
      <c r="F115" s="147"/>
      <c r="G115" s="175">
        <f>SUM(G117+G119)</f>
        <v>2750</v>
      </c>
      <c r="H115" s="22">
        <f>SUM(H116)</f>
        <v>0</v>
      </c>
      <c r="I115" s="22">
        <f>SUM(H115/G119*100)</f>
        <v>0</v>
      </c>
    </row>
    <row r="116" spans="1:9" ht="28.5">
      <c r="A116" s="103" t="s">
        <v>577</v>
      </c>
      <c r="B116" s="199"/>
      <c r="C116" s="129" t="s">
        <v>96</v>
      </c>
      <c r="D116" s="129" t="s">
        <v>288</v>
      </c>
      <c r="E116" s="129" t="s">
        <v>503</v>
      </c>
      <c r="F116" s="147"/>
      <c r="G116" s="175">
        <f>SUM(G117)</f>
        <v>750</v>
      </c>
      <c r="H116" s="22"/>
      <c r="I116" s="22" t="e">
        <f>SUM(H116/G120*100)</f>
        <v>#DIV/0!</v>
      </c>
    </row>
    <row r="117" spans="1:9" ht="15">
      <c r="A117" s="103" t="s">
        <v>464</v>
      </c>
      <c r="B117" s="199"/>
      <c r="C117" s="129" t="s">
        <v>96</v>
      </c>
      <c r="D117" s="129" t="s">
        <v>288</v>
      </c>
      <c r="E117" s="129" t="s">
        <v>503</v>
      </c>
      <c r="F117" s="147" t="s">
        <v>110</v>
      </c>
      <c r="G117" s="175">
        <v>750</v>
      </c>
      <c r="H117" s="22"/>
      <c r="I117" s="22"/>
    </row>
    <row r="118" spans="1:9" ht="28.5">
      <c r="A118" s="103" t="s">
        <v>0</v>
      </c>
      <c r="B118" s="199"/>
      <c r="C118" s="129" t="s">
        <v>96</v>
      </c>
      <c r="D118" s="129" t="s">
        <v>288</v>
      </c>
      <c r="E118" s="129" t="s">
        <v>504</v>
      </c>
      <c r="F118" s="147"/>
      <c r="G118" s="175">
        <f>SUM(G119)</f>
        <v>2000</v>
      </c>
      <c r="H118" s="22"/>
      <c r="I118" s="22" t="e">
        <f>SUM(H118/G124*100)</f>
        <v>#DIV/0!</v>
      </c>
    </row>
    <row r="119" spans="1:9" s="76" customFormat="1" ht="15">
      <c r="A119" s="103" t="s">
        <v>465</v>
      </c>
      <c r="B119" s="199"/>
      <c r="C119" s="129" t="s">
        <v>96</v>
      </c>
      <c r="D119" s="129" t="s">
        <v>288</v>
      </c>
      <c r="E119" s="129" t="s">
        <v>504</v>
      </c>
      <c r="F119" s="147" t="s">
        <v>165</v>
      </c>
      <c r="G119" s="175">
        <v>2000</v>
      </c>
      <c r="H119" s="22" t="e">
        <f>SUM(H120+H123+H129+#REF!)</f>
        <v>#REF!</v>
      </c>
      <c r="I119" s="22" t="e">
        <f>SUM(H119/#REF!*100)</f>
        <v>#REF!</v>
      </c>
    </row>
    <row r="120" spans="1:9" ht="15" hidden="1">
      <c r="A120" s="103" t="s">
        <v>1</v>
      </c>
      <c r="B120" s="203"/>
      <c r="C120" s="204" t="s">
        <v>96</v>
      </c>
      <c r="D120" s="204" t="s">
        <v>288</v>
      </c>
      <c r="E120" s="204" t="s">
        <v>505</v>
      </c>
      <c r="F120" s="205"/>
      <c r="G120" s="175"/>
      <c r="H120" s="22"/>
      <c r="I120" s="22"/>
    </row>
    <row r="121" spans="1:9" ht="28.5" hidden="1">
      <c r="A121" s="103" t="s">
        <v>2</v>
      </c>
      <c r="B121" s="203"/>
      <c r="C121" s="206" t="s">
        <v>96</v>
      </c>
      <c r="D121" s="206" t="s">
        <v>288</v>
      </c>
      <c r="E121" s="206" t="s">
        <v>506</v>
      </c>
      <c r="F121" s="207"/>
      <c r="G121" s="175"/>
      <c r="H121" s="22"/>
      <c r="I121" s="22"/>
    </row>
    <row r="122" spans="1:9" ht="15" hidden="1">
      <c r="A122" s="103" t="s">
        <v>464</v>
      </c>
      <c r="B122" s="203"/>
      <c r="C122" s="206" t="s">
        <v>96</v>
      </c>
      <c r="D122" s="206" t="s">
        <v>288</v>
      </c>
      <c r="E122" s="206" t="s">
        <v>506</v>
      </c>
      <c r="F122" s="207" t="s">
        <v>110</v>
      </c>
      <c r="G122" s="175"/>
      <c r="H122" s="22"/>
      <c r="I122" s="22"/>
    </row>
    <row r="123" spans="1:9" ht="15" hidden="1">
      <c r="A123" s="103" t="s">
        <v>482</v>
      </c>
      <c r="B123" s="203"/>
      <c r="C123" s="206" t="s">
        <v>96</v>
      </c>
      <c r="D123" s="206" t="s">
        <v>288</v>
      </c>
      <c r="E123" s="206" t="s">
        <v>506</v>
      </c>
      <c r="F123" s="207" t="s">
        <v>483</v>
      </c>
      <c r="G123" s="175"/>
      <c r="H123" s="22"/>
      <c r="I123" s="22"/>
    </row>
    <row r="124" spans="1:9" ht="28.5" hidden="1">
      <c r="A124" s="103" t="s">
        <v>484</v>
      </c>
      <c r="B124" s="203"/>
      <c r="C124" s="206" t="s">
        <v>96</v>
      </c>
      <c r="D124" s="206" t="s">
        <v>288</v>
      </c>
      <c r="E124" s="206" t="s">
        <v>506</v>
      </c>
      <c r="F124" s="207" t="s">
        <v>485</v>
      </c>
      <c r="G124" s="175"/>
      <c r="H124" s="22"/>
      <c r="I124" s="22"/>
    </row>
    <row r="125" spans="1:9" ht="15">
      <c r="A125" s="106" t="s">
        <v>517</v>
      </c>
      <c r="B125" s="203"/>
      <c r="C125" s="120" t="s">
        <v>96</v>
      </c>
      <c r="D125" s="120" t="s">
        <v>288</v>
      </c>
      <c r="E125" s="128" t="s">
        <v>119</v>
      </c>
      <c r="F125" s="208"/>
      <c r="G125" s="181">
        <f>SUM(G126)</f>
        <v>1300</v>
      </c>
      <c r="H125" s="22"/>
      <c r="I125" s="22"/>
    </row>
    <row r="126" spans="1:9" ht="15">
      <c r="A126" s="103" t="s">
        <v>541</v>
      </c>
      <c r="B126" s="46"/>
      <c r="C126" s="120" t="s">
        <v>96</v>
      </c>
      <c r="D126" s="120" t="s">
        <v>288</v>
      </c>
      <c r="E126" s="128" t="s">
        <v>128</v>
      </c>
      <c r="F126" s="143"/>
      <c r="G126" s="177">
        <f>SUM(G127)</f>
        <v>1300</v>
      </c>
      <c r="H126" s="22"/>
      <c r="I126" s="22"/>
    </row>
    <row r="127" spans="1:9" ht="15">
      <c r="A127" s="103" t="s">
        <v>464</v>
      </c>
      <c r="B127" s="46"/>
      <c r="C127" s="120" t="s">
        <v>96</v>
      </c>
      <c r="D127" s="120" t="s">
        <v>288</v>
      </c>
      <c r="E127" s="128" t="s">
        <v>128</v>
      </c>
      <c r="F127" s="143" t="s">
        <v>110</v>
      </c>
      <c r="G127" s="177">
        <v>1300</v>
      </c>
      <c r="H127" s="22"/>
      <c r="I127" s="22"/>
    </row>
    <row r="128" spans="1:9" ht="28.5" hidden="1">
      <c r="A128" s="103" t="s">
        <v>198</v>
      </c>
      <c r="B128" s="46"/>
      <c r="C128" s="120" t="s">
        <v>96</v>
      </c>
      <c r="D128" s="120" t="s">
        <v>288</v>
      </c>
      <c r="E128" s="128" t="s">
        <v>140</v>
      </c>
      <c r="F128" s="143"/>
      <c r="G128" s="177">
        <f>SUM(G129)</f>
        <v>0</v>
      </c>
      <c r="H128" s="22"/>
      <c r="I128" s="22"/>
    </row>
    <row r="129" spans="1:9" ht="15" hidden="1">
      <c r="A129" s="99" t="s">
        <v>93</v>
      </c>
      <c r="B129" s="46"/>
      <c r="C129" s="120" t="s">
        <v>96</v>
      </c>
      <c r="D129" s="120" t="s">
        <v>288</v>
      </c>
      <c r="E129" s="128" t="s">
        <v>140</v>
      </c>
      <c r="F129" s="143" t="s">
        <v>94</v>
      </c>
      <c r="G129" s="177"/>
      <c r="H129" s="22"/>
      <c r="I129" s="22"/>
    </row>
    <row r="130" spans="1:9" s="76" customFormat="1" ht="15">
      <c r="A130" s="103" t="s">
        <v>111</v>
      </c>
      <c r="B130" s="199"/>
      <c r="C130" s="129" t="s">
        <v>112</v>
      </c>
      <c r="D130" s="129"/>
      <c r="E130" s="129"/>
      <c r="F130" s="147"/>
      <c r="G130" s="175">
        <f>G131+G149+G143</f>
        <v>136067.6</v>
      </c>
      <c r="H130" s="22">
        <f>SUM(H131+H132)</f>
        <v>30706.4</v>
      </c>
      <c r="I130" s="22" t="e">
        <f>SUM(H130/G136*100)</f>
        <v>#DIV/0!</v>
      </c>
    </row>
    <row r="131" spans="1:9" ht="15">
      <c r="A131" s="103" t="s">
        <v>113</v>
      </c>
      <c r="B131" s="199"/>
      <c r="C131" s="129" t="s">
        <v>112</v>
      </c>
      <c r="D131" s="129" t="s">
        <v>114</v>
      </c>
      <c r="E131" s="129"/>
      <c r="F131" s="147"/>
      <c r="G131" s="175">
        <f>G132</f>
        <v>51100</v>
      </c>
      <c r="H131" s="22">
        <v>30706.4</v>
      </c>
      <c r="I131" s="22">
        <f>SUM(H131/G137*100)</f>
        <v>97.23430800701716</v>
      </c>
    </row>
    <row r="132" spans="1:9" ht="15">
      <c r="A132" s="103" t="s">
        <v>507</v>
      </c>
      <c r="B132" s="199"/>
      <c r="C132" s="129" t="s">
        <v>112</v>
      </c>
      <c r="D132" s="129" t="s">
        <v>114</v>
      </c>
      <c r="E132" s="129" t="s">
        <v>508</v>
      </c>
      <c r="F132" s="147"/>
      <c r="G132" s="175">
        <f>G133+G137</f>
        <v>51100</v>
      </c>
      <c r="H132" s="22">
        <f>SUM(H133)</f>
        <v>0</v>
      </c>
      <c r="I132" s="22">
        <f>SUM(H132/G138*100)</f>
        <v>0</v>
      </c>
    </row>
    <row r="133" spans="1:9" ht="15">
      <c r="A133" s="103" t="s">
        <v>509</v>
      </c>
      <c r="B133" s="199"/>
      <c r="C133" s="129" t="s">
        <v>112</v>
      </c>
      <c r="D133" s="129" t="s">
        <v>114</v>
      </c>
      <c r="E133" s="129" t="s">
        <v>510</v>
      </c>
      <c r="F133" s="147"/>
      <c r="G133" s="175">
        <f>G134</f>
        <v>19520.2</v>
      </c>
      <c r="H133" s="22"/>
      <c r="I133" s="22">
        <f>SUM(H133/G139*100)</f>
        <v>0</v>
      </c>
    </row>
    <row r="134" spans="1:9" ht="15">
      <c r="A134" s="103" t="s">
        <v>6</v>
      </c>
      <c r="B134" s="199"/>
      <c r="C134" s="129" t="s">
        <v>112</v>
      </c>
      <c r="D134" s="129" t="s">
        <v>114</v>
      </c>
      <c r="E134" s="129" t="s">
        <v>511</v>
      </c>
      <c r="F134" s="147"/>
      <c r="G134" s="175">
        <f>SUM(G135)</f>
        <v>19520.2</v>
      </c>
      <c r="H134" s="22"/>
      <c r="I134" s="22"/>
    </row>
    <row r="135" spans="1:9" s="83" customFormat="1" ht="15">
      <c r="A135" s="103" t="s">
        <v>465</v>
      </c>
      <c r="B135" s="199"/>
      <c r="C135" s="129" t="s">
        <v>112</v>
      </c>
      <c r="D135" s="129" t="s">
        <v>114</v>
      </c>
      <c r="E135" s="129" t="s">
        <v>511</v>
      </c>
      <c r="F135" s="147" t="s">
        <v>165</v>
      </c>
      <c r="G135" s="175">
        <v>19520.2</v>
      </c>
      <c r="H135" s="66"/>
      <c r="I135" s="66"/>
    </row>
    <row r="136" spans="1:9" ht="28.5" hidden="1">
      <c r="A136" s="103" t="s">
        <v>512</v>
      </c>
      <c r="B136" s="199"/>
      <c r="C136" s="129" t="s">
        <v>112</v>
      </c>
      <c r="D136" s="129" t="s">
        <v>114</v>
      </c>
      <c r="E136" s="129" t="s">
        <v>511</v>
      </c>
      <c r="F136" s="147" t="s">
        <v>197</v>
      </c>
      <c r="G136" s="175"/>
      <c r="H136" s="22"/>
      <c r="I136" s="22"/>
    </row>
    <row r="137" spans="1:9" ht="15">
      <c r="A137" s="103" t="s">
        <v>115</v>
      </c>
      <c r="B137" s="199"/>
      <c r="C137" s="129" t="s">
        <v>112</v>
      </c>
      <c r="D137" s="129" t="s">
        <v>114</v>
      </c>
      <c r="E137" s="129" t="s">
        <v>381</v>
      </c>
      <c r="F137" s="147"/>
      <c r="G137" s="175">
        <f>G138</f>
        <v>31579.8</v>
      </c>
      <c r="H137" s="22"/>
      <c r="I137" s="22"/>
    </row>
    <row r="138" spans="1:9" ht="15">
      <c r="A138" s="103" t="s">
        <v>11</v>
      </c>
      <c r="B138" s="199"/>
      <c r="C138" s="129" t="s">
        <v>112</v>
      </c>
      <c r="D138" s="129" t="s">
        <v>114</v>
      </c>
      <c r="E138" s="129" t="s">
        <v>66</v>
      </c>
      <c r="F138" s="147"/>
      <c r="G138" s="175">
        <f>SUM(G139)</f>
        <v>31579.8</v>
      </c>
      <c r="H138" s="22"/>
      <c r="I138" s="22"/>
    </row>
    <row r="139" spans="1:9" ht="28.5">
      <c r="A139" s="103" t="s">
        <v>193</v>
      </c>
      <c r="B139" s="199"/>
      <c r="C139" s="129" t="s">
        <v>112</v>
      </c>
      <c r="D139" s="129" t="s">
        <v>114</v>
      </c>
      <c r="E139" s="129" t="s">
        <v>67</v>
      </c>
      <c r="F139" s="147"/>
      <c r="G139" s="175">
        <f>SUM(G140)</f>
        <v>31579.8</v>
      </c>
      <c r="H139" s="22"/>
      <c r="I139" s="22"/>
    </row>
    <row r="140" spans="1:9" ht="28.5">
      <c r="A140" s="103" t="s">
        <v>489</v>
      </c>
      <c r="B140" s="199"/>
      <c r="C140" s="129" t="s">
        <v>112</v>
      </c>
      <c r="D140" s="129" t="s">
        <v>114</v>
      </c>
      <c r="E140" s="129" t="s">
        <v>67</v>
      </c>
      <c r="F140" s="147" t="s">
        <v>477</v>
      </c>
      <c r="G140" s="175">
        <v>31579.8</v>
      </c>
      <c r="H140" s="22"/>
      <c r="I140" s="22"/>
    </row>
    <row r="141" spans="1:9" ht="15" hidden="1">
      <c r="A141" s="103" t="s">
        <v>490</v>
      </c>
      <c r="B141" s="199"/>
      <c r="C141" s="129" t="s">
        <v>112</v>
      </c>
      <c r="D141" s="129" t="s">
        <v>114</v>
      </c>
      <c r="E141" s="129" t="s">
        <v>67</v>
      </c>
      <c r="F141" s="147" t="s">
        <v>491</v>
      </c>
      <c r="G141" s="175"/>
      <c r="H141" s="22"/>
      <c r="I141" s="22"/>
    </row>
    <row r="142" spans="1:9" ht="42.75" hidden="1">
      <c r="A142" s="105" t="s">
        <v>492</v>
      </c>
      <c r="B142" s="199"/>
      <c r="C142" s="129" t="s">
        <v>112</v>
      </c>
      <c r="D142" s="129" t="s">
        <v>114</v>
      </c>
      <c r="E142" s="129" t="s">
        <v>67</v>
      </c>
      <c r="F142" s="147" t="s">
        <v>49</v>
      </c>
      <c r="G142" s="175"/>
      <c r="H142" s="22" t="e">
        <f>SUM(H146+H148+H155+#REF!)</f>
        <v>#REF!</v>
      </c>
      <c r="I142" s="22" t="e">
        <f>SUM(H142/G148*100)</f>
        <v>#REF!</v>
      </c>
    </row>
    <row r="143" spans="1:9" s="76" customFormat="1" ht="15">
      <c r="A143" s="103" t="s">
        <v>137</v>
      </c>
      <c r="B143" s="199"/>
      <c r="C143" s="129" t="s">
        <v>112</v>
      </c>
      <c r="D143" s="129" t="s">
        <v>288</v>
      </c>
      <c r="E143" s="129"/>
      <c r="F143" s="147"/>
      <c r="G143" s="175">
        <f>G144</f>
        <v>73700</v>
      </c>
      <c r="H143" s="22">
        <f>SUM(H145)</f>
        <v>0</v>
      </c>
      <c r="I143" s="22">
        <f>SUM(H143/G149*100)</f>
        <v>0</v>
      </c>
    </row>
    <row r="144" spans="1:9" s="76" customFormat="1" ht="28.5">
      <c r="A144" s="103" t="s">
        <v>28</v>
      </c>
      <c r="B144" s="199"/>
      <c r="C144" s="129" t="s">
        <v>112</v>
      </c>
      <c r="D144" s="129" t="s">
        <v>288</v>
      </c>
      <c r="E144" s="129" t="s">
        <v>29</v>
      </c>
      <c r="F144" s="147"/>
      <c r="G144" s="175">
        <f>G145</f>
        <v>73700</v>
      </c>
      <c r="H144" s="22"/>
      <c r="I144" s="22"/>
    </row>
    <row r="145" spans="1:9" s="84" customFormat="1" ht="15">
      <c r="A145" s="103" t="s">
        <v>464</v>
      </c>
      <c r="B145" s="199"/>
      <c r="C145" s="129" t="s">
        <v>112</v>
      </c>
      <c r="D145" s="129" t="s">
        <v>288</v>
      </c>
      <c r="E145" s="129" t="s">
        <v>29</v>
      </c>
      <c r="F145" s="147" t="s">
        <v>110</v>
      </c>
      <c r="G145" s="175">
        <v>73700</v>
      </c>
      <c r="H145" s="22"/>
      <c r="I145" s="22">
        <f aca="true" t="shared" si="3" ref="I145:I150">SUM(H145/G151*100)</f>
        <v>0</v>
      </c>
    </row>
    <row r="146" spans="1:9" s="78" customFormat="1" ht="15" hidden="1">
      <c r="A146" s="103" t="s">
        <v>482</v>
      </c>
      <c r="B146" s="199"/>
      <c r="C146" s="129" t="s">
        <v>112</v>
      </c>
      <c r="D146" s="129" t="s">
        <v>288</v>
      </c>
      <c r="E146" s="129" t="s">
        <v>29</v>
      </c>
      <c r="F146" s="147" t="s">
        <v>483</v>
      </c>
      <c r="G146" s="175"/>
      <c r="H146" s="22">
        <f>SUM(H147)</f>
        <v>0</v>
      </c>
      <c r="I146" s="22">
        <f t="shared" si="3"/>
        <v>0</v>
      </c>
    </row>
    <row r="147" spans="1:9" s="78" customFormat="1" ht="28.5" hidden="1">
      <c r="A147" s="103" t="s">
        <v>484</v>
      </c>
      <c r="B147" s="199"/>
      <c r="C147" s="129" t="s">
        <v>112</v>
      </c>
      <c r="D147" s="129" t="s">
        <v>288</v>
      </c>
      <c r="E147" s="129" t="s">
        <v>29</v>
      </c>
      <c r="F147" s="147" t="s">
        <v>485</v>
      </c>
      <c r="G147" s="175"/>
      <c r="H147" s="22">
        <f>5050-2000-3050</f>
        <v>0</v>
      </c>
      <c r="I147" s="22">
        <f t="shared" si="3"/>
        <v>0</v>
      </c>
    </row>
    <row r="148" spans="1:9" s="78" customFormat="1" ht="28.5" hidden="1">
      <c r="A148" s="103" t="s">
        <v>513</v>
      </c>
      <c r="B148" s="199"/>
      <c r="C148" s="129" t="s">
        <v>112</v>
      </c>
      <c r="D148" s="129" t="s">
        <v>288</v>
      </c>
      <c r="E148" s="129" t="s">
        <v>29</v>
      </c>
      <c r="F148" s="147" t="s">
        <v>485</v>
      </c>
      <c r="G148" s="175"/>
      <c r="H148" s="22">
        <f>SUM(H149)</f>
        <v>200</v>
      </c>
      <c r="I148" s="22" t="e">
        <f t="shared" si="3"/>
        <v>#DIV/0!</v>
      </c>
    </row>
    <row r="149" spans="1:9" s="78" customFormat="1" ht="15">
      <c r="A149" s="103" t="s">
        <v>382</v>
      </c>
      <c r="B149" s="199"/>
      <c r="C149" s="129" t="s">
        <v>112</v>
      </c>
      <c r="D149" s="129" t="s">
        <v>372</v>
      </c>
      <c r="E149" s="129"/>
      <c r="F149" s="147"/>
      <c r="G149" s="175">
        <f>SUM(G150,G160)</f>
        <v>11267.6</v>
      </c>
      <c r="H149" s="22">
        <f>SUM(H150)</f>
        <v>200</v>
      </c>
      <c r="I149" s="22">
        <f t="shared" si="3"/>
        <v>5.155436407691911</v>
      </c>
    </row>
    <row r="150" spans="1:9" s="78" customFormat="1" ht="15">
      <c r="A150" s="103" t="s">
        <v>507</v>
      </c>
      <c r="B150" s="199"/>
      <c r="C150" s="129" t="s">
        <v>112</v>
      </c>
      <c r="D150" s="129" t="s">
        <v>372</v>
      </c>
      <c r="E150" s="129" t="s">
        <v>508</v>
      </c>
      <c r="F150" s="147"/>
      <c r="G150" s="175">
        <f>SUM(G151)</f>
        <v>5584.1</v>
      </c>
      <c r="H150" s="22">
        <v>200</v>
      </c>
      <c r="I150" s="22">
        <f t="shared" si="3"/>
        <v>5.155436407691911</v>
      </c>
    </row>
    <row r="151" spans="1:9" s="78" customFormat="1" ht="15">
      <c r="A151" s="103" t="s">
        <v>387</v>
      </c>
      <c r="B151" s="199"/>
      <c r="C151" s="129" t="s">
        <v>112</v>
      </c>
      <c r="D151" s="129" t="s">
        <v>372</v>
      </c>
      <c r="E151" s="129" t="s">
        <v>514</v>
      </c>
      <c r="F151" s="147"/>
      <c r="G151" s="175">
        <f>SUM(G152,G156)</f>
        <v>5584.1</v>
      </c>
      <c r="H151" s="22"/>
      <c r="I151" s="22"/>
    </row>
    <row r="152" spans="1:9" s="78" customFormat="1" ht="15">
      <c r="A152" s="103" t="s">
        <v>519</v>
      </c>
      <c r="B152" s="199"/>
      <c r="C152" s="129" t="s">
        <v>112</v>
      </c>
      <c r="D152" s="129" t="s">
        <v>372</v>
      </c>
      <c r="E152" s="206" t="s">
        <v>515</v>
      </c>
      <c r="F152" s="147"/>
      <c r="G152" s="175">
        <f>SUM(G153)</f>
        <v>1704.7</v>
      </c>
      <c r="H152" s="22"/>
      <c r="I152" s="22"/>
    </row>
    <row r="153" spans="1:9" s="85" customFormat="1" ht="15">
      <c r="A153" s="103" t="s">
        <v>464</v>
      </c>
      <c r="B153" s="199"/>
      <c r="C153" s="129" t="s">
        <v>112</v>
      </c>
      <c r="D153" s="129" t="s">
        <v>372</v>
      </c>
      <c r="E153" s="206" t="s">
        <v>515</v>
      </c>
      <c r="F153" s="147" t="s">
        <v>110</v>
      </c>
      <c r="G153" s="175">
        <v>1704.7</v>
      </c>
      <c r="H153" s="22">
        <f>SUM(H154)</f>
        <v>0</v>
      </c>
      <c r="I153" s="22" t="e">
        <f>SUM(H153/G159*100)</f>
        <v>#DIV/0!</v>
      </c>
    </row>
    <row r="154" spans="1:9" s="78" customFormat="1" ht="15" hidden="1">
      <c r="A154" s="103" t="s">
        <v>482</v>
      </c>
      <c r="B154" s="199"/>
      <c r="C154" s="129" t="s">
        <v>112</v>
      </c>
      <c r="D154" s="129" t="s">
        <v>372</v>
      </c>
      <c r="E154" s="206" t="s">
        <v>515</v>
      </c>
      <c r="F154" s="147" t="s">
        <v>483</v>
      </c>
      <c r="G154" s="175"/>
      <c r="H154" s="22"/>
      <c r="I154" s="22">
        <f>SUM(H154/G160*100)</f>
        <v>0</v>
      </c>
    </row>
    <row r="155" spans="1:9" s="78" customFormat="1" ht="15">
      <c r="A155" s="103" t="s">
        <v>11</v>
      </c>
      <c r="B155" s="199"/>
      <c r="C155" s="129" t="s">
        <v>112</v>
      </c>
      <c r="D155" s="129" t="s">
        <v>372</v>
      </c>
      <c r="E155" s="129" t="s">
        <v>520</v>
      </c>
      <c r="F155" s="147"/>
      <c r="G155" s="175">
        <f>SUM(G156)</f>
        <v>3879.4</v>
      </c>
      <c r="H155" s="22">
        <f>SUM(H156)</f>
        <v>0</v>
      </c>
      <c r="I155" s="22">
        <f>SUM(H155/G161*100)</f>
        <v>0</v>
      </c>
    </row>
    <row r="156" spans="1:9" s="78" customFormat="1" ht="28.5">
      <c r="A156" s="103" t="s">
        <v>193</v>
      </c>
      <c r="B156" s="199"/>
      <c r="C156" s="129" t="s">
        <v>112</v>
      </c>
      <c r="D156" s="129" t="s">
        <v>372</v>
      </c>
      <c r="E156" s="129" t="s">
        <v>516</v>
      </c>
      <c r="F156" s="147"/>
      <c r="G156" s="175">
        <f>G157</f>
        <v>3879.4</v>
      </c>
      <c r="H156" s="22">
        <f>SUM(H157:H162)</f>
        <v>0</v>
      </c>
      <c r="I156" s="22">
        <f>SUM(H156/G162*100)</f>
        <v>0</v>
      </c>
    </row>
    <row r="157" spans="1:9" s="78" customFormat="1" ht="28.5">
      <c r="A157" s="103" t="s">
        <v>489</v>
      </c>
      <c r="B157" s="199"/>
      <c r="C157" s="129" t="s">
        <v>112</v>
      </c>
      <c r="D157" s="129" t="s">
        <v>372</v>
      </c>
      <c r="E157" s="129" t="s">
        <v>516</v>
      </c>
      <c r="F157" s="147" t="s">
        <v>477</v>
      </c>
      <c r="G157" s="175">
        <v>3879.4</v>
      </c>
      <c r="H157" s="22"/>
      <c r="I157" s="22" t="e">
        <f>SUM(H157/#REF!*100)</f>
        <v>#REF!</v>
      </c>
    </row>
    <row r="158" spans="1:9" s="78" customFormat="1" ht="15" hidden="1">
      <c r="A158" s="103" t="s">
        <v>490</v>
      </c>
      <c r="B158" s="199"/>
      <c r="C158" s="129" t="s">
        <v>112</v>
      </c>
      <c r="D158" s="129" t="s">
        <v>372</v>
      </c>
      <c r="E158" s="129" t="s">
        <v>516</v>
      </c>
      <c r="F158" s="147" t="s">
        <v>491</v>
      </c>
      <c r="G158" s="175"/>
      <c r="H158" s="22"/>
      <c r="I158" s="22"/>
    </row>
    <row r="159" spans="1:9" s="86" customFormat="1" ht="42.75" hidden="1">
      <c r="A159" s="105" t="s">
        <v>492</v>
      </c>
      <c r="B159" s="157"/>
      <c r="C159" s="132" t="s">
        <v>112</v>
      </c>
      <c r="D159" s="132" t="s">
        <v>372</v>
      </c>
      <c r="E159" s="132" t="s">
        <v>516</v>
      </c>
      <c r="F159" s="201" t="s">
        <v>49</v>
      </c>
      <c r="G159" s="180"/>
      <c r="H159" s="67"/>
      <c r="I159" s="67"/>
    </row>
    <row r="160" spans="1:9" s="87" customFormat="1" ht="15">
      <c r="A160" s="107" t="s">
        <v>517</v>
      </c>
      <c r="B160" s="157"/>
      <c r="C160" s="132" t="s">
        <v>112</v>
      </c>
      <c r="D160" s="132" t="s">
        <v>372</v>
      </c>
      <c r="E160" s="132" t="s">
        <v>119</v>
      </c>
      <c r="F160" s="201"/>
      <c r="G160" s="180">
        <f>G161</f>
        <v>5683.5</v>
      </c>
      <c r="H160" s="67"/>
      <c r="I160" s="67"/>
    </row>
    <row r="161" spans="1:9" s="88" customFormat="1" ht="28.5">
      <c r="A161" s="107" t="s">
        <v>518</v>
      </c>
      <c r="B161" s="157"/>
      <c r="C161" s="132" t="s">
        <v>112</v>
      </c>
      <c r="D161" s="132" t="s">
        <v>372</v>
      </c>
      <c r="E161" s="132" t="s">
        <v>44</v>
      </c>
      <c r="F161" s="201"/>
      <c r="G161" s="180">
        <f>SUM(G162)</f>
        <v>5683.5</v>
      </c>
      <c r="H161" s="67"/>
      <c r="I161" s="67" t="e">
        <f>SUM(H161/#REF!*100)</f>
        <v>#REF!</v>
      </c>
    </row>
    <row r="162" spans="1:9" s="86" customFormat="1" ht="28.5">
      <c r="A162" s="105" t="s">
        <v>489</v>
      </c>
      <c r="B162" s="157"/>
      <c r="C162" s="132" t="s">
        <v>112</v>
      </c>
      <c r="D162" s="132" t="s">
        <v>372</v>
      </c>
      <c r="E162" s="132" t="s">
        <v>44</v>
      </c>
      <c r="F162" s="201" t="s">
        <v>477</v>
      </c>
      <c r="G162" s="180">
        <v>5683.5</v>
      </c>
      <c r="H162" s="67"/>
      <c r="I162" s="67" t="e">
        <f>SUM(H162/#REF!*100)</f>
        <v>#REF!</v>
      </c>
    </row>
    <row r="163" spans="1:9" s="76" customFormat="1" ht="15">
      <c r="A163" s="103" t="s">
        <v>388</v>
      </c>
      <c r="B163" s="54"/>
      <c r="C163" s="128" t="s">
        <v>121</v>
      </c>
      <c r="D163" s="128"/>
      <c r="E163" s="128"/>
      <c r="F163" s="144"/>
      <c r="G163" s="182">
        <f>SUM(G217+G223+G235)</f>
        <v>66942.5</v>
      </c>
      <c r="H163" s="22">
        <f>SUM(H164)</f>
        <v>0</v>
      </c>
      <c r="I163" s="22" t="e">
        <f aca="true" t="shared" si="4" ref="I163:I197">SUM(H163/G169*100)</f>
        <v>#DIV/0!</v>
      </c>
    </row>
    <row r="164" spans="1:9" s="76" customFormat="1" ht="15" hidden="1">
      <c r="A164" s="99" t="s">
        <v>389</v>
      </c>
      <c r="B164" s="46"/>
      <c r="C164" s="55" t="s">
        <v>121</v>
      </c>
      <c r="D164" s="55" t="s">
        <v>423</v>
      </c>
      <c r="E164" s="55"/>
      <c r="F164" s="142"/>
      <c r="G164" s="177"/>
      <c r="H164" s="22"/>
      <c r="I164" s="22" t="e">
        <f t="shared" si="4"/>
        <v>#DIV/0!</v>
      </c>
    </row>
    <row r="165" spans="1:9" s="76" customFormat="1" ht="28.5" hidden="1">
      <c r="A165" s="103" t="s">
        <v>390</v>
      </c>
      <c r="B165" s="46"/>
      <c r="C165" s="55" t="s">
        <v>121</v>
      </c>
      <c r="D165" s="55" t="s">
        <v>423</v>
      </c>
      <c r="E165" s="55" t="s">
        <v>391</v>
      </c>
      <c r="F165" s="142"/>
      <c r="G165" s="177">
        <f>SUM(G166+G173)</f>
        <v>0</v>
      </c>
      <c r="H165" s="22">
        <f>SUM(H166)</f>
        <v>4761.6</v>
      </c>
      <c r="I165" s="22" t="e">
        <f t="shared" si="4"/>
        <v>#DIV/0!</v>
      </c>
    </row>
    <row r="166" spans="1:9" s="76" customFormat="1" ht="57" hidden="1">
      <c r="A166" s="103" t="s">
        <v>392</v>
      </c>
      <c r="B166" s="46"/>
      <c r="C166" s="55" t="s">
        <v>121</v>
      </c>
      <c r="D166" s="55" t="s">
        <v>423</v>
      </c>
      <c r="E166" s="55" t="s">
        <v>393</v>
      </c>
      <c r="F166" s="142"/>
      <c r="G166" s="177">
        <f>SUM(G167+G169+G171)</f>
        <v>0</v>
      </c>
      <c r="H166" s="22">
        <v>4761.6</v>
      </c>
      <c r="I166" s="22" t="e">
        <f t="shared" si="4"/>
        <v>#DIV/0!</v>
      </c>
    </row>
    <row r="167" spans="1:9" s="76" customFormat="1" ht="42.75" hidden="1">
      <c r="A167" s="103" t="s">
        <v>24</v>
      </c>
      <c r="B167" s="46"/>
      <c r="C167" s="55" t="s">
        <v>121</v>
      </c>
      <c r="D167" s="55" t="s">
        <v>423</v>
      </c>
      <c r="E167" s="55" t="s">
        <v>25</v>
      </c>
      <c r="F167" s="142"/>
      <c r="G167" s="177">
        <f>SUM(G168)</f>
        <v>0</v>
      </c>
      <c r="H167" s="22">
        <f>SUM(H168)+H174+H177</f>
        <v>5205.8</v>
      </c>
      <c r="I167" s="22" t="e">
        <f t="shared" si="4"/>
        <v>#DIV/0!</v>
      </c>
    </row>
    <row r="168" spans="1:9" s="76" customFormat="1" ht="15" hidden="1">
      <c r="A168" s="99" t="s">
        <v>7</v>
      </c>
      <c r="B168" s="46"/>
      <c r="C168" s="55" t="s">
        <v>121</v>
      </c>
      <c r="D168" s="55" t="s">
        <v>423</v>
      </c>
      <c r="E168" s="55" t="s">
        <v>25</v>
      </c>
      <c r="F168" s="142" t="s">
        <v>8</v>
      </c>
      <c r="G168" s="177"/>
      <c r="H168" s="22">
        <f>SUM(H169+H170)</f>
        <v>1562</v>
      </c>
      <c r="I168" s="22" t="e">
        <f t="shared" si="4"/>
        <v>#DIV/0!</v>
      </c>
    </row>
    <row r="169" spans="1:9" s="76" customFormat="1" ht="57" hidden="1">
      <c r="A169" s="103" t="s">
        <v>26</v>
      </c>
      <c r="B169" s="46"/>
      <c r="C169" s="55" t="s">
        <v>121</v>
      </c>
      <c r="D169" s="55" t="s">
        <v>423</v>
      </c>
      <c r="E169" s="55" t="s">
        <v>27</v>
      </c>
      <c r="F169" s="142"/>
      <c r="G169" s="177">
        <f>SUM(G170)</f>
        <v>0</v>
      </c>
      <c r="H169" s="22">
        <v>233.9</v>
      </c>
      <c r="I169" s="22" t="e">
        <f t="shared" si="4"/>
        <v>#DIV/0!</v>
      </c>
    </row>
    <row r="170" spans="1:9" s="76" customFormat="1" ht="15" hidden="1">
      <c r="A170" s="108" t="s">
        <v>124</v>
      </c>
      <c r="B170" s="46"/>
      <c r="C170" s="55" t="s">
        <v>121</v>
      </c>
      <c r="D170" s="55" t="s">
        <v>423</v>
      </c>
      <c r="E170" s="55" t="s">
        <v>27</v>
      </c>
      <c r="F170" s="142" t="s">
        <v>125</v>
      </c>
      <c r="G170" s="177"/>
      <c r="H170" s="22">
        <v>1328.1</v>
      </c>
      <c r="I170" s="22" t="e">
        <f t="shared" si="4"/>
        <v>#DIV/0!</v>
      </c>
    </row>
    <row r="171" spans="1:9" s="76" customFormat="1" ht="71.25" hidden="1">
      <c r="A171" s="103" t="s">
        <v>243</v>
      </c>
      <c r="B171" s="46"/>
      <c r="C171" s="55" t="s">
        <v>121</v>
      </c>
      <c r="D171" s="55" t="s">
        <v>423</v>
      </c>
      <c r="E171" s="55" t="s">
        <v>130</v>
      </c>
      <c r="F171" s="142"/>
      <c r="G171" s="177">
        <f>SUM(G172)</f>
        <v>0</v>
      </c>
      <c r="H171" s="22">
        <f>SUM(H172)</f>
        <v>0</v>
      </c>
      <c r="I171" s="22" t="e">
        <f t="shared" si="4"/>
        <v>#DIV/0!</v>
      </c>
    </row>
    <row r="172" spans="1:9" s="76" customFormat="1" ht="15" hidden="1">
      <c r="A172" s="108" t="s">
        <v>124</v>
      </c>
      <c r="B172" s="46"/>
      <c r="C172" s="55" t="s">
        <v>121</v>
      </c>
      <c r="D172" s="55" t="s">
        <v>423</v>
      </c>
      <c r="E172" s="55" t="s">
        <v>130</v>
      </c>
      <c r="F172" s="142" t="s">
        <v>125</v>
      </c>
      <c r="G172" s="177"/>
      <c r="H172" s="22">
        <f>SUM(H173)</f>
        <v>0</v>
      </c>
      <c r="I172" s="22" t="e">
        <f t="shared" si="4"/>
        <v>#DIV/0!</v>
      </c>
    </row>
    <row r="173" spans="1:9" s="76" customFormat="1" ht="42.75" hidden="1">
      <c r="A173" s="103" t="s">
        <v>394</v>
      </c>
      <c r="B173" s="46"/>
      <c r="C173" s="55" t="s">
        <v>121</v>
      </c>
      <c r="D173" s="55" t="s">
        <v>423</v>
      </c>
      <c r="E173" s="55" t="s">
        <v>395</v>
      </c>
      <c r="F173" s="142"/>
      <c r="G173" s="177">
        <f>SUM(G174)+G180+G183</f>
        <v>0</v>
      </c>
      <c r="H173" s="22"/>
      <c r="I173" s="22" t="e">
        <f t="shared" si="4"/>
        <v>#DIV/0!</v>
      </c>
    </row>
    <row r="174" spans="1:9" s="76" customFormat="1" ht="28.5" hidden="1">
      <c r="A174" s="103" t="s">
        <v>396</v>
      </c>
      <c r="B174" s="46"/>
      <c r="C174" s="55" t="s">
        <v>121</v>
      </c>
      <c r="D174" s="55" t="s">
        <v>423</v>
      </c>
      <c r="E174" s="55" t="s">
        <v>397</v>
      </c>
      <c r="F174" s="142"/>
      <c r="G174" s="177">
        <f>SUM(G175+G176)</f>
        <v>0</v>
      </c>
      <c r="H174" s="22">
        <f>SUM(H175+H176)</f>
        <v>1821.9</v>
      </c>
      <c r="I174" s="22" t="e">
        <f t="shared" si="4"/>
        <v>#DIV/0!</v>
      </c>
    </row>
    <row r="175" spans="1:9" s="76" customFormat="1" ht="15" hidden="1">
      <c r="A175" s="103" t="s">
        <v>7</v>
      </c>
      <c r="B175" s="46"/>
      <c r="C175" s="55" t="s">
        <v>121</v>
      </c>
      <c r="D175" s="55" t="s">
        <v>423</v>
      </c>
      <c r="E175" s="55" t="s">
        <v>397</v>
      </c>
      <c r="F175" s="142" t="s">
        <v>8</v>
      </c>
      <c r="G175" s="177"/>
      <c r="H175" s="22"/>
      <c r="I175" s="22" t="e">
        <f t="shared" si="4"/>
        <v>#DIV/0!</v>
      </c>
    </row>
    <row r="176" spans="1:9" s="76" customFormat="1" ht="28.5" hidden="1">
      <c r="A176" s="103" t="s">
        <v>398</v>
      </c>
      <c r="B176" s="46"/>
      <c r="C176" s="55" t="s">
        <v>121</v>
      </c>
      <c r="D176" s="55" t="s">
        <v>423</v>
      </c>
      <c r="E176" s="55" t="s">
        <v>397</v>
      </c>
      <c r="F176" s="142" t="s">
        <v>399</v>
      </c>
      <c r="G176" s="177"/>
      <c r="H176" s="22">
        <v>1821.9</v>
      </c>
      <c r="I176" s="22" t="e">
        <f t="shared" si="4"/>
        <v>#DIV/0!</v>
      </c>
    </row>
    <row r="177" spans="1:9" s="76" customFormat="1" ht="28.5" hidden="1">
      <c r="A177" s="103" t="s">
        <v>237</v>
      </c>
      <c r="B177" s="46"/>
      <c r="C177" s="55" t="s">
        <v>121</v>
      </c>
      <c r="D177" s="55" t="s">
        <v>423</v>
      </c>
      <c r="E177" s="55" t="s">
        <v>386</v>
      </c>
      <c r="F177" s="142"/>
      <c r="G177" s="177">
        <f>SUM(G178)</f>
        <v>0</v>
      </c>
      <c r="H177" s="22">
        <f>SUM(H178)</f>
        <v>1821.9</v>
      </c>
      <c r="I177" s="22" t="e">
        <f t="shared" si="4"/>
        <v>#DIV/0!</v>
      </c>
    </row>
    <row r="178" spans="1:9" s="76" customFormat="1" ht="28.5" hidden="1">
      <c r="A178" s="103" t="s">
        <v>122</v>
      </c>
      <c r="B178" s="46"/>
      <c r="C178" s="55" t="s">
        <v>121</v>
      </c>
      <c r="D178" s="55" t="s">
        <v>423</v>
      </c>
      <c r="E178" s="55" t="s">
        <v>123</v>
      </c>
      <c r="F178" s="142"/>
      <c r="G178" s="177">
        <f>SUM(G179)</f>
        <v>0</v>
      </c>
      <c r="H178" s="22">
        <v>1821.9</v>
      </c>
      <c r="I178" s="22" t="e">
        <f t="shared" si="4"/>
        <v>#DIV/0!</v>
      </c>
    </row>
    <row r="179" spans="1:9" s="76" customFormat="1" ht="15" hidden="1">
      <c r="A179" s="103" t="s">
        <v>124</v>
      </c>
      <c r="B179" s="46"/>
      <c r="C179" s="55" t="s">
        <v>121</v>
      </c>
      <c r="D179" s="55" t="s">
        <v>423</v>
      </c>
      <c r="E179" s="55" t="s">
        <v>123</v>
      </c>
      <c r="F179" s="142" t="s">
        <v>125</v>
      </c>
      <c r="G179" s="177"/>
      <c r="H179" s="22">
        <f>SUM(H180+H182)</f>
        <v>0</v>
      </c>
      <c r="I179" s="22" t="e">
        <f t="shared" si="4"/>
        <v>#DIV/0!</v>
      </c>
    </row>
    <row r="180" spans="1:9" s="76" customFormat="1" ht="28.5" hidden="1">
      <c r="A180" s="103" t="s">
        <v>400</v>
      </c>
      <c r="B180" s="46"/>
      <c r="C180" s="55" t="s">
        <v>121</v>
      </c>
      <c r="D180" s="55" t="s">
        <v>423</v>
      </c>
      <c r="E180" s="55" t="s">
        <v>401</v>
      </c>
      <c r="F180" s="142"/>
      <c r="G180" s="177">
        <f>SUM(G181+G182)</f>
        <v>0</v>
      </c>
      <c r="H180" s="22">
        <f>SUM(H181)</f>
        <v>0</v>
      </c>
      <c r="I180" s="22" t="e">
        <f t="shared" si="4"/>
        <v>#DIV/0!</v>
      </c>
    </row>
    <row r="181" spans="1:9" s="76" customFormat="1" ht="42.75" hidden="1">
      <c r="A181" s="99" t="s">
        <v>12</v>
      </c>
      <c r="B181" s="46"/>
      <c r="C181" s="55" t="s">
        <v>121</v>
      </c>
      <c r="D181" s="55" t="s">
        <v>423</v>
      </c>
      <c r="E181" s="55" t="s">
        <v>401</v>
      </c>
      <c r="F181" s="142" t="s">
        <v>49</v>
      </c>
      <c r="G181" s="177"/>
      <c r="H181" s="22"/>
      <c r="I181" s="22" t="e">
        <f t="shared" si="4"/>
        <v>#DIV/0!</v>
      </c>
    </row>
    <row r="182" spans="1:9" s="76" customFormat="1" ht="15" hidden="1">
      <c r="A182" s="108" t="s">
        <v>124</v>
      </c>
      <c r="B182" s="46"/>
      <c r="C182" s="55" t="s">
        <v>121</v>
      </c>
      <c r="D182" s="55" t="s">
        <v>423</v>
      </c>
      <c r="E182" s="55" t="s">
        <v>401</v>
      </c>
      <c r="F182" s="142" t="s">
        <v>125</v>
      </c>
      <c r="G182" s="177"/>
      <c r="H182" s="22">
        <f>SUM(H183)</f>
        <v>0</v>
      </c>
      <c r="I182" s="22" t="e">
        <f t="shared" si="4"/>
        <v>#DIV/0!</v>
      </c>
    </row>
    <row r="183" spans="1:9" s="76" customFormat="1" ht="42.75" hidden="1">
      <c r="A183" s="103" t="s">
        <v>402</v>
      </c>
      <c r="B183" s="46"/>
      <c r="C183" s="55" t="s">
        <v>121</v>
      </c>
      <c r="D183" s="55" t="s">
        <v>423</v>
      </c>
      <c r="E183" s="55" t="s">
        <v>403</v>
      </c>
      <c r="F183" s="142"/>
      <c r="G183" s="177">
        <f>SUM(G184)</f>
        <v>0</v>
      </c>
      <c r="H183" s="22"/>
      <c r="I183" s="22" t="e">
        <f t="shared" si="4"/>
        <v>#DIV/0!</v>
      </c>
    </row>
    <row r="184" spans="1:9" s="76" customFormat="1" ht="15" hidden="1">
      <c r="A184" s="108" t="s">
        <v>124</v>
      </c>
      <c r="B184" s="46"/>
      <c r="C184" s="55" t="s">
        <v>121</v>
      </c>
      <c r="D184" s="55" t="s">
        <v>423</v>
      </c>
      <c r="E184" s="55" t="s">
        <v>403</v>
      </c>
      <c r="F184" s="142" t="s">
        <v>125</v>
      </c>
      <c r="G184" s="177"/>
      <c r="H184" s="56">
        <f>SUM(H188)+H193+H185</f>
        <v>0</v>
      </c>
      <c r="I184" s="22" t="e">
        <f t="shared" si="4"/>
        <v>#DIV/0!</v>
      </c>
    </row>
    <row r="185" spans="1:9" s="76" customFormat="1" ht="15" hidden="1">
      <c r="A185" s="99" t="s">
        <v>404</v>
      </c>
      <c r="B185" s="46"/>
      <c r="C185" s="55" t="s">
        <v>121</v>
      </c>
      <c r="D185" s="55" t="s">
        <v>423</v>
      </c>
      <c r="E185" s="55" t="s">
        <v>405</v>
      </c>
      <c r="F185" s="142"/>
      <c r="G185" s="177">
        <f>SUM(G186+G188)</f>
        <v>0</v>
      </c>
      <c r="H185" s="56">
        <f>SUM(H186)</f>
        <v>0</v>
      </c>
      <c r="I185" s="22" t="e">
        <f t="shared" si="4"/>
        <v>#DIV/0!</v>
      </c>
    </row>
    <row r="186" spans="1:9" s="76" customFormat="1" ht="42.75" hidden="1">
      <c r="A186" s="100" t="s">
        <v>406</v>
      </c>
      <c r="B186" s="46"/>
      <c r="C186" s="55" t="s">
        <v>121</v>
      </c>
      <c r="D186" s="55" t="s">
        <v>423</v>
      </c>
      <c r="E186" s="55" t="s">
        <v>407</v>
      </c>
      <c r="F186" s="142"/>
      <c r="G186" s="177">
        <f>SUM(G187)</f>
        <v>0</v>
      </c>
      <c r="H186" s="56"/>
      <c r="I186" s="22" t="e">
        <f t="shared" si="4"/>
        <v>#DIV/0!</v>
      </c>
    </row>
    <row r="187" spans="1:9" s="76" customFormat="1" ht="15" hidden="1">
      <c r="A187" s="99" t="s">
        <v>7</v>
      </c>
      <c r="B187" s="46"/>
      <c r="C187" s="55" t="s">
        <v>121</v>
      </c>
      <c r="D187" s="55" t="s">
        <v>423</v>
      </c>
      <c r="E187" s="55" t="s">
        <v>407</v>
      </c>
      <c r="F187" s="142" t="s">
        <v>8</v>
      </c>
      <c r="G187" s="177"/>
      <c r="H187" s="56"/>
      <c r="I187" s="22" t="e">
        <f t="shared" si="4"/>
        <v>#DIV/0!</v>
      </c>
    </row>
    <row r="188" spans="1:9" s="76" customFormat="1" ht="28.5" hidden="1">
      <c r="A188" s="100" t="s">
        <v>408</v>
      </c>
      <c r="B188" s="54"/>
      <c r="C188" s="55" t="s">
        <v>121</v>
      </c>
      <c r="D188" s="55" t="s">
        <v>423</v>
      </c>
      <c r="E188" s="55" t="s">
        <v>409</v>
      </c>
      <c r="F188" s="143"/>
      <c r="G188" s="177">
        <f>SUM(G189)</f>
        <v>0</v>
      </c>
      <c r="H188" s="56">
        <f>SUM(H189+H191)</f>
        <v>0</v>
      </c>
      <c r="I188" s="22" t="e">
        <f t="shared" si="4"/>
        <v>#DIV/0!</v>
      </c>
    </row>
    <row r="189" spans="1:9" s="76" customFormat="1" ht="15" hidden="1">
      <c r="A189" s="99" t="s">
        <v>93</v>
      </c>
      <c r="B189" s="154"/>
      <c r="C189" s="55" t="s">
        <v>121</v>
      </c>
      <c r="D189" s="55" t="s">
        <v>423</v>
      </c>
      <c r="E189" s="55" t="s">
        <v>409</v>
      </c>
      <c r="F189" s="142" t="s">
        <v>94</v>
      </c>
      <c r="G189" s="177"/>
      <c r="H189" s="56">
        <f>SUM(H190)</f>
        <v>0</v>
      </c>
      <c r="I189" s="22" t="e">
        <f t="shared" si="4"/>
        <v>#DIV/0!</v>
      </c>
    </row>
    <row r="190" spans="1:9" s="76" customFormat="1" ht="15" hidden="1">
      <c r="A190" s="100" t="s">
        <v>3</v>
      </c>
      <c r="B190" s="46"/>
      <c r="C190" s="55" t="s">
        <v>121</v>
      </c>
      <c r="D190" s="55" t="s">
        <v>423</v>
      </c>
      <c r="E190" s="55" t="s">
        <v>4</v>
      </c>
      <c r="F190" s="142"/>
      <c r="G190" s="177">
        <f>SUM(G194)+G199+G191</f>
        <v>0</v>
      </c>
      <c r="H190" s="22"/>
      <c r="I190" s="22" t="e">
        <f t="shared" si="4"/>
        <v>#DIV/0!</v>
      </c>
    </row>
    <row r="191" spans="1:9" s="76" customFormat="1" ht="28.5" hidden="1">
      <c r="A191" s="100" t="s">
        <v>410</v>
      </c>
      <c r="B191" s="46"/>
      <c r="C191" s="55" t="s">
        <v>121</v>
      </c>
      <c r="D191" s="55" t="s">
        <v>423</v>
      </c>
      <c r="E191" s="55" t="s">
        <v>411</v>
      </c>
      <c r="F191" s="142"/>
      <c r="G191" s="177">
        <f>SUM(G192)</f>
        <v>0</v>
      </c>
      <c r="H191" s="22">
        <f>SUM(H192)</f>
        <v>0</v>
      </c>
      <c r="I191" s="22" t="e">
        <f t="shared" si="4"/>
        <v>#DIV/0!</v>
      </c>
    </row>
    <row r="192" spans="1:9" s="76" customFormat="1" ht="15" hidden="1">
      <c r="A192" s="100" t="s">
        <v>124</v>
      </c>
      <c r="B192" s="46"/>
      <c r="C192" s="55" t="s">
        <v>121</v>
      </c>
      <c r="D192" s="55" t="s">
        <v>423</v>
      </c>
      <c r="E192" s="55" t="s">
        <v>411</v>
      </c>
      <c r="F192" s="142" t="s">
        <v>125</v>
      </c>
      <c r="G192" s="177"/>
      <c r="H192" s="22"/>
      <c r="I192" s="22" t="e">
        <f t="shared" si="4"/>
        <v>#DIV/0!</v>
      </c>
    </row>
    <row r="193" spans="1:9" s="76" customFormat="1" ht="15" hidden="1">
      <c r="A193" s="100"/>
      <c r="B193" s="46"/>
      <c r="C193" s="55"/>
      <c r="D193" s="55"/>
      <c r="E193" s="55"/>
      <c r="F193" s="142"/>
      <c r="G193" s="177"/>
      <c r="H193" s="22"/>
      <c r="I193" s="22" t="e">
        <f t="shared" si="4"/>
        <v>#DIV/0!</v>
      </c>
    </row>
    <row r="194" spans="1:9" s="76" customFormat="1" ht="28.5" hidden="1">
      <c r="A194" s="99" t="s">
        <v>412</v>
      </c>
      <c r="B194" s="46"/>
      <c r="C194" s="55" t="s">
        <v>121</v>
      </c>
      <c r="D194" s="55" t="s">
        <v>423</v>
      </c>
      <c r="E194" s="55" t="s">
        <v>413</v>
      </c>
      <c r="F194" s="142"/>
      <c r="G194" s="177">
        <f>SUM(G195+G197)</f>
        <v>0</v>
      </c>
      <c r="H194" s="22">
        <f>SUM(H195)</f>
        <v>0</v>
      </c>
      <c r="I194" s="22" t="e">
        <f t="shared" si="4"/>
        <v>#DIV/0!</v>
      </c>
    </row>
    <row r="195" spans="1:9" s="76" customFormat="1" ht="28.5" hidden="1">
      <c r="A195" s="100" t="s">
        <v>414</v>
      </c>
      <c r="B195" s="46"/>
      <c r="C195" s="55" t="s">
        <v>121</v>
      </c>
      <c r="D195" s="55" t="s">
        <v>423</v>
      </c>
      <c r="E195" s="55" t="s">
        <v>415</v>
      </c>
      <c r="F195" s="142"/>
      <c r="G195" s="177">
        <f>SUM(G196)</f>
        <v>0</v>
      </c>
      <c r="H195" s="22"/>
      <c r="I195" s="22" t="e">
        <f t="shared" si="4"/>
        <v>#DIV/0!</v>
      </c>
    </row>
    <row r="196" spans="1:9" s="76" customFormat="1" ht="15" hidden="1">
      <c r="A196" s="103" t="s">
        <v>124</v>
      </c>
      <c r="B196" s="46"/>
      <c r="C196" s="55" t="s">
        <v>121</v>
      </c>
      <c r="D196" s="55" t="s">
        <v>423</v>
      </c>
      <c r="E196" s="55" t="s">
        <v>415</v>
      </c>
      <c r="F196" s="142" t="s">
        <v>125</v>
      </c>
      <c r="G196" s="177"/>
      <c r="H196" s="22">
        <f>SUM(H197)</f>
        <v>0</v>
      </c>
      <c r="I196" s="22" t="e">
        <f t="shared" si="4"/>
        <v>#DIV/0!</v>
      </c>
    </row>
    <row r="197" spans="1:9" s="76" customFormat="1" ht="15" hidden="1">
      <c r="A197" s="103" t="s">
        <v>416</v>
      </c>
      <c r="B197" s="46"/>
      <c r="C197" s="55" t="s">
        <v>121</v>
      </c>
      <c r="D197" s="55" t="s">
        <v>423</v>
      </c>
      <c r="E197" s="55" t="s">
        <v>417</v>
      </c>
      <c r="F197" s="142"/>
      <c r="G197" s="177">
        <f>SUM(G198)</f>
        <v>0</v>
      </c>
      <c r="H197" s="22"/>
      <c r="I197" s="22" t="e">
        <f t="shared" si="4"/>
        <v>#DIV/0!</v>
      </c>
    </row>
    <row r="198" spans="1:9" s="76" customFormat="1" ht="15" hidden="1">
      <c r="A198" s="99" t="s">
        <v>93</v>
      </c>
      <c r="B198" s="154"/>
      <c r="C198" s="55" t="s">
        <v>121</v>
      </c>
      <c r="D198" s="55" t="s">
        <v>423</v>
      </c>
      <c r="E198" s="55" t="s">
        <v>417</v>
      </c>
      <c r="F198" s="142" t="s">
        <v>94</v>
      </c>
      <c r="G198" s="177"/>
      <c r="H198" s="22"/>
      <c r="I198" s="22"/>
    </row>
    <row r="199" spans="1:9" s="76" customFormat="1" ht="28.5" hidden="1">
      <c r="A199" s="99" t="s">
        <v>418</v>
      </c>
      <c r="B199" s="154"/>
      <c r="C199" s="55" t="s">
        <v>121</v>
      </c>
      <c r="D199" s="55" t="s">
        <v>423</v>
      </c>
      <c r="E199" s="55" t="s">
        <v>419</v>
      </c>
      <c r="F199" s="142"/>
      <c r="G199" s="177"/>
      <c r="H199" s="22"/>
      <c r="I199" s="22"/>
    </row>
    <row r="200" spans="1:9" s="76" customFormat="1" ht="28.5" hidden="1">
      <c r="A200" s="99" t="s">
        <v>34</v>
      </c>
      <c r="B200" s="154"/>
      <c r="C200" s="55" t="s">
        <v>121</v>
      </c>
      <c r="D200" s="55" t="s">
        <v>423</v>
      </c>
      <c r="E200" s="55" t="s">
        <v>35</v>
      </c>
      <c r="F200" s="142"/>
      <c r="G200" s="177">
        <f>SUM(G201)</f>
        <v>0</v>
      </c>
      <c r="H200" s="22"/>
      <c r="I200" s="22"/>
    </row>
    <row r="201" spans="1:9" s="76" customFormat="1" ht="15" hidden="1">
      <c r="A201" s="99" t="s">
        <v>7</v>
      </c>
      <c r="B201" s="154"/>
      <c r="C201" s="55" t="s">
        <v>121</v>
      </c>
      <c r="D201" s="55" t="s">
        <v>423</v>
      </c>
      <c r="E201" s="55" t="s">
        <v>35</v>
      </c>
      <c r="F201" s="142" t="s">
        <v>8</v>
      </c>
      <c r="G201" s="177"/>
      <c r="H201" s="22">
        <f>SUM(H202+H205)+H209</f>
        <v>278.1</v>
      </c>
      <c r="I201" s="22" t="e">
        <f aca="true" t="shared" si="5" ref="I201:I206">SUM(H201/G207*100)</f>
        <v>#DIV/0!</v>
      </c>
    </row>
    <row r="202" spans="1:9" s="76" customFormat="1" ht="28.5" hidden="1">
      <c r="A202" s="99" t="s">
        <v>36</v>
      </c>
      <c r="B202" s="154"/>
      <c r="C202" s="55" t="s">
        <v>121</v>
      </c>
      <c r="D202" s="55" t="s">
        <v>423</v>
      </c>
      <c r="E202" s="55" t="s">
        <v>37</v>
      </c>
      <c r="F202" s="142"/>
      <c r="G202" s="177">
        <f>SUM(G203)</f>
        <v>0</v>
      </c>
      <c r="H202" s="22">
        <f>SUM(H203:H204)</f>
        <v>0</v>
      </c>
      <c r="I202" s="22" t="e">
        <f t="shared" si="5"/>
        <v>#DIV/0!</v>
      </c>
    </row>
    <row r="203" spans="1:9" s="76" customFormat="1" ht="15" hidden="1">
      <c r="A203" s="99" t="s">
        <v>7</v>
      </c>
      <c r="B203" s="154"/>
      <c r="C203" s="55" t="s">
        <v>121</v>
      </c>
      <c r="D203" s="55" t="s">
        <v>423</v>
      </c>
      <c r="E203" s="55" t="s">
        <v>37</v>
      </c>
      <c r="F203" s="142" t="s">
        <v>8</v>
      </c>
      <c r="G203" s="177"/>
      <c r="H203" s="22"/>
      <c r="I203" s="22" t="e">
        <f t="shared" si="5"/>
        <v>#DIV/0!</v>
      </c>
    </row>
    <row r="204" spans="1:9" s="84" customFormat="1" ht="15" hidden="1">
      <c r="A204" s="99" t="s">
        <v>404</v>
      </c>
      <c r="B204" s="154"/>
      <c r="C204" s="55" t="s">
        <v>121</v>
      </c>
      <c r="D204" s="55" t="s">
        <v>423</v>
      </c>
      <c r="E204" s="55" t="s">
        <v>405</v>
      </c>
      <c r="F204" s="142"/>
      <c r="G204" s="177">
        <f>SUM(G205)</f>
        <v>0</v>
      </c>
      <c r="H204" s="22"/>
      <c r="I204" s="22" t="e">
        <f t="shared" si="5"/>
        <v>#DIV/0!</v>
      </c>
    </row>
    <row r="205" spans="1:9" s="84" customFormat="1" ht="28.5" hidden="1">
      <c r="A205" s="99" t="s">
        <v>275</v>
      </c>
      <c r="B205" s="154"/>
      <c r="C205" s="55" t="s">
        <v>121</v>
      </c>
      <c r="D205" s="55" t="s">
        <v>423</v>
      </c>
      <c r="E205" s="55" t="s">
        <v>409</v>
      </c>
      <c r="F205" s="142"/>
      <c r="G205" s="177">
        <f>SUM(G206)</f>
        <v>0</v>
      </c>
      <c r="H205" s="22">
        <f>SUM(H206)</f>
        <v>167.7</v>
      </c>
      <c r="I205" s="22" t="e">
        <f t="shared" si="5"/>
        <v>#DIV/0!</v>
      </c>
    </row>
    <row r="206" spans="1:9" ht="15" hidden="1">
      <c r="A206" s="99" t="s">
        <v>93</v>
      </c>
      <c r="B206" s="154"/>
      <c r="C206" s="55" t="s">
        <v>121</v>
      </c>
      <c r="D206" s="55" t="s">
        <v>423</v>
      </c>
      <c r="E206" s="55" t="s">
        <v>409</v>
      </c>
      <c r="F206" s="142" t="s">
        <v>94</v>
      </c>
      <c r="G206" s="177"/>
      <c r="H206" s="22">
        <f>SUM(H208)</f>
        <v>167.7</v>
      </c>
      <c r="I206" s="22" t="e">
        <f t="shared" si="5"/>
        <v>#DIV/0!</v>
      </c>
    </row>
    <row r="207" spans="1:9" ht="15" hidden="1">
      <c r="A207" s="108" t="s">
        <v>118</v>
      </c>
      <c r="B207" s="46"/>
      <c r="C207" s="55" t="s">
        <v>121</v>
      </c>
      <c r="D207" s="55" t="s">
        <v>423</v>
      </c>
      <c r="E207" s="55" t="s">
        <v>119</v>
      </c>
      <c r="F207" s="142"/>
      <c r="G207" s="177">
        <f>SUM(G208+G211)+G215</f>
        <v>0</v>
      </c>
      <c r="H207" s="22"/>
      <c r="I207" s="22"/>
    </row>
    <row r="208" spans="1:9" s="76" customFormat="1" ht="42.75" hidden="1">
      <c r="A208" s="108" t="s">
        <v>456</v>
      </c>
      <c r="B208" s="46"/>
      <c r="C208" s="55" t="s">
        <v>121</v>
      </c>
      <c r="D208" s="55" t="s">
        <v>423</v>
      </c>
      <c r="E208" s="55" t="s">
        <v>286</v>
      </c>
      <c r="F208" s="142"/>
      <c r="G208" s="178">
        <f>SUM(G209)</f>
        <v>0</v>
      </c>
      <c r="H208" s="22">
        <v>167.7</v>
      </c>
      <c r="I208" s="22" t="e">
        <f aca="true" t="shared" si="6" ref="I208:I217">SUM(H208/G214*100)</f>
        <v>#DIV/0!</v>
      </c>
    </row>
    <row r="209" spans="1:9" s="76" customFormat="1" ht="15" hidden="1">
      <c r="A209" s="103" t="s">
        <v>7</v>
      </c>
      <c r="B209" s="46"/>
      <c r="C209" s="55" t="s">
        <v>121</v>
      </c>
      <c r="D209" s="55" t="s">
        <v>423</v>
      </c>
      <c r="E209" s="55" t="s">
        <v>286</v>
      </c>
      <c r="F209" s="142" t="s">
        <v>8</v>
      </c>
      <c r="G209" s="178"/>
      <c r="H209" s="22">
        <f>SUM(H210)</f>
        <v>110.4</v>
      </c>
      <c r="I209" s="22" t="e">
        <f t="shared" si="6"/>
        <v>#DIV/0!</v>
      </c>
    </row>
    <row r="210" spans="1:9" s="76" customFormat="1" ht="15" hidden="1">
      <c r="A210" s="108" t="s">
        <v>38</v>
      </c>
      <c r="B210" s="46"/>
      <c r="C210" s="55" t="s">
        <v>121</v>
      </c>
      <c r="D210" s="55" t="s">
        <v>423</v>
      </c>
      <c r="E210" s="55" t="s">
        <v>39</v>
      </c>
      <c r="F210" s="142" t="s">
        <v>94</v>
      </c>
      <c r="G210" s="177"/>
      <c r="H210" s="22">
        <v>110.4</v>
      </c>
      <c r="I210" s="22" t="e">
        <f t="shared" si="6"/>
        <v>#DIV/0!</v>
      </c>
    </row>
    <row r="211" spans="1:9" ht="15" hidden="1">
      <c r="A211" s="108" t="s">
        <v>124</v>
      </c>
      <c r="B211" s="46"/>
      <c r="C211" s="55" t="s">
        <v>121</v>
      </c>
      <c r="D211" s="55" t="s">
        <v>423</v>
      </c>
      <c r="E211" s="55" t="s">
        <v>119</v>
      </c>
      <c r="F211" s="142" t="s">
        <v>125</v>
      </c>
      <c r="G211" s="177">
        <f>SUM(G212)</f>
        <v>0</v>
      </c>
      <c r="H211" s="22" t="e">
        <f>SUM(H218+#REF!)+H212+#REF!+H215</f>
        <v>#REF!</v>
      </c>
      <c r="I211" s="22" t="e">
        <f t="shared" si="6"/>
        <v>#REF!</v>
      </c>
    </row>
    <row r="212" spans="1:9" ht="28.5" hidden="1">
      <c r="A212" s="103" t="s">
        <v>40</v>
      </c>
      <c r="B212" s="46"/>
      <c r="C212" s="55" t="s">
        <v>121</v>
      </c>
      <c r="D212" s="55" t="s">
        <v>423</v>
      </c>
      <c r="E212" s="55" t="s">
        <v>41</v>
      </c>
      <c r="F212" s="142" t="s">
        <v>125</v>
      </c>
      <c r="G212" s="177">
        <f>SUM(G214)</f>
        <v>0</v>
      </c>
      <c r="H212" s="22">
        <f>SUM(H213)</f>
        <v>0</v>
      </c>
      <c r="I212" s="22">
        <f t="shared" si="6"/>
        <v>0</v>
      </c>
    </row>
    <row r="213" spans="1:9" ht="28.5" hidden="1">
      <c r="A213" s="103" t="s">
        <v>56</v>
      </c>
      <c r="B213" s="46"/>
      <c r="C213" s="55"/>
      <c r="D213" s="55"/>
      <c r="E213" s="55"/>
      <c r="F213" s="142"/>
      <c r="G213" s="177"/>
      <c r="H213" s="22">
        <f>SUM(H214)</f>
        <v>0</v>
      </c>
      <c r="I213" s="22">
        <f t="shared" si="6"/>
        <v>0</v>
      </c>
    </row>
    <row r="214" spans="1:9" ht="28.5" hidden="1">
      <c r="A214" s="100" t="s">
        <v>414</v>
      </c>
      <c r="B214" s="46"/>
      <c r="C214" s="55" t="s">
        <v>121</v>
      </c>
      <c r="D214" s="55" t="s">
        <v>423</v>
      </c>
      <c r="E214" s="55" t="s">
        <v>42</v>
      </c>
      <c r="F214" s="142" t="s">
        <v>125</v>
      </c>
      <c r="G214" s="177"/>
      <c r="H214" s="22"/>
      <c r="I214" s="22">
        <f t="shared" si="6"/>
        <v>0</v>
      </c>
    </row>
    <row r="215" spans="1:9" ht="28.5" hidden="1">
      <c r="A215" s="99" t="s">
        <v>43</v>
      </c>
      <c r="B215" s="46"/>
      <c r="C215" s="55" t="s">
        <v>121</v>
      </c>
      <c r="D215" s="55" t="s">
        <v>423</v>
      </c>
      <c r="E215" s="55" t="s">
        <v>44</v>
      </c>
      <c r="F215" s="142"/>
      <c r="G215" s="177">
        <f>SUM(G216)</f>
        <v>0</v>
      </c>
      <c r="H215" s="22">
        <f>SUM(H216)</f>
        <v>9483.6</v>
      </c>
      <c r="I215" s="22" t="e">
        <f t="shared" si="6"/>
        <v>#DIV/0!</v>
      </c>
    </row>
    <row r="216" spans="1:9" ht="15" hidden="1">
      <c r="A216" s="108" t="s">
        <v>124</v>
      </c>
      <c r="B216" s="46"/>
      <c r="C216" s="55" t="s">
        <v>121</v>
      </c>
      <c r="D216" s="55" t="s">
        <v>423</v>
      </c>
      <c r="E216" s="55" t="s">
        <v>44</v>
      </c>
      <c r="F216" s="142" t="s">
        <v>125</v>
      </c>
      <c r="G216" s="177"/>
      <c r="H216" s="22">
        <f>SUM(H217)</f>
        <v>9483.6</v>
      </c>
      <c r="I216" s="22" t="e">
        <f t="shared" si="6"/>
        <v>#DIV/0!</v>
      </c>
    </row>
    <row r="217" spans="1:9" ht="15">
      <c r="A217" s="103" t="s">
        <v>45</v>
      </c>
      <c r="B217" s="199"/>
      <c r="C217" s="129" t="s">
        <v>121</v>
      </c>
      <c r="D217" s="129" t="s">
        <v>425</v>
      </c>
      <c r="E217" s="129"/>
      <c r="F217" s="147"/>
      <c r="G217" s="175">
        <f>G218</f>
        <v>9806.9</v>
      </c>
      <c r="H217" s="22">
        <v>9483.6</v>
      </c>
      <c r="I217" s="22">
        <f t="shared" si="6"/>
        <v>18.31319903602546</v>
      </c>
    </row>
    <row r="218" spans="1:9" ht="15">
      <c r="A218" s="103" t="s">
        <v>283</v>
      </c>
      <c r="B218" s="199"/>
      <c r="C218" s="129" t="s">
        <v>121</v>
      </c>
      <c r="D218" s="129" t="s">
        <v>425</v>
      </c>
      <c r="E218" s="129" t="s">
        <v>521</v>
      </c>
      <c r="F218" s="147"/>
      <c r="G218" s="175">
        <f>G219</f>
        <v>9806.9</v>
      </c>
      <c r="H218" s="22" t="e">
        <f>SUM(H219+H221+H223)</f>
        <v>#REF!</v>
      </c>
      <c r="I218" s="22" t="e">
        <f>SUM(H218/#REF!*100)</f>
        <v>#REF!</v>
      </c>
    </row>
    <row r="219" spans="1:9" ht="15">
      <c r="A219" s="103" t="s">
        <v>31</v>
      </c>
      <c r="B219" s="199"/>
      <c r="C219" s="129" t="s">
        <v>121</v>
      </c>
      <c r="D219" s="129" t="s">
        <v>425</v>
      </c>
      <c r="E219" s="129" t="s">
        <v>522</v>
      </c>
      <c r="F219" s="147"/>
      <c r="G219" s="175">
        <f>SUM(G220)</f>
        <v>9806.9</v>
      </c>
      <c r="H219" s="22">
        <f>SUM(H220)</f>
        <v>0</v>
      </c>
      <c r="I219" s="22" t="e">
        <f>SUM(H219/#REF!*100)</f>
        <v>#REF!</v>
      </c>
    </row>
    <row r="220" spans="1:9" ht="15">
      <c r="A220" s="103" t="s">
        <v>464</v>
      </c>
      <c r="B220" s="199"/>
      <c r="C220" s="129" t="s">
        <v>121</v>
      </c>
      <c r="D220" s="129" t="s">
        <v>425</v>
      </c>
      <c r="E220" s="129" t="s">
        <v>522</v>
      </c>
      <c r="F220" s="147" t="s">
        <v>110</v>
      </c>
      <c r="G220" s="175">
        <v>9806.9</v>
      </c>
      <c r="H220" s="22"/>
      <c r="I220" s="22" t="e">
        <f>SUM(H220/#REF!*100)</f>
        <v>#REF!</v>
      </c>
    </row>
    <row r="221" spans="1:9" ht="28.5" hidden="1">
      <c r="A221" s="103" t="s">
        <v>484</v>
      </c>
      <c r="B221" s="199"/>
      <c r="C221" s="129" t="s">
        <v>121</v>
      </c>
      <c r="D221" s="129" t="s">
        <v>425</v>
      </c>
      <c r="E221" s="129" t="s">
        <v>522</v>
      </c>
      <c r="F221" s="147" t="s">
        <v>485</v>
      </c>
      <c r="G221" s="175"/>
      <c r="H221" s="22">
        <f>SUM(H222)</f>
        <v>0</v>
      </c>
      <c r="I221" s="22" t="e">
        <f>SUM(H221/#REF!*100)</f>
        <v>#REF!</v>
      </c>
    </row>
    <row r="222" spans="1:9" ht="28.5" hidden="1">
      <c r="A222" s="103" t="s">
        <v>484</v>
      </c>
      <c r="B222" s="199"/>
      <c r="C222" s="129" t="s">
        <v>121</v>
      </c>
      <c r="D222" s="129" t="s">
        <v>425</v>
      </c>
      <c r="E222" s="129" t="s">
        <v>522</v>
      </c>
      <c r="F222" s="147" t="s">
        <v>485</v>
      </c>
      <c r="G222" s="175"/>
      <c r="H222" s="22"/>
      <c r="I222" s="22" t="e">
        <f>SUM(H222/#REF!*100)</f>
        <v>#REF!</v>
      </c>
    </row>
    <row r="223" spans="1:9" ht="15">
      <c r="A223" s="103" t="s">
        <v>33</v>
      </c>
      <c r="B223" s="199"/>
      <c r="C223" s="129" t="s">
        <v>121</v>
      </c>
      <c r="D223" s="129" t="s">
        <v>96</v>
      </c>
      <c r="E223" s="129"/>
      <c r="F223" s="147"/>
      <c r="G223" s="175">
        <f>G224</f>
        <v>51785.6</v>
      </c>
      <c r="H223" s="22" t="e">
        <f>SUM(#REF!)</f>
        <v>#REF!</v>
      </c>
      <c r="I223" s="22" t="e">
        <f>SUM(H223/G224*100)</f>
        <v>#REF!</v>
      </c>
    </row>
    <row r="224" spans="1:9" s="89" customFormat="1" ht="15">
      <c r="A224" s="103" t="s">
        <v>33</v>
      </c>
      <c r="B224" s="203"/>
      <c r="C224" s="129" t="s">
        <v>121</v>
      </c>
      <c r="D224" s="129" t="s">
        <v>96</v>
      </c>
      <c r="E224" s="206" t="s">
        <v>61</v>
      </c>
      <c r="F224" s="207"/>
      <c r="G224" s="175">
        <f>G225+G229+G233</f>
        <v>51785.6</v>
      </c>
      <c r="H224" s="22" t="e">
        <f>SUM(H227+#REF!)+H225</f>
        <v>#REF!</v>
      </c>
      <c r="I224" s="22" t="e">
        <f>SUM(H224/G230*100)</f>
        <v>#REF!</v>
      </c>
    </row>
    <row r="225" spans="1:9" s="90" customFormat="1" ht="15.75">
      <c r="A225" s="106" t="s">
        <v>62</v>
      </c>
      <c r="B225" s="203"/>
      <c r="C225" s="129" t="s">
        <v>121</v>
      </c>
      <c r="D225" s="129" t="s">
        <v>96</v>
      </c>
      <c r="E225" s="206" t="s">
        <v>63</v>
      </c>
      <c r="F225" s="207"/>
      <c r="G225" s="175">
        <f>SUM(G226)</f>
        <v>39469.2</v>
      </c>
      <c r="H225" s="22">
        <f>SUM(H226)</f>
        <v>0</v>
      </c>
      <c r="I225" s="22" t="e">
        <f>SUM(H225/G231*100)</f>
        <v>#DIV/0!</v>
      </c>
    </row>
    <row r="226" spans="1:9" s="90" customFormat="1" ht="15.75">
      <c r="A226" s="103" t="s">
        <v>464</v>
      </c>
      <c r="B226" s="203"/>
      <c r="C226" s="129" t="s">
        <v>121</v>
      </c>
      <c r="D226" s="129" t="s">
        <v>96</v>
      </c>
      <c r="E226" s="206" t="s">
        <v>63</v>
      </c>
      <c r="F226" s="207" t="s">
        <v>110</v>
      </c>
      <c r="G226" s="175">
        <v>39469.2</v>
      </c>
      <c r="H226" s="22"/>
      <c r="I226" s="22" t="e">
        <f>SUM(H226/G232*100)</f>
        <v>#DIV/0!</v>
      </c>
    </row>
    <row r="227" spans="1:9" s="90" customFormat="1" ht="15.75" hidden="1">
      <c r="A227" s="103" t="s">
        <v>482</v>
      </c>
      <c r="B227" s="203"/>
      <c r="C227" s="129" t="s">
        <v>121</v>
      </c>
      <c r="D227" s="129" t="s">
        <v>96</v>
      </c>
      <c r="E227" s="206" t="s">
        <v>63</v>
      </c>
      <c r="F227" s="207" t="s">
        <v>483</v>
      </c>
      <c r="G227" s="175"/>
      <c r="H227" s="22" t="e">
        <f>SUM(H228+H235+H240+H243)+H238</f>
        <v>#REF!</v>
      </c>
      <c r="I227" s="22" t="e">
        <f>SUM(H227/G235*100)</f>
        <v>#REF!</v>
      </c>
    </row>
    <row r="228" spans="1:9" s="90" customFormat="1" ht="28.5" hidden="1">
      <c r="A228" s="103" t="s">
        <v>484</v>
      </c>
      <c r="B228" s="203"/>
      <c r="C228" s="129" t="s">
        <v>121</v>
      </c>
      <c r="D228" s="129" t="s">
        <v>96</v>
      </c>
      <c r="E228" s="206" t="s">
        <v>63</v>
      </c>
      <c r="F228" s="207" t="s">
        <v>485</v>
      </c>
      <c r="G228" s="175"/>
      <c r="H228" s="22">
        <f>SUM(H230:H231)</f>
        <v>20816.7</v>
      </c>
      <c r="I228" s="22">
        <f>SUM(H228/G236*100)</f>
        <v>389.09719626168226</v>
      </c>
    </row>
    <row r="229" spans="1:9" s="90" customFormat="1" ht="28.5">
      <c r="A229" s="103" t="s">
        <v>580</v>
      </c>
      <c r="B229" s="203"/>
      <c r="C229" s="129" t="s">
        <v>121</v>
      </c>
      <c r="D229" s="129" t="s">
        <v>96</v>
      </c>
      <c r="E229" s="206" t="s">
        <v>30</v>
      </c>
      <c r="F229" s="207"/>
      <c r="G229" s="175">
        <f>G230</f>
        <v>12118</v>
      </c>
      <c r="H229" s="22"/>
      <c r="I229" s="22"/>
    </row>
    <row r="230" spans="1:9" s="90" customFormat="1" ht="15.75">
      <c r="A230" s="103" t="s">
        <v>464</v>
      </c>
      <c r="B230" s="203"/>
      <c r="C230" s="129" t="s">
        <v>121</v>
      </c>
      <c r="D230" s="129" t="s">
        <v>96</v>
      </c>
      <c r="E230" s="206" t="s">
        <v>30</v>
      </c>
      <c r="F230" s="207" t="s">
        <v>110</v>
      </c>
      <c r="G230" s="175">
        <f>12118</f>
        <v>12118</v>
      </c>
      <c r="H230" s="22">
        <v>20816.7</v>
      </c>
      <c r="I230" s="22">
        <f>SUM(H230/G238*100)</f>
        <v>10408.35</v>
      </c>
    </row>
    <row r="231" spans="1:9" s="90" customFormat="1" ht="15.75" hidden="1">
      <c r="A231" s="103" t="s">
        <v>482</v>
      </c>
      <c r="B231" s="203"/>
      <c r="C231" s="129" t="s">
        <v>121</v>
      </c>
      <c r="D231" s="129" t="s">
        <v>96</v>
      </c>
      <c r="E231" s="206" t="s">
        <v>30</v>
      </c>
      <c r="F231" s="207" t="s">
        <v>483</v>
      </c>
      <c r="G231" s="175"/>
      <c r="H231" s="22">
        <f>SUM(H232)</f>
        <v>0</v>
      </c>
      <c r="I231" s="22">
        <f>SUM(H231/G239*100)</f>
        <v>0</v>
      </c>
    </row>
    <row r="232" spans="1:9" s="90" customFormat="1" ht="28.5" hidden="1">
      <c r="A232" s="103" t="s">
        <v>484</v>
      </c>
      <c r="B232" s="203"/>
      <c r="C232" s="129" t="s">
        <v>121</v>
      </c>
      <c r="D232" s="129" t="s">
        <v>96</v>
      </c>
      <c r="E232" s="206" t="s">
        <v>30</v>
      </c>
      <c r="F232" s="207" t="s">
        <v>485</v>
      </c>
      <c r="G232" s="175"/>
      <c r="H232" s="22"/>
      <c r="I232" s="22">
        <f>SUM(H232/G240*100)</f>
        <v>0</v>
      </c>
    </row>
    <row r="233" spans="1:9" s="90" customFormat="1" ht="42.75">
      <c r="A233" s="105" t="s">
        <v>578</v>
      </c>
      <c r="B233" s="157"/>
      <c r="C233" s="132" t="s">
        <v>121</v>
      </c>
      <c r="D233" s="132" t="s">
        <v>96</v>
      </c>
      <c r="E233" s="209" t="s">
        <v>579</v>
      </c>
      <c r="F233" s="201"/>
      <c r="G233" s="180">
        <f>SUM(G234)</f>
        <v>198.4</v>
      </c>
      <c r="H233" s="22"/>
      <c r="I233" s="22"/>
    </row>
    <row r="234" spans="1:9" s="90" customFormat="1" ht="15.75">
      <c r="A234" s="103" t="s">
        <v>464</v>
      </c>
      <c r="B234" s="203"/>
      <c r="C234" s="129" t="s">
        <v>121</v>
      </c>
      <c r="D234" s="129" t="s">
        <v>96</v>
      </c>
      <c r="E234" s="209" t="s">
        <v>579</v>
      </c>
      <c r="F234" s="207" t="s">
        <v>110</v>
      </c>
      <c r="G234" s="175">
        <v>198.4</v>
      </c>
      <c r="H234" s="22"/>
      <c r="I234" s="22"/>
    </row>
    <row r="235" spans="1:9" s="90" customFormat="1" ht="15.75">
      <c r="A235" s="103" t="s">
        <v>54</v>
      </c>
      <c r="B235" s="203"/>
      <c r="C235" s="129" t="s">
        <v>121</v>
      </c>
      <c r="D235" s="129" t="s">
        <v>121</v>
      </c>
      <c r="E235" s="206"/>
      <c r="F235" s="207"/>
      <c r="G235" s="175">
        <f>G236</f>
        <v>5350</v>
      </c>
      <c r="H235" s="22">
        <f>SUM(H237)</f>
        <v>43097.5</v>
      </c>
      <c r="I235" s="22">
        <f>SUM(H235/G241*100)</f>
        <v>1690.0980392156864</v>
      </c>
    </row>
    <row r="236" spans="1:9" s="76" customFormat="1" ht="15">
      <c r="A236" s="103" t="s">
        <v>517</v>
      </c>
      <c r="B236" s="203"/>
      <c r="C236" s="129" t="s">
        <v>121</v>
      </c>
      <c r="D236" s="129" t="s">
        <v>121</v>
      </c>
      <c r="E236" s="206" t="s">
        <v>119</v>
      </c>
      <c r="F236" s="207"/>
      <c r="G236" s="175">
        <f>G237+G239+G241+G243</f>
        <v>5350</v>
      </c>
      <c r="H236" s="22"/>
      <c r="I236" s="22"/>
    </row>
    <row r="237" spans="1:9" s="90" customFormat="1" ht="28.5">
      <c r="A237" s="106" t="s">
        <v>523</v>
      </c>
      <c r="B237" s="203"/>
      <c r="C237" s="129" t="s">
        <v>121</v>
      </c>
      <c r="D237" s="129" t="s">
        <v>121</v>
      </c>
      <c r="E237" s="206" t="s">
        <v>9</v>
      </c>
      <c r="F237" s="207"/>
      <c r="G237" s="175">
        <f>G238</f>
        <v>200</v>
      </c>
      <c r="H237" s="22">
        <v>43097.5</v>
      </c>
      <c r="I237" s="22">
        <f>SUM(H237/G243*100)</f>
        <v>2693.59375</v>
      </c>
    </row>
    <row r="238" spans="1:9" ht="28.5">
      <c r="A238" s="103" t="s">
        <v>489</v>
      </c>
      <c r="B238" s="203"/>
      <c r="C238" s="129" t="s">
        <v>121</v>
      </c>
      <c r="D238" s="129" t="s">
        <v>121</v>
      </c>
      <c r="E238" s="206" t="s">
        <v>9</v>
      </c>
      <c r="F238" s="207" t="s">
        <v>477</v>
      </c>
      <c r="G238" s="175">
        <v>200</v>
      </c>
      <c r="H238" s="22">
        <f>SUM(H239)</f>
        <v>482.9</v>
      </c>
      <c r="I238" s="22">
        <f>SUM(H238/G244*100)</f>
        <v>30.18125</v>
      </c>
    </row>
    <row r="239" spans="1:9" ht="28.5">
      <c r="A239" s="106" t="s">
        <v>524</v>
      </c>
      <c r="B239" s="203"/>
      <c r="C239" s="129" t="s">
        <v>525</v>
      </c>
      <c r="D239" s="129" t="s">
        <v>121</v>
      </c>
      <c r="E239" s="206" t="s">
        <v>10</v>
      </c>
      <c r="F239" s="207"/>
      <c r="G239" s="175">
        <f>G240</f>
        <v>1000</v>
      </c>
      <c r="H239" s="22">
        <v>482.9</v>
      </c>
      <c r="I239" s="22" t="e">
        <f>SUM(H239/#REF!*100)</f>
        <v>#REF!</v>
      </c>
    </row>
    <row r="240" spans="1:9" ht="28.5">
      <c r="A240" s="103" t="s">
        <v>527</v>
      </c>
      <c r="B240" s="203"/>
      <c r="C240" s="129" t="s">
        <v>525</v>
      </c>
      <c r="D240" s="129" t="s">
        <v>121</v>
      </c>
      <c r="E240" s="206" t="s">
        <v>10</v>
      </c>
      <c r="F240" s="207" t="s">
        <v>528</v>
      </c>
      <c r="G240" s="175">
        <v>1000</v>
      </c>
      <c r="H240" s="22">
        <f>SUM(H242)</f>
        <v>489.8</v>
      </c>
      <c r="I240" s="22" t="e">
        <f>SUM(H240/#REF!*100)</f>
        <v>#REF!</v>
      </c>
    </row>
    <row r="241" spans="1:9" ht="42.75">
      <c r="A241" s="103" t="s">
        <v>526</v>
      </c>
      <c r="B241" s="203"/>
      <c r="C241" s="129" t="s">
        <v>121</v>
      </c>
      <c r="D241" s="129" t="s">
        <v>121</v>
      </c>
      <c r="E241" s="206" t="s">
        <v>32</v>
      </c>
      <c r="F241" s="207"/>
      <c r="G241" s="175">
        <f>G242</f>
        <v>2550</v>
      </c>
      <c r="H241" s="22"/>
      <c r="I241" s="22"/>
    </row>
    <row r="242" spans="1:9" s="89" customFormat="1" ht="28.5">
      <c r="A242" s="103" t="s">
        <v>527</v>
      </c>
      <c r="B242" s="203"/>
      <c r="C242" s="129" t="s">
        <v>121</v>
      </c>
      <c r="D242" s="129" t="s">
        <v>121</v>
      </c>
      <c r="E242" s="206" t="s">
        <v>32</v>
      </c>
      <c r="F242" s="207" t="s">
        <v>528</v>
      </c>
      <c r="G242" s="175">
        <v>2550</v>
      </c>
      <c r="H242" s="22">
        <v>489.8</v>
      </c>
      <c r="I242" s="22" t="e">
        <f>SUM(H242/#REF!*100)</f>
        <v>#REF!</v>
      </c>
    </row>
    <row r="243" spans="1:9" s="89" customFormat="1" ht="28.5">
      <c r="A243" s="106" t="s">
        <v>518</v>
      </c>
      <c r="B243" s="203"/>
      <c r="C243" s="129" t="s">
        <v>121</v>
      </c>
      <c r="D243" s="129" t="s">
        <v>121</v>
      </c>
      <c r="E243" s="206" t="s">
        <v>44</v>
      </c>
      <c r="F243" s="207"/>
      <c r="G243" s="175">
        <f>G244</f>
        <v>1600</v>
      </c>
      <c r="H243" s="22" t="e">
        <f>SUM(#REF!)</f>
        <v>#REF!</v>
      </c>
      <c r="I243" s="22" t="e">
        <f>SUM(H243/#REF!*100)</f>
        <v>#REF!</v>
      </c>
    </row>
    <row r="244" spans="1:9" s="89" customFormat="1" ht="28.5">
      <c r="A244" s="103" t="s">
        <v>527</v>
      </c>
      <c r="B244" s="203"/>
      <c r="C244" s="129" t="s">
        <v>121</v>
      </c>
      <c r="D244" s="129" t="s">
        <v>121</v>
      </c>
      <c r="E244" s="206" t="s">
        <v>44</v>
      </c>
      <c r="F244" s="207" t="s">
        <v>528</v>
      </c>
      <c r="G244" s="175">
        <v>1600</v>
      </c>
      <c r="H244" s="22"/>
      <c r="I244" s="22"/>
    </row>
    <row r="245" spans="1:9" ht="15">
      <c r="A245" s="108" t="s">
        <v>124</v>
      </c>
      <c r="B245" s="46"/>
      <c r="C245" s="128" t="s">
        <v>121</v>
      </c>
      <c r="D245" s="128" t="s">
        <v>121</v>
      </c>
      <c r="E245" s="55" t="s">
        <v>44</v>
      </c>
      <c r="F245" s="143" t="s">
        <v>125</v>
      </c>
      <c r="G245" s="177"/>
      <c r="H245" s="22" t="e">
        <f>SUM(H246+H249)</f>
        <v>#REF!</v>
      </c>
      <c r="I245" s="22" t="e">
        <f>SUM(H245/G251*100)</f>
        <v>#REF!</v>
      </c>
    </row>
    <row r="246" spans="1:9" ht="15">
      <c r="A246" s="99" t="s">
        <v>57</v>
      </c>
      <c r="B246" s="46"/>
      <c r="C246" s="55" t="s">
        <v>355</v>
      </c>
      <c r="D246" s="55"/>
      <c r="E246" s="55"/>
      <c r="F246" s="142"/>
      <c r="G246" s="177">
        <f>SUM(G247)+G252</f>
        <v>5826</v>
      </c>
      <c r="H246" s="22">
        <f>SUM(H247)</f>
        <v>0</v>
      </c>
      <c r="I246" s="22">
        <f>SUM(H246/G252*100)</f>
        <v>0</v>
      </c>
    </row>
    <row r="247" spans="1:9" ht="15">
      <c r="A247" s="103" t="s">
        <v>58</v>
      </c>
      <c r="B247" s="199"/>
      <c r="C247" s="129" t="s">
        <v>355</v>
      </c>
      <c r="D247" s="129" t="s">
        <v>96</v>
      </c>
      <c r="E247" s="129" t="s">
        <v>529</v>
      </c>
      <c r="F247" s="147"/>
      <c r="G247" s="175">
        <f>SUM(G248)</f>
        <v>5280.9</v>
      </c>
      <c r="H247" s="22">
        <f>SUM(H248)</f>
        <v>0</v>
      </c>
      <c r="I247" s="22">
        <f>SUM(H247/G253*100)</f>
        <v>0</v>
      </c>
    </row>
    <row r="248" spans="1:9" ht="28.5">
      <c r="A248" s="103" t="s">
        <v>47</v>
      </c>
      <c r="B248" s="199"/>
      <c r="C248" s="129" t="s">
        <v>355</v>
      </c>
      <c r="D248" s="129" t="s">
        <v>96</v>
      </c>
      <c r="E248" s="129" t="s">
        <v>530</v>
      </c>
      <c r="F248" s="147"/>
      <c r="G248" s="175">
        <f>SUM(G249:G251)</f>
        <v>5280.9</v>
      </c>
      <c r="H248" s="22"/>
      <c r="I248" s="22">
        <f>SUM(H248/G254*100)</f>
        <v>0</v>
      </c>
    </row>
    <row r="249" spans="1:9" ht="28.5">
      <c r="A249" s="103" t="s">
        <v>459</v>
      </c>
      <c r="B249" s="199"/>
      <c r="C249" s="129" t="s">
        <v>355</v>
      </c>
      <c r="D249" s="129" t="s">
        <v>96</v>
      </c>
      <c r="E249" s="129" t="s">
        <v>530</v>
      </c>
      <c r="F249" s="147" t="s">
        <v>460</v>
      </c>
      <c r="G249" s="175">
        <v>4446.9</v>
      </c>
      <c r="H249" s="22" t="e">
        <f>SUM(H253+#REF!)</f>
        <v>#REF!</v>
      </c>
      <c r="I249" s="22" t="e">
        <f>SUM(H249/G255*100)</f>
        <v>#REF!</v>
      </c>
    </row>
    <row r="250" spans="1:9" ht="15">
      <c r="A250" s="103" t="s">
        <v>464</v>
      </c>
      <c r="B250" s="199"/>
      <c r="C250" s="129" t="s">
        <v>355</v>
      </c>
      <c r="D250" s="129" t="s">
        <v>96</v>
      </c>
      <c r="E250" s="129" t="s">
        <v>530</v>
      </c>
      <c r="F250" s="147" t="s">
        <v>110</v>
      </c>
      <c r="G250" s="175">
        <v>753.9</v>
      </c>
      <c r="H250" s="22"/>
      <c r="I250" s="22" t="e">
        <f>SUM(H250/#REF!*100)</f>
        <v>#REF!</v>
      </c>
    </row>
    <row r="251" spans="1:9" ht="15">
      <c r="A251" s="103" t="s">
        <v>465</v>
      </c>
      <c r="B251" s="199"/>
      <c r="C251" s="129" t="s">
        <v>355</v>
      </c>
      <c r="D251" s="129" t="s">
        <v>96</v>
      </c>
      <c r="E251" s="129" t="s">
        <v>530</v>
      </c>
      <c r="F251" s="147" t="s">
        <v>165</v>
      </c>
      <c r="G251" s="175">
        <v>80.1</v>
      </c>
      <c r="H251" s="91"/>
      <c r="I251" s="22" t="e">
        <f>SUM(H251/#REF!*100)</f>
        <v>#REF!</v>
      </c>
    </row>
    <row r="252" spans="1:9" ht="15">
      <c r="A252" s="103" t="s">
        <v>59</v>
      </c>
      <c r="B252" s="199"/>
      <c r="C252" s="129" t="s">
        <v>355</v>
      </c>
      <c r="D252" s="129" t="s">
        <v>121</v>
      </c>
      <c r="E252" s="210"/>
      <c r="F252" s="147"/>
      <c r="G252" s="175">
        <f>G254</f>
        <v>545.1</v>
      </c>
      <c r="H252" s="22"/>
      <c r="I252" s="22" t="e">
        <f>SUM(H252/#REF!*100)</f>
        <v>#REF!</v>
      </c>
    </row>
    <row r="253" spans="1:9" ht="15">
      <c r="A253" s="103" t="s">
        <v>517</v>
      </c>
      <c r="B253" s="199"/>
      <c r="C253" s="129" t="s">
        <v>355</v>
      </c>
      <c r="D253" s="129" t="s">
        <v>121</v>
      </c>
      <c r="E253" s="206" t="s">
        <v>119</v>
      </c>
      <c r="F253" s="147"/>
      <c r="G253" s="175">
        <f>SUM(G254)</f>
        <v>545.1</v>
      </c>
      <c r="H253" s="22">
        <f>SUM(H254:H255)</f>
        <v>0</v>
      </c>
      <c r="I253" s="22" t="e">
        <f>SUM(H253/#REF!*100)</f>
        <v>#REF!</v>
      </c>
    </row>
    <row r="254" spans="1:9" ht="15.75">
      <c r="A254" s="103" t="s">
        <v>531</v>
      </c>
      <c r="B254" s="202"/>
      <c r="C254" s="129" t="s">
        <v>355</v>
      </c>
      <c r="D254" s="129" t="s">
        <v>121</v>
      </c>
      <c r="E254" s="129" t="s">
        <v>60</v>
      </c>
      <c r="F254" s="147"/>
      <c r="G254" s="175">
        <f>G255</f>
        <v>545.1</v>
      </c>
      <c r="H254" s="22"/>
      <c r="I254" s="22" t="e">
        <f>SUM(H254/#REF!*100)</f>
        <v>#REF!</v>
      </c>
    </row>
    <row r="255" spans="1:9" ht="15">
      <c r="A255" s="103" t="s">
        <v>464</v>
      </c>
      <c r="B255" s="199"/>
      <c r="C255" s="129" t="s">
        <v>355</v>
      </c>
      <c r="D255" s="129" t="s">
        <v>121</v>
      </c>
      <c r="E255" s="129" t="s">
        <v>60</v>
      </c>
      <c r="F255" s="147" t="s">
        <v>110</v>
      </c>
      <c r="G255" s="175">
        <v>545.1</v>
      </c>
      <c r="H255" s="22"/>
      <c r="I255" s="22"/>
    </row>
    <row r="256" spans="1:9" ht="15">
      <c r="A256" s="103" t="s">
        <v>106</v>
      </c>
      <c r="B256" s="199"/>
      <c r="C256" s="129" t="s">
        <v>107</v>
      </c>
      <c r="D256" s="129"/>
      <c r="E256" s="129"/>
      <c r="F256" s="147"/>
      <c r="G256" s="175">
        <f>G257</f>
        <v>300</v>
      </c>
      <c r="H256" s="22">
        <f>SUM(H257)</f>
        <v>0</v>
      </c>
      <c r="I256" s="22" t="e">
        <f>SUM(H256/#REF!*100)</f>
        <v>#REF!</v>
      </c>
    </row>
    <row r="257" spans="1:9" ht="15">
      <c r="A257" s="103" t="s">
        <v>221</v>
      </c>
      <c r="B257" s="199"/>
      <c r="C257" s="129" t="s">
        <v>107</v>
      </c>
      <c r="D257" s="129" t="s">
        <v>288</v>
      </c>
      <c r="E257" s="129"/>
      <c r="F257" s="147"/>
      <c r="G257" s="175">
        <f>G259</f>
        <v>300</v>
      </c>
      <c r="H257" s="22"/>
      <c r="I257" s="22" t="e">
        <f>SUM(H257/#REF!*100)</f>
        <v>#REF!</v>
      </c>
    </row>
    <row r="258" spans="1:9" ht="15">
      <c r="A258" s="103" t="s">
        <v>517</v>
      </c>
      <c r="B258" s="199"/>
      <c r="C258" s="129" t="s">
        <v>107</v>
      </c>
      <c r="D258" s="129" t="s">
        <v>288</v>
      </c>
      <c r="E258" s="206" t="s">
        <v>119</v>
      </c>
      <c r="F258" s="147"/>
      <c r="G258" s="175">
        <f>SUM(G259)</f>
        <v>300</v>
      </c>
      <c r="H258" s="22"/>
      <c r="I258" s="22"/>
    </row>
    <row r="259" spans="1:9" ht="28.5">
      <c r="A259" s="106" t="s">
        <v>518</v>
      </c>
      <c r="B259" s="199"/>
      <c r="C259" s="129" t="s">
        <v>107</v>
      </c>
      <c r="D259" s="129" t="s">
        <v>288</v>
      </c>
      <c r="E259" s="129" t="s">
        <v>44</v>
      </c>
      <c r="F259" s="147"/>
      <c r="G259" s="175">
        <f>G260</f>
        <v>300</v>
      </c>
      <c r="H259" s="22"/>
      <c r="I259" s="22"/>
    </row>
    <row r="260" spans="1:9" s="76" customFormat="1" ht="28.5">
      <c r="A260" s="103" t="s">
        <v>536</v>
      </c>
      <c r="B260" s="199"/>
      <c r="C260" s="129" t="s">
        <v>107</v>
      </c>
      <c r="D260" s="129" t="s">
        <v>288</v>
      </c>
      <c r="E260" s="129" t="s">
        <v>532</v>
      </c>
      <c r="F260" s="147" t="s">
        <v>528</v>
      </c>
      <c r="G260" s="175">
        <v>300</v>
      </c>
      <c r="H260" s="22" t="e">
        <v>#REF!</v>
      </c>
      <c r="I260" s="22" t="e">
        <v>#REF!</v>
      </c>
    </row>
    <row r="261" spans="1:9" ht="15">
      <c r="A261" s="99" t="s">
        <v>176</v>
      </c>
      <c r="B261" s="46"/>
      <c r="C261" s="55" t="s">
        <v>5</v>
      </c>
      <c r="D261" s="55"/>
      <c r="E261" s="55"/>
      <c r="F261" s="142"/>
      <c r="G261" s="177">
        <f>SUM(G262)</f>
        <v>46804.6</v>
      </c>
      <c r="H261" s="22" t="e">
        <f>SUM(#REF!)</f>
        <v>#REF!</v>
      </c>
      <c r="I261" s="22" t="e">
        <f>SUM(H261/G264*100)</f>
        <v>#REF!</v>
      </c>
    </row>
    <row r="262" spans="1:9" s="76" customFormat="1" ht="15">
      <c r="A262" s="103" t="s">
        <v>149</v>
      </c>
      <c r="B262" s="199"/>
      <c r="C262" s="129" t="s">
        <v>5</v>
      </c>
      <c r="D262" s="129" t="s">
        <v>112</v>
      </c>
      <c r="E262" s="129"/>
      <c r="F262" s="147"/>
      <c r="G262" s="175">
        <f>G264</f>
        <v>46804.6</v>
      </c>
      <c r="H262" s="22"/>
      <c r="I262" s="22">
        <f>SUM(H262/G269*100)</f>
        <v>0</v>
      </c>
    </row>
    <row r="263" spans="1:9" s="76" customFormat="1" ht="15">
      <c r="A263" s="99" t="s">
        <v>22</v>
      </c>
      <c r="B263" s="46"/>
      <c r="C263" s="129" t="s">
        <v>5</v>
      </c>
      <c r="D263" s="129" t="s">
        <v>112</v>
      </c>
      <c r="E263" s="55" t="s">
        <v>23</v>
      </c>
      <c r="F263" s="142"/>
      <c r="G263" s="175">
        <f>SUM(G264)</f>
        <v>46804.6</v>
      </c>
      <c r="H263" s="22"/>
      <c r="I263" s="22"/>
    </row>
    <row r="264" spans="1:9" ht="42.75">
      <c r="A264" s="103" t="s">
        <v>533</v>
      </c>
      <c r="B264" s="199"/>
      <c r="C264" s="129" t="s">
        <v>5</v>
      </c>
      <c r="D264" s="129" t="s">
        <v>112</v>
      </c>
      <c r="E264" s="129" t="s">
        <v>195</v>
      </c>
      <c r="F264" s="147"/>
      <c r="G264" s="175">
        <f>G269+G265</f>
        <v>46804.6</v>
      </c>
      <c r="H264" s="22">
        <f>SUM(H265)</f>
        <v>5628.5</v>
      </c>
      <c r="I264" s="22">
        <f>SUM(H264/G270*100)</f>
        <v>23.65214102617977</v>
      </c>
    </row>
    <row r="265" spans="1:9" ht="57">
      <c r="A265" s="103" t="s">
        <v>534</v>
      </c>
      <c r="B265" s="199"/>
      <c r="C265" s="129" t="s">
        <v>5</v>
      </c>
      <c r="D265" s="129" t="s">
        <v>112</v>
      </c>
      <c r="E265" s="129" t="s">
        <v>535</v>
      </c>
      <c r="F265" s="147"/>
      <c r="G265" s="175">
        <f>SUM(G266)</f>
        <v>23007.6</v>
      </c>
      <c r="H265" s="22">
        <f>SUM(H266)</f>
        <v>5628.5</v>
      </c>
      <c r="I265" s="22" t="e">
        <f>SUM(H265/G271*100)</f>
        <v>#DIV/0!</v>
      </c>
    </row>
    <row r="266" spans="1:9" ht="28.5">
      <c r="A266" s="103" t="s">
        <v>536</v>
      </c>
      <c r="B266" s="199"/>
      <c r="C266" s="129" t="s">
        <v>5</v>
      </c>
      <c r="D266" s="129" t="s">
        <v>112</v>
      </c>
      <c r="E266" s="129" t="s">
        <v>535</v>
      </c>
      <c r="F266" s="147" t="s">
        <v>528</v>
      </c>
      <c r="G266" s="175">
        <v>23007.6</v>
      </c>
      <c r="H266" s="22">
        <v>5628.5</v>
      </c>
      <c r="I266" s="22" t="e">
        <f>SUM(H266/G272*100)</f>
        <v>#DIV/0!</v>
      </c>
    </row>
    <row r="267" spans="1:9" s="76" customFormat="1" ht="15" hidden="1">
      <c r="A267" s="103" t="s">
        <v>55</v>
      </c>
      <c r="B267" s="199"/>
      <c r="C267" s="129" t="s">
        <v>5</v>
      </c>
      <c r="D267" s="129" t="s">
        <v>112</v>
      </c>
      <c r="E267" s="129" t="s">
        <v>535</v>
      </c>
      <c r="F267" s="147" t="s">
        <v>537</v>
      </c>
      <c r="G267" s="175"/>
      <c r="H267" s="22">
        <f>SUM(H268)</f>
        <v>0</v>
      </c>
      <c r="I267" s="22" t="e">
        <f>SUM(H267/#REF!*100)</f>
        <v>#REF!</v>
      </c>
    </row>
    <row r="268" spans="1:9" ht="28.5" hidden="1">
      <c r="A268" s="103" t="s">
        <v>538</v>
      </c>
      <c r="B268" s="199"/>
      <c r="C268" s="129" t="s">
        <v>5</v>
      </c>
      <c r="D268" s="129" t="s">
        <v>112</v>
      </c>
      <c r="E268" s="129" t="s">
        <v>535</v>
      </c>
      <c r="F268" s="147" t="s">
        <v>539</v>
      </c>
      <c r="G268" s="175"/>
      <c r="H268" s="22"/>
      <c r="I268" s="22" t="e">
        <f>SUM(H268/#REF!*100)</f>
        <v>#REF!</v>
      </c>
    </row>
    <row r="269" spans="1:9" ht="42.75">
      <c r="A269" s="103" t="s">
        <v>540</v>
      </c>
      <c r="B269" s="199"/>
      <c r="C269" s="129" t="s">
        <v>5</v>
      </c>
      <c r="D269" s="129" t="s">
        <v>112</v>
      </c>
      <c r="E269" s="129" t="s">
        <v>429</v>
      </c>
      <c r="F269" s="147"/>
      <c r="G269" s="175">
        <f>SUM(G270)</f>
        <v>23797</v>
      </c>
      <c r="H269" s="22" t="e">
        <f>SUM(H270)</f>
        <v>#REF!</v>
      </c>
      <c r="I269" s="22" t="e">
        <f>SUM(H269/#REF!*100)</f>
        <v>#REF!</v>
      </c>
    </row>
    <row r="270" spans="1:9" ht="28.5">
      <c r="A270" s="103" t="s">
        <v>536</v>
      </c>
      <c r="B270" s="199"/>
      <c r="C270" s="129" t="s">
        <v>5</v>
      </c>
      <c r="D270" s="129" t="s">
        <v>112</v>
      </c>
      <c r="E270" s="129" t="s">
        <v>429</v>
      </c>
      <c r="F270" s="147" t="s">
        <v>528</v>
      </c>
      <c r="G270" s="175">
        <v>23797</v>
      </c>
      <c r="H270" s="22" t="e">
        <f>SUM(H271)+#REF!</f>
        <v>#REF!</v>
      </c>
      <c r="I270" s="22" t="e">
        <f>SUM(H270/#REF!*100)</f>
        <v>#REF!</v>
      </c>
    </row>
    <row r="271" spans="1:9" s="76" customFormat="1" ht="15" hidden="1">
      <c r="A271" s="103" t="s">
        <v>55</v>
      </c>
      <c r="B271" s="199"/>
      <c r="C271" s="129" t="s">
        <v>5</v>
      </c>
      <c r="D271" s="129" t="s">
        <v>112</v>
      </c>
      <c r="E271" s="129" t="s">
        <v>429</v>
      </c>
      <c r="F271" s="147" t="s">
        <v>537</v>
      </c>
      <c r="G271" s="175"/>
      <c r="H271" s="22" t="e">
        <f>SUM(H272+#REF!)</f>
        <v>#REF!</v>
      </c>
      <c r="I271" s="22" t="e">
        <f>SUM(H271/#REF!*100)</f>
        <v>#REF!</v>
      </c>
    </row>
    <row r="272" spans="1:9" ht="28.5" hidden="1">
      <c r="A272" s="103" t="s">
        <v>538</v>
      </c>
      <c r="B272" s="199"/>
      <c r="C272" s="129" t="s">
        <v>5</v>
      </c>
      <c r="D272" s="129" t="s">
        <v>112</v>
      </c>
      <c r="E272" s="129" t="s">
        <v>429</v>
      </c>
      <c r="F272" s="147" t="s">
        <v>539</v>
      </c>
      <c r="G272" s="175"/>
      <c r="H272" s="22"/>
      <c r="I272" s="22" t="e">
        <f>SUM(H272/#REF!*100)</f>
        <v>#REF!</v>
      </c>
    </row>
    <row r="273" spans="1:9" ht="15" hidden="1">
      <c r="A273" s="99" t="s">
        <v>233</v>
      </c>
      <c r="B273" s="46"/>
      <c r="C273" s="128" t="s">
        <v>383</v>
      </c>
      <c r="D273" s="128"/>
      <c r="E273" s="128"/>
      <c r="F273" s="143"/>
      <c r="G273" s="178">
        <f>SUM(G274)</f>
        <v>0</v>
      </c>
      <c r="H273" s="22" t="e">
        <f>SUM(H274+H281+H292+#REF!)</f>
        <v>#REF!</v>
      </c>
      <c r="I273" s="22" t="e">
        <f>SUM(H273/G279*100)</f>
        <v>#REF!</v>
      </c>
    </row>
    <row r="274" spans="1:9" ht="15" hidden="1">
      <c r="A274" s="99" t="s">
        <v>227</v>
      </c>
      <c r="B274" s="46"/>
      <c r="C274" s="55" t="s">
        <v>383</v>
      </c>
      <c r="D274" s="55" t="s">
        <v>121</v>
      </c>
      <c r="E274" s="128"/>
      <c r="F274" s="143"/>
      <c r="G274" s="177">
        <f>SUM(G275)</f>
        <v>0</v>
      </c>
      <c r="H274" s="22">
        <f>SUM(H275)</f>
        <v>9708.8</v>
      </c>
      <c r="I274" s="22">
        <f>SUM(H274/G280*100)</f>
        <v>51.534276387377574</v>
      </c>
    </row>
    <row r="275" spans="1:9" ht="15" hidden="1">
      <c r="A275" s="105" t="s">
        <v>118</v>
      </c>
      <c r="B275" s="54"/>
      <c r="C275" s="55" t="s">
        <v>383</v>
      </c>
      <c r="D275" s="55" t="s">
        <v>121</v>
      </c>
      <c r="E275" s="128" t="s">
        <v>119</v>
      </c>
      <c r="F275" s="143"/>
      <c r="G275" s="177">
        <f>SUM(G276)</f>
        <v>0</v>
      </c>
      <c r="H275" s="22">
        <f>SUM(H276)</f>
        <v>9708.8</v>
      </c>
      <c r="I275" s="22">
        <f>SUM(H275/G281*100)</f>
        <v>51.534276387377574</v>
      </c>
    </row>
    <row r="276" spans="1:9" ht="28.5" hidden="1">
      <c r="A276" s="108" t="s">
        <v>136</v>
      </c>
      <c r="B276" s="46"/>
      <c r="C276" s="55" t="s">
        <v>383</v>
      </c>
      <c r="D276" s="55" t="s">
        <v>121</v>
      </c>
      <c r="E276" s="128" t="s">
        <v>44</v>
      </c>
      <c r="F276" s="143"/>
      <c r="G276" s="177">
        <f>SUM(G277)</f>
        <v>0</v>
      </c>
      <c r="H276" s="22">
        <f>SUM(H277+H279)</f>
        <v>9708.8</v>
      </c>
      <c r="I276" s="22">
        <f>SUM(H276/G282*100)</f>
        <v>340.57599887746863</v>
      </c>
    </row>
    <row r="277" spans="1:9" s="92" customFormat="1" ht="15" hidden="1">
      <c r="A277" s="108" t="s">
        <v>124</v>
      </c>
      <c r="B277" s="46"/>
      <c r="C277" s="55" t="s">
        <v>383</v>
      </c>
      <c r="D277" s="55" t="s">
        <v>121</v>
      </c>
      <c r="E277" s="128" t="s">
        <v>44</v>
      </c>
      <c r="F277" s="143" t="s">
        <v>125</v>
      </c>
      <c r="G277" s="177"/>
      <c r="H277" s="22">
        <v>122.5</v>
      </c>
      <c r="I277" s="22">
        <f>SUM(H277/G283*100)</f>
        <v>4.308980266629146</v>
      </c>
    </row>
    <row r="278" spans="1:9" s="92" customFormat="1" ht="15">
      <c r="A278" s="102" t="s">
        <v>247</v>
      </c>
      <c r="B278" s="145" t="s">
        <v>248</v>
      </c>
      <c r="C278" s="133"/>
      <c r="D278" s="133"/>
      <c r="E278" s="133"/>
      <c r="F278" s="196"/>
      <c r="G278" s="184">
        <f>SUM(G279+G313+G317)+G302+G306</f>
        <v>101279.7</v>
      </c>
      <c r="H278" s="22"/>
      <c r="I278" s="22"/>
    </row>
    <row r="279" spans="1:9" s="92" customFormat="1" ht="15">
      <c r="A279" s="99" t="s">
        <v>422</v>
      </c>
      <c r="B279" s="46"/>
      <c r="C279" s="55" t="s">
        <v>423</v>
      </c>
      <c r="D279" s="55"/>
      <c r="E279" s="55"/>
      <c r="F279" s="142"/>
      <c r="G279" s="177">
        <f>SUM(G280+G287+G290)</f>
        <v>29425.6</v>
      </c>
      <c r="H279" s="22">
        <f>SUM(H280)</f>
        <v>9586.3</v>
      </c>
      <c r="I279" s="22">
        <f aca="true" t="shared" si="7" ref="I279:I288">SUM(H279/G285*100)</f>
        <v>59.956344441108776</v>
      </c>
    </row>
    <row r="280" spans="1:9" ht="28.5">
      <c r="A280" s="99" t="s">
        <v>354</v>
      </c>
      <c r="B280" s="46"/>
      <c r="C280" s="55" t="s">
        <v>423</v>
      </c>
      <c r="D280" s="55" t="s">
        <v>355</v>
      </c>
      <c r="E280" s="55"/>
      <c r="F280" s="142"/>
      <c r="G280" s="177">
        <f>SUM(G281)</f>
        <v>18839.5</v>
      </c>
      <c r="H280" s="22">
        <v>9586.3</v>
      </c>
      <c r="I280" s="22">
        <f t="shared" si="7"/>
        <v>59.956344441108776</v>
      </c>
    </row>
    <row r="281" spans="1:9" ht="28.5">
      <c r="A281" s="99" t="s">
        <v>89</v>
      </c>
      <c r="B281" s="46"/>
      <c r="C281" s="55" t="s">
        <v>423</v>
      </c>
      <c r="D281" s="55" t="s">
        <v>355</v>
      </c>
      <c r="E281" s="55" t="s">
        <v>90</v>
      </c>
      <c r="F281" s="142"/>
      <c r="G281" s="177">
        <f>SUM(G282)+G286</f>
        <v>18839.5</v>
      </c>
      <c r="H281" s="22" t="e">
        <f>SUM(H282)</f>
        <v>#REF!</v>
      </c>
      <c r="I281" s="22" t="e">
        <f t="shared" si="7"/>
        <v>#REF!</v>
      </c>
    </row>
    <row r="282" spans="1:9" ht="15">
      <c r="A282" s="99" t="s">
        <v>97</v>
      </c>
      <c r="B282" s="46"/>
      <c r="C282" s="55" t="s">
        <v>423</v>
      </c>
      <c r="D282" s="55" t="s">
        <v>355</v>
      </c>
      <c r="E282" s="55" t="s">
        <v>99</v>
      </c>
      <c r="F282" s="142"/>
      <c r="G282" s="177">
        <f>SUM(G283+G284)</f>
        <v>2850.7000000000003</v>
      </c>
      <c r="H282" s="22" t="e">
        <f>SUM(#REF!)</f>
        <v>#REF!</v>
      </c>
      <c r="I282" s="22" t="e">
        <f t="shared" si="7"/>
        <v>#REF!</v>
      </c>
    </row>
    <row r="283" spans="1:9" ht="28.5">
      <c r="A283" s="99" t="s">
        <v>459</v>
      </c>
      <c r="B283" s="46"/>
      <c r="C283" s="55" t="s">
        <v>98</v>
      </c>
      <c r="D283" s="55" t="s">
        <v>355</v>
      </c>
      <c r="E283" s="55" t="s">
        <v>99</v>
      </c>
      <c r="F283" s="144" t="s">
        <v>460</v>
      </c>
      <c r="G283" s="177">
        <v>2842.9</v>
      </c>
      <c r="H283" s="22" t="e">
        <f>SUM(#REF!)</f>
        <v>#REF!</v>
      </c>
      <c r="I283" s="22" t="e">
        <f t="shared" si="7"/>
        <v>#REF!</v>
      </c>
    </row>
    <row r="284" spans="1:9" s="78" customFormat="1" ht="15">
      <c r="A284" s="99" t="s">
        <v>464</v>
      </c>
      <c r="B284" s="46"/>
      <c r="C284" s="55" t="s">
        <v>423</v>
      </c>
      <c r="D284" s="55" t="s">
        <v>355</v>
      </c>
      <c r="E284" s="55" t="s">
        <v>99</v>
      </c>
      <c r="F284" s="142" t="s">
        <v>110</v>
      </c>
      <c r="G284" s="178">
        <v>7.8</v>
      </c>
      <c r="H284" s="67" t="e">
        <f>SUM(H285+#REF!+H371+#REF!)</f>
        <v>#REF!</v>
      </c>
      <c r="I284" s="22" t="e">
        <f t="shared" si="7"/>
        <v>#REF!</v>
      </c>
    </row>
    <row r="285" spans="1:9" s="89" customFormat="1" ht="28.5">
      <c r="A285" s="99" t="s">
        <v>356</v>
      </c>
      <c r="B285" s="46"/>
      <c r="C285" s="55" t="s">
        <v>98</v>
      </c>
      <c r="D285" s="55" t="s">
        <v>355</v>
      </c>
      <c r="E285" s="55" t="s">
        <v>357</v>
      </c>
      <c r="F285" s="142"/>
      <c r="G285" s="177">
        <f>SUM(G286)</f>
        <v>15988.8</v>
      </c>
      <c r="H285" s="22" t="e">
        <f>SUM(H288+H314)+H286</f>
        <v>#REF!</v>
      </c>
      <c r="I285" s="22" t="e">
        <f t="shared" si="7"/>
        <v>#REF!</v>
      </c>
    </row>
    <row r="286" spans="1:9" ht="28.5">
      <c r="A286" s="99" t="s">
        <v>459</v>
      </c>
      <c r="B286" s="46"/>
      <c r="C286" s="55" t="s">
        <v>98</v>
      </c>
      <c r="D286" s="55" t="s">
        <v>355</v>
      </c>
      <c r="E286" s="55" t="s">
        <v>357</v>
      </c>
      <c r="F286" s="144" t="s">
        <v>460</v>
      </c>
      <c r="G286" s="177">
        <v>15988.8</v>
      </c>
      <c r="H286" s="22">
        <f>SUM(H287)</f>
        <v>5048</v>
      </c>
      <c r="I286" s="22">
        <f t="shared" si="7"/>
        <v>2891.179839633448</v>
      </c>
    </row>
    <row r="287" spans="1:9" ht="15">
      <c r="A287" s="99" t="s">
        <v>371</v>
      </c>
      <c r="B287" s="46"/>
      <c r="C287" s="55" t="s">
        <v>423</v>
      </c>
      <c r="D287" s="55" t="s">
        <v>383</v>
      </c>
      <c r="E287" s="55"/>
      <c r="F287" s="142"/>
      <c r="G287" s="177">
        <f>SUM(G288)</f>
        <v>5000</v>
      </c>
      <c r="H287" s="22">
        <v>5048</v>
      </c>
      <c r="I287" s="22">
        <f t="shared" si="7"/>
        <v>3076.1730652041438</v>
      </c>
    </row>
    <row r="288" spans="1:9" ht="15">
      <c r="A288" s="99" t="s">
        <v>351</v>
      </c>
      <c r="B288" s="46"/>
      <c r="C288" s="55" t="s">
        <v>423</v>
      </c>
      <c r="D288" s="55" t="s">
        <v>383</v>
      </c>
      <c r="E288" s="55" t="s">
        <v>471</v>
      </c>
      <c r="F288" s="142"/>
      <c r="G288" s="177">
        <f>SUM(G289)</f>
        <v>5000</v>
      </c>
      <c r="H288" s="22" t="e">
        <f>SUM(H289)+#REF!+H313</f>
        <v>#REF!</v>
      </c>
      <c r="I288" s="22" t="e">
        <f t="shared" si="7"/>
        <v>#REF!</v>
      </c>
    </row>
    <row r="289" spans="1:9" ht="15">
      <c r="A289" s="99" t="s">
        <v>465</v>
      </c>
      <c r="B289" s="46"/>
      <c r="C289" s="55" t="s">
        <v>423</v>
      </c>
      <c r="D289" s="55" t="s">
        <v>383</v>
      </c>
      <c r="E289" s="55" t="s">
        <v>471</v>
      </c>
      <c r="F289" s="142" t="s">
        <v>165</v>
      </c>
      <c r="G289" s="177">
        <v>5000</v>
      </c>
      <c r="H289" s="22"/>
      <c r="I289" s="22"/>
    </row>
    <row r="290" spans="1:9" ht="15">
      <c r="A290" s="99" t="s">
        <v>102</v>
      </c>
      <c r="B290" s="46"/>
      <c r="C290" s="55" t="s">
        <v>423</v>
      </c>
      <c r="D290" s="55" t="s">
        <v>224</v>
      </c>
      <c r="E290" s="55"/>
      <c r="F290" s="143"/>
      <c r="G290" s="177">
        <f>SUM(G291)</f>
        <v>5586.1</v>
      </c>
      <c r="H290" s="22">
        <f>SUM(H291)</f>
        <v>0</v>
      </c>
      <c r="I290" s="22">
        <f>SUM(H290/G296*100)</f>
        <v>0</v>
      </c>
    </row>
    <row r="291" spans="1:9" ht="28.5">
      <c r="A291" s="99" t="s">
        <v>461</v>
      </c>
      <c r="B291" s="46"/>
      <c r="C291" s="55" t="s">
        <v>423</v>
      </c>
      <c r="D291" s="55" t="s">
        <v>224</v>
      </c>
      <c r="E291" s="55" t="s">
        <v>462</v>
      </c>
      <c r="F291" s="143"/>
      <c r="G291" s="178">
        <f>SUM(G292+G295+G297)</f>
        <v>5586.1</v>
      </c>
      <c r="H291" s="22"/>
      <c r="I291" s="22"/>
    </row>
    <row r="292" spans="1:9" ht="15">
      <c r="A292" s="99" t="s">
        <v>450</v>
      </c>
      <c r="B292" s="46"/>
      <c r="C292" s="55" t="s">
        <v>423</v>
      </c>
      <c r="D292" s="55" t="s">
        <v>224</v>
      </c>
      <c r="E292" s="55" t="s">
        <v>463</v>
      </c>
      <c r="F292" s="142"/>
      <c r="G292" s="178">
        <f>SUM(G293:G294)</f>
        <v>174.6</v>
      </c>
      <c r="H292" s="22" t="e">
        <f>SUM(H293+#REF!)</f>
        <v>#REF!</v>
      </c>
      <c r="I292" s="22" t="e">
        <f>SUM(H292/G298*100)</f>
        <v>#REF!</v>
      </c>
    </row>
    <row r="293" spans="1:9" ht="15">
      <c r="A293" s="99" t="s">
        <v>464</v>
      </c>
      <c r="B293" s="46"/>
      <c r="C293" s="55" t="s">
        <v>423</v>
      </c>
      <c r="D293" s="55" t="s">
        <v>224</v>
      </c>
      <c r="E293" s="55" t="s">
        <v>463</v>
      </c>
      <c r="F293" s="142" t="s">
        <v>110</v>
      </c>
      <c r="G293" s="178">
        <v>164.1</v>
      </c>
      <c r="H293" s="22" t="e">
        <f>SUM(#REF!+H298+#REF!)</f>
        <v>#REF!</v>
      </c>
      <c r="I293" s="22" t="e">
        <f>SUM(H293/G299*100)</f>
        <v>#REF!</v>
      </c>
    </row>
    <row r="294" spans="1:9" ht="15">
      <c r="A294" s="99" t="s">
        <v>465</v>
      </c>
      <c r="B294" s="46"/>
      <c r="C294" s="55" t="s">
        <v>423</v>
      </c>
      <c r="D294" s="55" t="s">
        <v>224</v>
      </c>
      <c r="E294" s="55" t="s">
        <v>463</v>
      </c>
      <c r="F294" s="142" t="s">
        <v>165</v>
      </c>
      <c r="G294" s="178">
        <v>10.5</v>
      </c>
      <c r="H294" s="22"/>
      <c r="I294" s="22"/>
    </row>
    <row r="295" spans="1:9" s="93" customFormat="1" ht="28.5">
      <c r="A295" s="99" t="s">
        <v>451</v>
      </c>
      <c r="B295" s="46"/>
      <c r="C295" s="55" t="s">
        <v>423</v>
      </c>
      <c r="D295" s="55" t="s">
        <v>224</v>
      </c>
      <c r="E295" s="55" t="s">
        <v>466</v>
      </c>
      <c r="F295" s="142"/>
      <c r="G295" s="178">
        <f>SUM(G296)</f>
        <v>200</v>
      </c>
      <c r="H295" s="22" t="e">
        <f>SUM(#REF!+H298+#REF!+#REF!+#REF!)</f>
        <v>#REF!</v>
      </c>
      <c r="I295" s="22" t="e">
        <f>SUM(H295/G313*100)</f>
        <v>#REF!</v>
      </c>
    </row>
    <row r="296" spans="1:9" ht="15">
      <c r="A296" s="99" t="s">
        <v>464</v>
      </c>
      <c r="B296" s="46"/>
      <c r="C296" s="55" t="s">
        <v>423</v>
      </c>
      <c r="D296" s="55" t="s">
        <v>224</v>
      </c>
      <c r="E296" s="55" t="s">
        <v>466</v>
      </c>
      <c r="F296" s="142" t="s">
        <v>110</v>
      </c>
      <c r="G296" s="178">
        <v>200</v>
      </c>
      <c r="H296" s="22" t="e">
        <f>SUM(#REF!)</f>
        <v>#REF!</v>
      </c>
      <c r="I296" s="22" t="e">
        <f aca="true" t="shared" si="8" ref="I296:I301">SUM(H296/G315*100)</f>
        <v>#REF!</v>
      </c>
    </row>
    <row r="297" spans="1:9" ht="28.5">
      <c r="A297" s="100" t="s">
        <v>467</v>
      </c>
      <c r="B297" s="46"/>
      <c r="C297" s="55" t="s">
        <v>423</v>
      </c>
      <c r="D297" s="55" t="s">
        <v>224</v>
      </c>
      <c r="E297" s="55" t="s">
        <v>468</v>
      </c>
      <c r="F297" s="144"/>
      <c r="G297" s="178">
        <f>SUM(G298+G299+G301)</f>
        <v>5211.5</v>
      </c>
      <c r="H297" s="22"/>
      <c r="I297" s="22">
        <f t="shared" si="8"/>
        <v>0</v>
      </c>
    </row>
    <row r="298" spans="1:9" ht="15">
      <c r="A298" s="99" t="s">
        <v>464</v>
      </c>
      <c r="B298" s="46"/>
      <c r="C298" s="55" t="s">
        <v>423</v>
      </c>
      <c r="D298" s="55" t="s">
        <v>224</v>
      </c>
      <c r="E298" s="55" t="s">
        <v>468</v>
      </c>
      <c r="F298" s="144" t="s">
        <v>110</v>
      </c>
      <c r="G298" s="177">
        <v>5188.7</v>
      </c>
      <c r="H298" s="22">
        <f>SUM(H299)</f>
        <v>0</v>
      </c>
      <c r="I298" s="22">
        <f t="shared" si="8"/>
        <v>0</v>
      </c>
    </row>
    <row r="299" spans="1:9" ht="15">
      <c r="A299" s="99" t="s">
        <v>465</v>
      </c>
      <c r="B299" s="46"/>
      <c r="C299" s="55" t="s">
        <v>423</v>
      </c>
      <c r="D299" s="55" t="s">
        <v>224</v>
      </c>
      <c r="E299" s="55" t="s">
        <v>468</v>
      </c>
      <c r="F299" s="144" t="s">
        <v>165</v>
      </c>
      <c r="G299" s="177">
        <f>22.8</f>
        <v>22.8</v>
      </c>
      <c r="H299" s="22">
        <f>SUM(H300)</f>
        <v>0</v>
      </c>
      <c r="I299" s="22">
        <f t="shared" si="8"/>
        <v>0</v>
      </c>
    </row>
    <row r="300" spans="1:9" ht="15" hidden="1">
      <c r="A300" s="100" t="s">
        <v>475</v>
      </c>
      <c r="B300" s="46"/>
      <c r="C300" s="55" t="s">
        <v>423</v>
      </c>
      <c r="D300" s="55" t="s">
        <v>224</v>
      </c>
      <c r="E300" s="55" t="s">
        <v>476</v>
      </c>
      <c r="F300" s="142"/>
      <c r="G300" s="177">
        <f>SUM(G301)</f>
        <v>0</v>
      </c>
      <c r="H300" s="22">
        <f>SUM(H301)</f>
        <v>0</v>
      </c>
      <c r="I300" s="22">
        <f t="shared" si="8"/>
        <v>0</v>
      </c>
    </row>
    <row r="301" spans="1:9" ht="15" hidden="1">
      <c r="A301" s="99" t="s">
        <v>465</v>
      </c>
      <c r="B301" s="46"/>
      <c r="C301" s="55" t="s">
        <v>423</v>
      </c>
      <c r="D301" s="55" t="s">
        <v>224</v>
      </c>
      <c r="E301" s="55" t="s">
        <v>476</v>
      </c>
      <c r="F301" s="142" t="s">
        <v>165</v>
      </c>
      <c r="G301" s="177"/>
      <c r="H301" s="22">
        <f>SUM(H313)</f>
        <v>0</v>
      </c>
      <c r="I301" s="22">
        <f t="shared" si="8"/>
        <v>0</v>
      </c>
    </row>
    <row r="302" spans="1:9" ht="15">
      <c r="A302" s="99" t="s">
        <v>111</v>
      </c>
      <c r="B302" s="46"/>
      <c r="C302" s="129" t="s">
        <v>112</v>
      </c>
      <c r="D302" s="55"/>
      <c r="E302" s="55"/>
      <c r="F302" s="142"/>
      <c r="G302" s="177">
        <f>SUM(G303)</f>
        <v>8871</v>
      </c>
      <c r="H302" s="22">
        <v>50612.1</v>
      </c>
      <c r="I302" s="22" t="e">
        <f>SUM(H302/#REF!*100)</f>
        <v>#REF!</v>
      </c>
    </row>
    <row r="303" spans="1:9" ht="15">
      <c r="A303" s="103" t="s">
        <v>382</v>
      </c>
      <c r="B303" s="199"/>
      <c r="C303" s="129" t="s">
        <v>112</v>
      </c>
      <c r="D303" s="129" t="s">
        <v>372</v>
      </c>
      <c r="E303" s="55"/>
      <c r="F303" s="143"/>
      <c r="G303" s="177">
        <f>SUM(G304)</f>
        <v>8871</v>
      </c>
      <c r="H303" s="22">
        <v>5387.8</v>
      </c>
      <c r="I303" s="22" t="e">
        <f>SUM(H303/#REF!*100)</f>
        <v>#REF!</v>
      </c>
    </row>
    <row r="304" spans="1:9" ht="15">
      <c r="A304" s="100" t="s">
        <v>475</v>
      </c>
      <c r="B304" s="46"/>
      <c r="C304" s="129" t="s">
        <v>112</v>
      </c>
      <c r="D304" s="129" t="s">
        <v>372</v>
      </c>
      <c r="E304" s="55" t="s">
        <v>476</v>
      </c>
      <c r="F304" s="142"/>
      <c r="G304" s="177">
        <f>SUM(G305)</f>
        <v>8871</v>
      </c>
      <c r="H304" s="22"/>
      <c r="I304" s="22"/>
    </row>
    <row r="305" spans="1:9" ht="15">
      <c r="A305" s="99" t="s">
        <v>465</v>
      </c>
      <c r="B305" s="46"/>
      <c r="C305" s="129" t="s">
        <v>112</v>
      </c>
      <c r="D305" s="129" t="s">
        <v>372</v>
      </c>
      <c r="E305" s="55" t="s">
        <v>476</v>
      </c>
      <c r="F305" s="142" t="s">
        <v>165</v>
      </c>
      <c r="G305" s="177">
        <v>8871</v>
      </c>
      <c r="H305" s="22"/>
      <c r="I305" s="22"/>
    </row>
    <row r="306" spans="1:9" ht="15">
      <c r="A306" s="103" t="s">
        <v>388</v>
      </c>
      <c r="B306" s="54"/>
      <c r="C306" s="128" t="s">
        <v>121</v>
      </c>
      <c r="D306" s="128"/>
      <c r="E306" s="128"/>
      <c r="F306" s="144"/>
      <c r="G306" s="182">
        <f>SUM(G307)+G310</f>
        <v>20400</v>
      </c>
      <c r="H306" s="22"/>
      <c r="I306" s="22"/>
    </row>
    <row r="307" spans="1:9" ht="15">
      <c r="A307" s="103" t="s">
        <v>45</v>
      </c>
      <c r="B307" s="199"/>
      <c r="C307" s="129" t="s">
        <v>121</v>
      </c>
      <c r="D307" s="129" t="s">
        <v>425</v>
      </c>
      <c r="E307" s="129"/>
      <c r="F307" s="147"/>
      <c r="G307" s="175">
        <f>G308</f>
        <v>8600</v>
      </c>
      <c r="H307" s="22">
        <v>9483.6</v>
      </c>
      <c r="I307" s="22">
        <f>SUM(H307/G315*100)</f>
        <v>75.36775516367192</v>
      </c>
    </row>
    <row r="308" spans="1:9" ht="15">
      <c r="A308" s="100" t="s">
        <v>475</v>
      </c>
      <c r="B308" s="46"/>
      <c r="C308" s="129" t="s">
        <v>121</v>
      </c>
      <c r="D308" s="129" t="s">
        <v>425</v>
      </c>
      <c r="E308" s="55" t="s">
        <v>476</v>
      </c>
      <c r="F308" s="142"/>
      <c r="G308" s="175">
        <f>G309</f>
        <v>8600</v>
      </c>
      <c r="H308" s="22"/>
      <c r="I308" s="22"/>
    </row>
    <row r="309" spans="1:9" ht="15">
      <c r="A309" s="99" t="s">
        <v>465</v>
      </c>
      <c r="B309" s="46"/>
      <c r="C309" s="129" t="s">
        <v>121</v>
      </c>
      <c r="D309" s="129" t="s">
        <v>425</v>
      </c>
      <c r="E309" s="55" t="s">
        <v>476</v>
      </c>
      <c r="F309" s="142" t="s">
        <v>165</v>
      </c>
      <c r="G309" s="177">
        <v>8600</v>
      </c>
      <c r="H309" s="22"/>
      <c r="I309" s="22"/>
    </row>
    <row r="310" spans="1:9" ht="15">
      <c r="A310" s="103" t="s">
        <v>54</v>
      </c>
      <c r="B310" s="203"/>
      <c r="C310" s="129" t="s">
        <v>121</v>
      </c>
      <c r="D310" s="129" t="s">
        <v>121</v>
      </c>
      <c r="E310" s="206"/>
      <c r="F310" s="207"/>
      <c r="G310" s="175">
        <f>G311</f>
        <v>11800</v>
      </c>
      <c r="H310" s="22"/>
      <c r="I310" s="22"/>
    </row>
    <row r="311" spans="1:9" ht="15">
      <c r="A311" s="100" t="s">
        <v>475</v>
      </c>
      <c r="B311" s="46"/>
      <c r="C311" s="129" t="s">
        <v>121</v>
      </c>
      <c r="D311" s="129" t="s">
        <v>121</v>
      </c>
      <c r="E311" s="55" t="s">
        <v>476</v>
      </c>
      <c r="F311" s="142"/>
      <c r="G311" s="175">
        <f>G312</f>
        <v>11800</v>
      </c>
      <c r="H311" s="22"/>
      <c r="I311" s="22"/>
    </row>
    <row r="312" spans="1:9" ht="15">
      <c r="A312" s="99" t="s">
        <v>465</v>
      </c>
      <c r="B312" s="46"/>
      <c r="C312" s="129" t="s">
        <v>121</v>
      </c>
      <c r="D312" s="129" t="s">
        <v>121</v>
      </c>
      <c r="E312" s="55" t="s">
        <v>476</v>
      </c>
      <c r="F312" s="142" t="s">
        <v>165</v>
      </c>
      <c r="G312" s="177">
        <v>11800</v>
      </c>
      <c r="H312" s="22"/>
      <c r="I312" s="22"/>
    </row>
    <row r="313" spans="1:9" ht="15">
      <c r="A313" s="99" t="s">
        <v>176</v>
      </c>
      <c r="B313" s="46"/>
      <c r="C313" s="55" t="s">
        <v>5</v>
      </c>
      <c r="D313" s="55" t="s">
        <v>177</v>
      </c>
      <c r="E313" s="55"/>
      <c r="F313" s="142"/>
      <c r="G313" s="177">
        <f>SUM(G314)</f>
        <v>12583.1</v>
      </c>
      <c r="H313" s="22">
        <f>SUM(H314)</f>
        <v>0</v>
      </c>
      <c r="I313" s="22">
        <f>SUM(H313/G321*100)</f>
        <v>0</v>
      </c>
    </row>
    <row r="314" spans="1:9" ht="15">
      <c r="A314" s="99" t="s">
        <v>157</v>
      </c>
      <c r="B314" s="46"/>
      <c r="C314" s="55" t="s">
        <v>5</v>
      </c>
      <c r="D314" s="55" t="s">
        <v>355</v>
      </c>
      <c r="E314" s="55"/>
      <c r="F314" s="142"/>
      <c r="G314" s="177">
        <f>SUM(G315)</f>
        <v>12583.1</v>
      </c>
      <c r="H314" s="22"/>
      <c r="I314" s="22" t="e">
        <f>SUM(H314/#REF!*100)</f>
        <v>#REF!</v>
      </c>
    </row>
    <row r="315" spans="1:9" ht="28.5">
      <c r="A315" s="100" t="s">
        <v>595</v>
      </c>
      <c r="B315" s="46"/>
      <c r="C315" s="55" t="s">
        <v>5</v>
      </c>
      <c r="D315" s="55" t="s">
        <v>355</v>
      </c>
      <c r="E315" s="55" t="s">
        <v>594</v>
      </c>
      <c r="F315" s="142"/>
      <c r="G315" s="177">
        <f>SUM(G316)</f>
        <v>12583.1</v>
      </c>
      <c r="H315" s="65" t="e">
        <f>SUM(#REF!+#REF!)+#REF!+#REF!</f>
        <v>#REF!</v>
      </c>
      <c r="I315" s="65" t="e">
        <f>SUM(H315/G322*100)</f>
        <v>#REF!</v>
      </c>
    </row>
    <row r="316" spans="1:9" ht="15">
      <c r="A316" s="99" t="s">
        <v>465</v>
      </c>
      <c r="B316" s="46"/>
      <c r="C316" s="55" t="s">
        <v>5</v>
      </c>
      <c r="D316" s="55" t="s">
        <v>355</v>
      </c>
      <c r="E316" s="55" t="s">
        <v>594</v>
      </c>
      <c r="F316" s="142" t="s">
        <v>165</v>
      </c>
      <c r="G316" s="177">
        <v>12583.1</v>
      </c>
      <c r="H316" s="22" t="e">
        <f>SUM(H317)</f>
        <v>#REF!</v>
      </c>
      <c r="I316" s="22" t="e">
        <f>SUM(H316/#REF!*100)</f>
        <v>#REF!</v>
      </c>
    </row>
    <row r="317" spans="1:9" ht="15">
      <c r="A317" s="99" t="s">
        <v>366</v>
      </c>
      <c r="B317" s="46"/>
      <c r="C317" s="55" t="s">
        <v>224</v>
      </c>
      <c r="D317" s="55" t="s">
        <v>177</v>
      </c>
      <c r="E317" s="55"/>
      <c r="F317" s="142"/>
      <c r="G317" s="177">
        <f>SUM(G318)</f>
        <v>30000</v>
      </c>
      <c r="H317" s="22" t="e">
        <f>SUM(H318+H320)</f>
        <v>#REF!</v>
      </c>
      <c r="I317" s="22" t="e">
        <f>SUM(H317/#REF!*100)</f>
        <v>#REF!</v>
      </c>
    </row>
    <row r="318" spans="1:9" ht="15">
      <c r="A318" s="99" t="s">
        <v>225</v>
      </c>
      <c r="B318" s="46"/>
      <c r="C318" s="55" t="s">
        <v>224</v>
      </c>
      <c r="D318" s="55" t="s">
        <v>423</v>
      </c>
      <c r="E318" s="55"/>
      <c r="F318" s="142"/>
      <c r="G318" s="177">
        <f>SUM(G319)</f>
        <v>30000</v>
      </c>
      <c r="H318" s="22">
        <f>SUM(H319)</f>
        <v>8068.7</v>
      </c>
      <c r="I318" s="22" t="e">
        <f>SUM(H318/#REF!*100)</f>
        <v>#REF!</v>
      </c>
    </row>
    <row r="319" spans="1:9" ht="15">
      <c r="A319" s="99" t="s">
        <v>367</v>
      </c>
      <c r="B319" s="46"/>
      <c r="C319" s="55" t="s">
        <v>224</v>
      </c>
      <c r="D319" s="55" t="s">
        <v>423</v>
      </c>
      <c r="E319" s="55" t="s">
        <v>368</v>
      </c>
      <c r="F319" s="144"/>
      <c r="G319" s="177">
        <f>SUM(G321)</f>
        <v>30000</v>
      </c>
      <c r="H319" s="22">
        <v>8068.7</v>
      </c>
      <c r="I319" s="22" t="e">
        <f>SUM(H319/#REF!*100)</f>
        <v>#REF!</v>
      </c>
    </row>
    <row r="320" spans="1:9" ht="15">
      <c r="A320" s="99" t="s">
        <v>369</v>
      </c>
      <c r="B320" s="46"/>
      <c r="C320" s="55" t="s">
        <v>224</v>
      </c>
      <c r="D320" s="55" t="s">
        <v>423</v>
      </c>
      <c r="E320" s="55" t="s">
        <v>370</v>
      </c>
      <c r="F320" s="144"/>
      <c r="G320" s="177">
        <f>SUM(G321)</f>
        <v>30000</v>
      </c>
      <c r="H320" s="22" t="e">
        <f>SUM(H321)+#REF!+#REF!</f>
        <v>#REF!</v>
      </c>
      <c r="I320" s="22" t="e">
        <f>SUM(H320/#REF!*100)</f>
        <v>#REF!</v>
      </c>
    </row>
    <row r="321" spans="1:9" ht="15">
      <c r="A321" s="99" t="s">
        <v>472</v>
      </c>
      <c r="B321" s="46"/>
      <c r="C321" s="55" t="s">
        <v>224</v>
      </c>
      <c r="D321" s="55" t="s">
        <v>423</v>
      </c>
      <c r="E321" s="55" t="s">
        <v>370</v>
      </c>
      <c r="F321" s="144" t="s">
        <v>164</v>
      </c>
      <c r="G321" s="177">
        <v>30000</v>
      </c>
      <c r="H321" s="22" t="e">
        <f>SUM(H322+#REF!)</f>
        <v>#REF!</v>
      </c>
      <c r="I321" s="22" t="e">
        <f>SUM(H321/#REF!*100)</f>
        <v>#REF!</v>
      </c>
    </row>
    <row r="322" spans="1:9" ht="30">
      <c r="A322" s="102" t="s">
        <v>249</v>
      </c>
      <c r="B322" s="145" t="s">
        <v>250</v>
      </c>
      <c r="C322" s="133"/>
      <c r="D322" s="133"/>
      <c r="E322" s="133"/>
      <c r="F322" s="196"/>
      <c r="G322" s="184">
        <f>SUM(G323+G329+G356)</f>
        <v>946507.4</v>
      </c>
      <c r="H322" s="22" t="e">
        <f>SUM(H323:H323+#REF!+#REF!+#REF!)+#REF!</f>
        <v>#REF!</v>
      </c>
      <c r="I322" s="22" t="e">
        <f>SUM(H322/#REF!*100)</f>
        <v>#REF!</v>
      </c>
    </row>
    <row r="323" spans="1:9" ht="15">
      <c r="A323" s="99" t="s">
        <v>111</v>
      </c>
      <c r="B323" s="46"/>
      <c r="C323" s="129" t="s">
        <v>112</v>
      </c>
      <c r="D323" s="55"/>
      <c r="E323" s="55"/>
      <c r="F323" s="142"/>
      <c r="G323" s="177">
        <f>SUM(G324)</f>
        <v>2765.8</v>
      </c>
      <c r="H323" s="22">
        <v>50612.1</v>
      </c>
      <c r="I323" s="22" t="e">
        <f>SUM(H323/#REF!*100)</f>
        <v>#REF!</v>
      </c>
    </row>
    <row r="324" spans="1:9" ht="15">
      <c r="A324" s="103" t="s">
        <v>382</v>
      </c>
      <c r="B324" s="199"/>
      <c r="C324" s="129" t="s">
        <v>112</v>
      </c>
      <c r="D324" s="129" t="s">
        <v>372</v>
      </c>
      <c r="E324" s="55"/>
      <c r="F324" s="143"/>
      <c r="G324" s="177">
        <f>SUM(G325)</f>
        <v>2765.8</v>
      </c>
      <c r="H324" s="22">
        <v>5387.8</v>
      </c>
      <c r="I324" s="22" t="e">
        <f>SUM(H324/#REF!*100)</f>
        <v>#REF!</v>
      </c>
    </row>
    <row r="325" spans="1:9" ht="15">
      <c r="A325" s="103" t="s">
        <v>384</v>
      </c>
      <c r="B325" s="46"/>
      <c r="C325" s="129" t="s">
        <v>112</v>
      </c>
      <c r="D325" s="129" t="s">
        <v>372</v>
      </c>
      <c r="E325" s="128" t="s">
        <v>385</v>
      </c>
      <c r="F325" s="143"/>
      <c r="G325" s="177">
        <f>SUM(G326)</f>
        <v>2765.8</v>
      </c>
      <c r="H325" s="22" t="e">
        <f>SUM(H326)</f>
        <v>#REF!</v>
      </c>
      <c r="I325" s="22" t="e">
        <f>SUM(H325/#REF!*100)</f>
        <v>#REF!</v>
      </c>
    </row>
    <row r="326" spans="1:9" ht="15">
      <c r="A326" s="103" t="s">
        <v>11</v>
      </c>
      <c r="B326" s="199"/>
      <c r="C326" s="129" t="s">
        <v>112</v>
      </c>
      <c r="D326" s="129" t="s">
        <v>372</v>
      </c>
      <c r="E326" s="129" t="s">
        <v>592</v>
      </c>
      <c r="F326" s="147"/>
      <c r="G326" s="175">
        <f>SUM(G327)</f>
        <v>2765.8</v>
      </c>
      <c r="H326" s="22" t="e">
        <f>SUM(H327)</f>
        <v>#REF!</v>
      </c>
      <c r="I326" s="22" t="e">
        <f>SUM(H326/#REF!*100)</f>
        <v>#REF!</v>
      </c>
    </row>
    <row r="327" spans="1:9" ht="28.5">
      <c r="A327" s="103" t="s">
        <v>193</v>
      </c>
      <c r="B327" s="199"/>
      <c r="C327" s="129" t="s">
        <v>112</v>
      </c>
      <c r="D327" s="129" t="s">
        <v>372</v>
      </c>
      <c r="E327" s="129" t="s">
        <v>593</v>
      </c>
      <c r="F327" s="147"/>
      <c r="G327" s="175">
        <f>G328</f>
        <v>2765.8</v>
      </c>
      <c r="H327" s="22" t="e">
        <f>SUM(#REF!+#REF!)</f>
        <v>#REF!</v>
      </c>
      <c r="I327" s="22" t="e">
        <f>SUM(H327/#REF!*100)</f>
        <v>#REF!</v>
      </c>
    </row>
    <row r="328" spans="1:9" ht="28.5">
      <c r="A328" s="103" t="s">
        <v>489</v>
      </c>
      <c r="B328" s="199"/>
      <c r="C328" s="129" t="s">
        <v>112</v>
      </c>
      <c r="D328" s="129" t="s">
        <v>372</v>
      </c>
      <c r="E328" s="129" t="s">
        <v>593</v>
      </c>
      <c r="F328" s="147" t="s">
        <v>477</v>
      </c>
      <c r="G328" s="175">
        <f>2465.8+300</f>
        <v>2765.8</v>
      </c>
      <c r="H328" s="22">
        <v>1711.3</v>
      </c>
      <c r="I328" s="22" t="e">
        <f>SUM(H328/#REF!*100)</f>
        <v>#REF!</v>
      </c>
    </row>
    <row r="329" spans="1:9" ht="15">
      <c r="A329" s="99" t="s">
        <v>106</v>
      </c>
      <c r="B329" s="46"/>
      <c r="C329" s="55" t="s">
        <v>107</v>
      </c>
      <c r="D329" s="55"/>
      <c r="E329" s="55"/>
      <c r="F329" s="142"/>
      <c r="G329" s="177">
        <f>SUM(G330+G349)</f>
        <v>62934.4</v>
      </c>
      <c r="H329" s="22">
        <v>53118.9</v>
      </c>
      <c r="I329" s="22" t="e">
        <f>SUM(H329/G336*100)</f>
        <v>#DIV/0!</v>
      </c>
    </row>
    <row r="330" spans="1:9" ht="15">
      <c r="A330" s="99" t="s">
        <v>324</v>
      </c>
      <c r="B330" s="46"/>
      <c r="C330" s="128" t="s">
        <v>107</v>
      </c>
      <c r="D330" s="128" t="s">
        <v>425</v>
      </c>
      <c r="E330" s="55"/>
      <c r="F330" s="142"/>
      <c r="G330" s="177">
        <f>SUM(G331+G334+G337+G346)</f>
        <v>62934.4</v>
      </c>
      <c r="H330" s="22">
        <v>27.5</v>
      </c>
      <c r="I330" s="22" t="e">
        <f>SUM(H330/G341*100)</f>
        <v>#DIV/0!</v>
      </c>
    </row>
    <row r="331" spans="1:9" ht="15" hidden="1">
      <c r="A331" s="99" t="s">
        <v>325</v>
      </c>
      <c r="B331" s="145"/>
      <c r="C331" s="128" t="s">
        <v>107</v>
      </c>
      <c r="D331" s="128" t="s">
        <v>425</v>
      </c>
      <c r="E331" s="128" t="s">
        <v>326</v>
      </c>
      <c r="F331" s="143"/>
      <c r="G331" s="177">
        <f>SUM(G332)</f>
        <v>0</v>
      </c>
      <c r="H331" s="22">
        <f>SUM(H332)</f>
        <v>25635</v>
      </c>
      <c r="I331" s="22">
        <f>SUM(H331/G342*100)</f>
        <v>40.73289012050643</v>
      </c>
    </row>
    <row r="332" spans="1:9" ht="28.5" hidden="1">
      <c r="A332" s="99" t="s">
        <v>47</v>
      </c>
      <c r="B332" s="145"/>
      <c r="C332" s="128" t="s">
        <v>107</v>
      </c>
      <c r="D332" s="128" t="s">
        <v>425</v>
      </c>
      <c r="E332" s="128" t="s">
        <v>327</v>
      </c>
      <c r="F332" s="143"/>
      <c r="G332" s="177">
        <f>SUM(G333)</f>
        <v>0</v>
      </c>
      <c r="H332" s="22">
        <v>25635</v>
      </c>
      <c r="I332" s="22">
        <f>SUM(H332/G343*100)</f>
        <v>59.4768542579256</v>
      </c>
    </row>
    <row r="333" spans="1:9" ht="15" hidden="1">
      <c r="A333" s="105" t="s">
        <v>48</v>
      </c>
      <c r="B333" s="155"/>
      <c r="C333" s="128" t="s">
        <v>107</v>
      </c>
      <c r="D333" s="128" t="s">
        <v>425</v>
      </c>
      <c r="E333" s="128" t="s">
        <v>327</v>
      </c>
      <c r="F333" s="144" t="s">
        <v>235</v>
      </c>
      <c r="G333" s="177"/>
      <c r="H333" s="22" t="e">
        <f>SUM(H334)</f>
        <v>#REF!</v>
      </c>
      <c r="I333" s="22" t="e">
        <f aca="true" t="shared" si="9" ref="I333:I340">SUM(H333/G346*100)</f>
        <v>#REF!</v>
      </c>
    </row>
    <row r="334" spans="1:9" ht="15" hidden="1">
      <c r="A334" s="99" t="s">
        <v>301</v>
      </c>
      <c r="B334" s="46"/>
      <c r="C334" s="128" t="s">
        <v>107</v>
      </c>
      <c r="D334" s="128" t="s">
        <v>425</v>
      </c>
      <c r="E334" s="128" t="s">
        <v>302</v>
      </c>
      <c r="F334" s="143"/>
      <c r="G334" s="177">
        <f>SUM(G335)</f>
        <v>0</v>
      </c>
      <c r="H334" s="22" t="e">
        <f>SUM(#REF!+H337+H339)</f>
        <v>#REF!</v>
      </c>
      <c r="I334" s="22" t="e">
        <f t="shared" si="9"/>
        <v>#REF!</v>
      </c>
    </row>
    <row r="335" spans="1:9" ht="28.5" hidden="1">
      <c r="A335" s="99" t="s">
        <v>47</v>
      </c>
      <c r="B335" s="145"/>
      <c r="C335" s="128" t="s">
        <v>107</v>
      </c>
      <c r="D335" s="128" t="s">
        <v>425</v>
      </c>
      <c r="E335" s="128" t="s">
        <v>303</v>
      </c>
      <c r="F335" s="143"/>
      <c r="G335" s="177">
        <f>SUM(G336)</f>
        <v>0</v>
      </c>
      <c r="H335" s="22">
        <v>25635</v>
      </c>
      <c r="I335" s="22" t="e">
        <f t="shared" si="9"/>
        <v>#DIV/0!</v>
      </c>
    </row>
    <row r="336" spans="1:9" ht="15" hidden="1">
      <c r="A336" s="105" t="s">
        <v>48</v>
      </c>
      <c r="B336" s="155"/>
      <c r="C336" s="128" t="s">
        <v>107</v>
      </c>
      <c r="D336" s="128" t="s">
        <v>425</v>
      </c>
      <c r="E336" s="128" t="s">
        <v>303</v>
      </c>
      <c r="F336" s="144" t="s">
        <v>235</v>
      </c>
      <c r="G336" s="177"/>
      <c r="H336" s="22">
        <f>SUM(H349+H337)</f>
        <v>0</v>
      </c>
      <c r="I336" s="22" t="e">
        <f t="shared" si="9"/>
        <v>#DIV/0!</v>
      </c>
    </row>
    <row r="337" spans="1:9" ht="15">
      <c r="A337" s="99" t="s">
        <v>304</v>
      </c>
      <c r="B337" s="46"/>
      <c r="C337" s="128" t="s">
        <v>107</v>
      </c>
      <c r="D337" s="128" t="s">
        <v>425</v>
      </c>
      <c r="E337" s="128" t="s">
        <v>305</v>
      </c>
      <c r="F337" s="142"/>
      <c r="G337" s="177">
        <f>SUM(G338)</f>
        <v>62934.4</v>
      </c>
      <c r="H337" s="22">
        <f>SUM(H338)</f>
        <v>0</v>
      </c>
      <c r="I337" s="22" t="e">
        <f t="shared" si="9"/>
        <v>#DIV/0!</v>
      </c>
    </row>
    <row r="338" spans="1:9" ht="28.5">
      <c r="A338" s="99" t="s">
        <v>47</v>
      </c>
      <c r="B338" s="46"/>
      <c r="C338" s="128" t="s">
        <v>107</v>
      </c>
      <c r="D338" s="128" t="s">
        <v>425</v>
      </c>
      <c r="E338" s="128" t="s">
        <v>306</v>
      </c>
      <c r="F338" s="142"/>
      <c r="G338" s="177">
        <f>SUM(G342+G340+G339)</f>
        <v>62934.4</v>
      </c>
      <c r="H338" s="22">
        <f>SUM(H339)</f>
        <v>0</v>
      </c>
      <c r="I338" s="22" t="e">
        <f t="shared" si="9"/>
        <v>#DIV/0!</v>
      </c>
    </row>
    <row r="339" spans="1:9" ht="15" hidden="1">
      <c r="A339" s="105" t="s">
        <v>48</v>
      </c>
      <c r="B339" s="46"/>
      <c r="C339" s="128" t="s">
        <v>107</v>
      </c>
      <c r="D339" s="128" t="s">
        <v>425</v>
      </c>
      <c r="E339" s="55" t="s">
        <v>306</v>
      </c>
      <c r="F339" s="143" t="s">
        <v>235</v>
      </c>
      <c r="G339" s="177"/>
      <c r="H339" s="22"/>
      <c r="I339" s="22" t="e">
        <f t="shared" si="9"/>
        <v>#DIV/0!</v>
      </c>
    </row>
    <row r="340" spans="1:9" ht="42.75" hidden="1">
      <c r="A340" s="105" t="s">
        <v>53</v>
      </c>
      <c r="B340" s="155"/>
      <c r="C340" s="128" t="s">
        <v>107</v>
      </c>
      <c r="D340" s="128" t="s">
        <v>425</v>
      </c>
      <c r="E340" s="128" t="s">
        <v>307</v>
      </c>
      <c r="F340" s="144"/>
      <c r="G340" s="177">
        <f>SUM(G341)</f>
        <v>0</v>
      </c>
      <c r="H340" s="22" t="e">
        <f>SUM(#REF!)</f>
        <v>#REF!</v>
      </c>
      <c r="I340" s="22" t="e">
        <f t="shared" si="9"/>
        <v>#REF!</v>
      </c>
    </row>
    <row r="341" spans="1:9" ht="15" hidden="1">
      <c r="A341" s="105" t="s">
        <v>48</v>
      </c>
      <c r="B341" s="155"/>
      <c r="C341" s="128" t="s">
        <v>107</v>
      </c>
      <c r="D341" s="128" t="s">
        <v>425</v>
      </c>
      <c r="E341" s="128" t="s">
        <v>307</v>
      </c>
      <c r="F341" s="144" t="s">
        <v>235</v>
      </c>
      <c r="G341" s="177"/>
      <c r="H341" s="22"/>
      <c r="I341" s="22"/>
    </row>
    <row r="342" spans="1:9" ht="57">
      <c r="A342" s="99" t="s">
        <v>430</v>
      </c>
      <c r="B342" s="46"/>
      <c r="C342" s="128" t="s">
        <v>107</v>
      </c>
      <c r="D342" s="128" t="s">
        <v>425</v>
      </c>
      <c r="E342" s="128" t="s">
        <v>310</v>
      </c>
      <c r="F342" s="142"/>
      <c r="G342" s="177">
        <f>SUM(G343:G345)</f>
        <v>62934.4</v>
      </c>
      <c r="H342" s="22"/>
      <c r="I342" s="22"/>
    </row>
    <row r="343" spans="1:9" ht="28.5">
      <c r="A343" s="99" t="s">
        <v>459</v>
      </c>
      <c r="B343" s="46"/>
      <c r="C343" s="128" t="s">
        <v>107</v>
      </c>
      <c r="D343" s="128" t="s">
        <v>425</v>
      </c>
      <c r="E343" s="128" t="s">
        <v>310</v>
      </c>
      <c r="F343" s="142" t="s">
        <v>460</v>
      </c>
      <c r="G343" s="177">
        <v>43100.8</v>
      </c>
      <c r="H343" s="22" t="e">
        <f>SUM(H349+H353+#REF!+#REF!+H346)</f>
        <v>#REF!</v>
      </c>
      <c r="I343" s="22" t="e">
        <f>SUM(H343/#REF!*100)</f>
        <v>#REF!</v>
      </c>
    </row>
    <row r="344" spans="1:9" ht="15">
      <c r="A344" s="99" t="s">
        <v>464</v>
      </c>
      <c r="B344" s="46"/>
      <c r="C344" s="128" t="s">
        <v>107</v>
      </c>
      <c r="D344" s="128" t="s">
        <v>425</v>
      </c>
      <c r="E344" s="128" t="s">
        <v>310</v>
      </c>
      <c r="F344" s="142" t="s">
        <v>110</v>
      </c>
      <c r="G344" s="177">
        <v>19156.6</v>
      </c>
      <c r="H344" s="22"/>
      <c r="I344" s="22"/>
    </row>
    <row r="345" spans="1:9" ht="15">
      <c r="A345" s="99" t="s">
        <v>465</v>
      </c>
      <c r="B345" s="46"/>
      <c r="C345" s="128" t="s">
        <v>107</v>
      </c>
      <c r="D345" s="128" t="s">
        <v>425</v>
      </c>
      <c r="E345" s="128" t="s">
        <v>310</v>
      </c>
      <c r="F345" s="142" t="s">
        <v>165</v>
      </c>
      <c r="G345" s="177">
        <v>677</v>
      </c>
      <c r="H345" s="22"/>
      <c r="I345" s="22"/>
    </row>
    <row r="346" spans="1:9" ht="15" hidden="1">
      <c r="A346" s="99" t="s">
        <v>311</v>
      </c>
      <c r="B346" s="54"/>
      <c r="C346" s="128" t="s">
        <v>107</v>
      </c>
      <c r="D346" s="128" t="s">
        <v>425</v>
      </c>
      <c r="E346" s="128" t="s">
        <v>312</v>
      </c>
      <c r="F346" s="143"/>
      <c r="G346" s="177">
        <f>SUM(G347)</f>
        <v>0</v>
      </c>
      <c r="H346" s="22">
        <f>SUM(H347)</f>
        <v>17823.6</v>
      </c>
      <c r="I346" s="22" t="e">
        <f>SUM(H346/#REF!*100)</f>
        <v>#REF!</v>
      </c>
    </row>
    <row r="347" spans="1:9" ht="28.5" hidden="1">
      <c r="A347" s="99" t="s">
        <v>47</v>
      </c>
      <c r="B347" s="145"/>
      <c r="C347" s="128" t="s">
        <v>107</v>
      </c>
      <c r="D347" s="128" t="s">
        <v>425</v>
      </c>
      <c r="E347" s="128" t="s">
        <v>313</v>
      </c>
      <c r="F347" s="143"/>
      <c r="G347" s="177">
        <f>SUM(G348)</f>
        <v>0</v>
      </c>
      <c r="H347" s="22">
        <f>SUM(H348+H349+H351)</f>
        <v>17823.6</v>
      </c>
      <c r="I347" s="22" t="e">
        <f>SUM(H347/#REF!*100)</f>
        <v>#REF!</v>
      </c>
    </row>
    <row r="348" spans="1:9" ht="15" hidden="1">
      <c r="A348" s="105" t="s">
        <v>48</v>
      </c>
      <c r="B348" s="46"/>
      <c r="C348" s="128" t="s">
        <v>107</v>
      </c>
      <c r="D348" s="128" t="s">
        <v>425</v>
      </c>
      <c r="E348" s="128" t="s">
        <v>313</v>
      </c>
      <c r="F348" s="142" t="s">
        <v>235</v>
      </c>
      <c r="G348" s="177"/>
      <c r="H348" s="22">
        <v>17823.6</v>
      </c>
      <c r="I348" s="22" t="e">
        <f>SUM(H348/#REF!*100)</f>
        <v>#REF!</v>
      </c>
    </row>
    <row r="349" spans="1:9" ht="15" hidden="1">
      <c r="A349" s="99" t="s">
        <v>108</v>
      </c>
      <c r="B349" s="46"/>
      <c r="C349" s="55" t="s">
        <v>107</v>
      </c>
      <c r="D349" s="55" t="s">
        <v>107</v>
      </c>
      <c r="E349" s="128"/>
      <c r="F349" s="142"/>
      <c r="G349" s="177">
        <f>SUM(G350+G353)</f>
        <v>0</v>
      </c>
      <c r="H349" s="22">
        <f>SUM(H350)</f>
        <v>0</v>
      </c>
      <c r="I349" s="22" t="e">
        <f>SUM(H349/#REF!*100)</f>
        <v>#REF!</v>
      </c>
    </row>
    <row r="350" spans="1:9" ht="15" hidden="1">
      <c r="A350" s="103" t="s">
        <v>215</v>
      </c>
      <c r="B350" s="54"/>
      <c r="C350" s="128" t="s">
        <v>107</v>
      </c>
      <c r="D350" s="128" t="s">
        <v>107</v>
      </c>
      <c r="E350" s="128" t="s">
        <v>216</v>
      </c>
      <c r="F350" s="143"/>
      <c r="G350" s="177">
        <f>SUM(G351)</f>
        <v>0</v>
      </c>
      <c r="H350" s="22">
        <f>SUM(H351)</f>
        <v>0</v>
      </c>
      <c r="I350" s="22" t="e">
        <f>SUM(H350/#REF!*100)</f>
        <v>#REF!</v>
      </c>
    </row>
    <row r="351" spans="1:9" s="93" customFormat="1" ht="28.5" hidden="1">
      <c r="A351" s="99" t="s">
        <v>47</v>
      </c>
      <c r="B351" s="54"/>
      <c r="C351" s="128" t="s">
        <v>107</v>
      </c>
      <c r="D351" s="128" t="s">
        <v>107</v>
      </c>
      <c r="E351" s="128" t="s">
        <v>219</v>
      </c>
      <c r="F351" s="143"/>
      <c r="G351" s="177">
        <f>SUM(G352)</f>
        <v>0</v>
      </c>
      <c r="H351" s="22"/>
      <c r="I351" s="22" t="e">
        <f>SUM(H351/#REF!*100)</f>
        <v>#REF!</v>
      </c>
    </row>
    <row r="352" spans="1:9" s="93" customFormat="1" ht="15" hidden="1">
      <c r="A352" s="105" t="s">
        <v>48</v>
      </c>
      <c r="B352" s="54"/>
      <c r="C352" s="128" t="s">
        <v>107</v>
      </c>
      <c r="D352" s="128" t="s">
        <v>107</v>
      </c>
      <c r="E352" s="128" t="s">
        <v>219</v>
      </c>
      <c r="F352" s="143" t="s">
        <v>235</v>
      </c>
      <c r="G352" s="177"/>
      <c r="H352" s="22">
        <f>SUM(H353)</f>
        <v>119.8</v>
      </c>
      <c r="I352" s="22" t="e">
        <f>SUM(H352/#REF!*100)</f>
        <v>#REF!</v>
      </c>
    </row>
    <row r="353" spans="1:9" s="93" customFormat="1" ht="15" hidden="1">
      <c r="A353" s="105" t="s">
        <v>118</v>
      </c>
      <c r="B353" s="156"/>
      <c r="C353" s="128" t="s">
        <v>107</v>
      </c>
      <c r="D353" s="128" t="s">
        <v>107</v>
      </c>
      <c r="E353" s="128" t="s">
        <v>119</v>
      </c>
      <c r="F353" s="144"/>
      <c r="G353" s="177">
        <f>SUM(G354)</f>
        <v>0</v>
      </c>
      <c r="H353" s="22">
        <f>SUM(H354)</f>
        <v>119.8</v>
      </c>
      <c r="I353" s="22" t="e">
        <f>SUM(H353/#REF!*100)</f>
        <v>#REF!</v>
      </c>
    </row>
    <row r="354" spans="1:9" s="93" customFormat="1" ht="42.75" hidden="1">
      <c r="A354" s="108" t="s">
        <v>333</v>
      </c>
      <c r="B354" s="156"/>
      <c r="C354" s="128" t="s">
        <v>107</v>
      </c>
      <c r="D354" s="128" t="s">
        <v>107</v>
      </c>
      <c r="E354" s="128" t="s">
        <v>332</v>
      </c>
      <c r="F354" s="144"/>
      <c r="G354" s="177">
        <f>SUM(G355)</f>
        <v>0</v>
      </c>
      <c r="H354" s="22">
        <v>119.8</v>
      </c>
      <c r="I354" s="22" t="e">
        <f>SUM(H354/#REF!*100)</f>
        <v>#REF!</v>
      </c>
    </row>
    <row r="355" spans="1:9" ht="15" hidden="1">
      <c r="A355" s="105" t="s">
        <v>213</v>
      </c>
      <c r="B355" s="156"/>
      <c r="C355" s="128" t="s">
        <v>107</v>
      </c>
      <c r="D355" s="128" t="s">
        <v>107</v>
      </c>
      <c r="E355" s="128" t="s">
        <v>332</v>
      </c>
      <c r="F355" s="144" t="s">
        <v>214</v>
      </c>
      <c r="G355" s="177"/>
      <c r="H355" s="22" t="e">
        <f>SUM(#REF!+H361)</f>
        <v>#REF!</v>
      </c>
      <c r="I355" s="22" t="e">
        <f>SUM(H355/#REF!*100)</f>
        <v>#REF!</v>
      </c>
    </row>
    <row r="356" spans="1:9" ht="15">
      <c r="A356" s="99" t="s">
        <v>176</v>
      </c>
      <c r="B356" s="46"/>
      <c r="C356" s="55" t="s">
        <v>5</v>
      </c>
      <c r="D356" s="55"/>
      <c r="E356" s="55"/>
      <c r="F356" s="142"/>
      <c r="G356" s="177">
        <f>SUM(G357+G361+G375+G425+G434)</f>
        <v>880807.2000000001</v>
      </c>
      <c r="H356" s="22" t="e">
        <f>SUM(H357+H359)</f>
        <v>#REF!</v>
      </c>
      <c r="I356" s="22" t="e">
        <f>SUM(H356/G367*100)</f>
        <v>#REF!</v>
      </c>
    </row>
    <row r="357" spans="1:9" ht="15">
      <c r="A357" s="99" t="s">
        <v>178</v>
      </c>
      <c r="B357" s="46"/>
      <c r="C357" s="55" t="s">
        <v>5</v>
      </c>
      <c r="D357" s="55" t="s">
        <v>423</v>
      </c>
      <c r="E357" s="55"/>
      <c r="F357" s="142"/>
      <c r="G357" s="177">
        <f>SUM(G358)</f>
        <v>4032.6</v>
      </c>
      <c r="H357" s="22" t="e">
        <f>SUM(#REF!)</f>
        <v>#REF!</v>
      </c>
      <c r="I357" s="22" t="e">
        <f>SUM(H357/G368*100)</f>
        <v>#REF!</v>
      </c>
    </row>
    <row r="358" spans="1:9" ht="15">
      <c r="A358" s="99" t="s">
        <v>179</v>
      </c>
      <c r="B358" s="46"/>
      <c r="C358" s="55" t="s">
        <v>5</v>
      </c>
      <c r="D358" s="55" t="s">
        <v>423</v>
      </c>
      <c r="E358" s="55" t="s">
        <v>180</v>
      </c>
      <c r="F358" s="142"/>
      <c r="G358" s="177">
        <f>SUM(G359)</f>
        <v>4032.6</v>
      </c>
      <c r="H358" s="22"/>
      <c r="I358" s="22"/>
    </row>
    <row r="359" spans="1:9" ht="28.5">
      <c r="A359" s="99" t="s">
        <v>181</v>
      </c>
      <c r="B359" s="46"/>
      <c r="C359" s="55" t="s">
        <v>5</v>
      </c>
      <c r="D359" s="55" t="s">
        <v>423</v>
      </c>
      <c r="E359" s="55" t="s">
        <v>182</v>
      </c>
      <c r="F359" s="142"/>
      <c r="G359" s="177">
        <f>SUM(G360)</f>
        <v>4032.6</v>
      </c>
      <c r="H359" s="22">
        <f>SUM(H360)</f>
        <v>16618.3</v>
      </c>
      <c r="I359" s="22">
        <f>SUM(H359/G371*100)</f>
        <v>35.542528140713195</v>
      </c>
    </row>
    <row r="360" spans="1:9" ht="15">
      <c r="A360" s="99" t="s">
        <v>469</v>
      </c>
      <c r="B360" s="46"/>
      <c r="C360" s="55" t="s">
        <v>5</v>
      </c>
      <c r="D360" s="55" t="s">
        <v>423</v>
      </c>
      <c r="E360" s="55" t="s">
        <v>182</v>
      </c>
      <c r="F360" s="142" t="s">
        <v>470</v>
      </c>
      <c r="G360" s="177">
        <v>4032.6</v>
      </c>
      <c r="H360" s="22">
        <v>16618.3</v>
      </c>
      <c r="I360" s="22" t="e">
        <f>SUM(H360/#REF!*100)</f>
        <v>#REF!</v>
      </c>
    </row>
    <row r="361" spans="1:9" ht="15">
      <c r="A361" s="99" t="s">
        <v>183</v>
      </c>
      <c r="B361" s="46"/>
      <c r="C361" s="128" t="s">
        <v>5</v>
      </c>
      <c r="D361" s="128" t="s">
        <v>425</v>
      </c>
      <c r="E361" s="55"/>
      <c r="F361" s="142"/>
      <c r="G361" s="177">
        <f>SUM(G362+G367)</f>
        <v>48439.1</v>
      </c>
      <c r="H361" s="22" t="e">
        <f>SUM(H365+H411+H414+H362)</f>
        <v>#REF!</v>
      </c>
      <c r="I361" s="22" t="e">
        <f>SUM(H361/G375*100)</f>
        <v>#REF!</v>
      </c>
    </row>
    <row r="362" spans="1:9" ht="15" hidden="1">
      <c r="A362" s="109" t="s">
        <v>64</v>
      </c>
      <c r="B362" s="46"/>
      <c r="C362" s="128" t="s">
        <v>5</v>
      </c>
      <c r="D362" s="128" t="s">
        <v>425</v>
      </c>
      <c r="E362" s="128" t="s">
        <v>65</v>
      </c>
      <c r="F362" s="143"/>
      <c r="G362" s="177"/>
      <c r="H362" s="22">
        <f>SUM(H364)</f>
        <v>200</v>
      </c>
      <c r="I362" s="22" t="e">
        <f>SUM(H362/G376*100)</f>
        <v>#DIV/0!</v>
      </c>
    </row>
    <row r="363" spans="1:9" ht="28.5" hidden="1">
      <c r="A363" s="109" t="s">
        <v>13</v>
      </c>
      <c r="B363" s="46"/>
      <c r="C363" s="128" t="s">
        <v>5</v>
      </c>
      <c r="D363" s="128" t="s">
        <v>425</v>
      </c>
      <c r="E363" s="128" t="s">
        <v>14</v>
      </c>
      <c r="F363" s="143"/>
      <c r="G363" s="177">
        <f>SUM(G364+G365)</f>
        <v>0</v>
      </c>
      <c r="H363" s="22">
        <f>SUM(H364)</f>
        <v>200</v>
      </c>
      <c r="I363" s="22" t="e">
        <f>SUM(H363/G377*100)</f>
        <v>#DIV/0!</v>
      </c>
    </row>
    <row r="364" spans="1:9" ht="15" hidden="1">
      <c r="A364" s="103" t="s">
        <v>234</v>
      </c>
      <c r="B364" s="46"/>
      <c r="C364" s="128" t="s">
        <v>5</v>
      </c>
      <c r="D364" s="128" t="s">
        <v>425</v>
      </c>
      <c r="E364" s="128" t="s">
        <v>14</v>
      </c>
      <c r="F364" s="143" t="s">
        <v>235</v>
      </c>
      <c r="G364" s="177"/>
      <c r="H364" s="22">
        <v>200</v>
      </c>
      <c r="I364" s="22" t="e">
        <f>SUM(H364/G378*100)</f>
        <v>#DIV/0!</v>
      </c>
    </row>
    <row r="365" spans="1:9" ht="28.5" hidden="1">
      <c r="A365" s="109" t="s">
        <v>15</v>
      </c>
      <c r="B365" s="46"/>
      <c r="C365" s="128" t="s">
        <v>5</v>
      </c>
      <c r="D365" s="128" t="s">
        <v>425</v>
      </c>
      <c r="E365" s="128" t="s">
        <v>16</v>
      </c>
      <c r="F365" s="143"/>
      <c r="G365" s="177">
        <f>SUM(G366)</f>
        <v>0</v>
      </c>
      <c r="H365" s="22" t="e">
        <f>SUM(H366+H368+H370+H376+H378+#REF!+#REF!+#REF!+#REF!+H392+#REF!+#REF!+#REF!+#REF!+#REF!+#REF!+#REF!+#REF!+#REF!+#REF!+H373)</f>
        <v>#REF!</v>
      </c>
      <c r="I365" s="22" t="e">
        <f>SUM(H365/G379*100)</f>
        <v>#REF!</v>
      </c>
    </row>
    <row r="366" spans="1:9" ht="15" hidden="1">
      <c r="A366" s="103" t="s">
        <v>234</v>
      </c>
      <c r="B366" s="46"/>
      <c r="C366" s="128" t="s">
        <v>5</v>
      </c>
      <c r="D366" s="128" t="s">
        <v>425</v>
      </c>
      <c r="E366" s="128" t="s">
        <v>16</v>
      </c>
      <c r="F366" s="143" t="s">
        <v>235</v>
      </c>
      <c r="G366" s="177"/>
      <c r="H366" s="22">
        <f>SUM(H367:H367)</f>
        <v>0</v>
      </c>
      <c r="I366" s="22" t="e">
        <f>SUM(H366/#REF!*100)</f>
        <v>#REF!</v>
      </c>
    </row>
    <row r="367" spans="1:9" ht="15">
      <c r="A367" s="109" t="s">
        <v>64</v>
      </c>
      <c r="B367" s="46"/>
      <c r="C367" s="128" t="s">
        <v>5</v>
      </c>
      <c r="D367" s="128" t="s">
        <v>425</v>
      </c>
      <c r="E367" s="128" t="s">
        <v>17</v>
      </c>
      <c r="F367" s="143"/>
      <c r="G367" s="177">
        <f>SUM(G368+G371)</f>
        <v>48439.1</v>
      </c>
      <c r="H367" s="22"/>
      <c r="I367" s="22" t="e">
        <f>SUM(H367/#REF!*100)</f>
        <v>#REF!</v>
      </c>
    </row>
    <row r="368" spans="1:9" ht="28.5">
      <c r="A368" s="103" t="s">
        <v>47</v>
      </c>
      <c r="B368" s="46"/>
      <c r="C368" s="128" t="s">
        <v>5</v>
      </c>
      <c r="D368" s="128" t="s">
        <v>425</v>
      </c>
      <c r="E368" s="128" t="s">
        <v>18</v>
      </c>
      <c r="F368" s="143"/>
      <c r="G368" s="177">
        <f>SUM(G369:G370)</f>
        <v>1683</v>
      </c>
      <c r="H368" s="22">
        <f>SUM(H369:H369)</f>
        <v>0</v>
      </c>
      <c r="I368" s="22" t="e">
        <f>SUM(H368/#REF!*100)</f>
        <v>#REF!</v>
      </c>
    </row>
    <row r="369" spans="1:9" ht="28.5">
      <c r="A369" s="99" t="s">
        <v>459</v>
      </c>
      <c r="B369" s="46"/>
      <c r="C369" s="128" t="s">
        <v>5</v>
      </c>
      <c r="D369" s="128" t="s">
        <v>425</v>
      </c>
      <c r="E369" s="128" t="s">
        <v>18</v>
      </c>
      <c r="F369" s="142" t="s">
        <v>460</v>
      </c>
      <c r="G369" s="177">
        <v>531.8</v>
      </c>
      <c r="H369" s="22"/>
      <c r="I369" s="22" t="e">
        <f>SUM(H369/#REF!*100)</f>
        <v>#REF!</v>
      </c>
    </row>
    <row r="370" spans="1:9" ht="15">
      <c r="A370" s="99" t="s">
        <v>464</v>
      </c>
      <c r="B370" s="46"/>
      <c r="C370" s="128" t="s">
        <v>5</v>
      </c>
      <c r="D370" s="128" t="s">
        <v>425</v>
      </c>
      <c r="E370" s="128" t="s">
        <v>18</v>
      </c>
      <c r="F370" s="142" t="s">
        <v>110</v>
      </c>
      <c r="G370" s="177">
        <v>1151.2</v>
      </c>
      <c r="H370" s="22" t="e">
        <f>SUM(#REF!)</f>
        <v>#REF!</v>
      </c>
      <c r="I370" s="22" t="e">
        <f>SUM(H370/#REF!*100)</f>
        <v>#REF!</v>
      </c>
    </row>
    <row r="371" spans="1:9" ht="28.5">
      <c r="A371" s="103" t="s">
        <v>19</v>
      </c>
      <c r="B371" s="46"/>
      <c r="C371" s="128" t="s">
        <v>5</v>
      </c>
      <c r="D371" s="128" t="s">
        <v>425</v>
      </c>
      <c r="E371" s="128" t="s">
        <v>20</v>
      </c>
      <c r="F371" s="143"/>
      <c r="G371" s="177">
        <f>SUM(G372:G374)</f>
        <v>46756.1</v>
      </c>
      <c r="H371" s="22">
        <v>634.3</v>
      </c>
      <c r="I371" s="22" t="e">
        <f>SUM(H371/#REF!*100)</f>
        <v>#REF!</v>
      </c>
    </row>
    <row r="372" spans="1:9" ht="28.5">
      <c r="A372" s="99" t="s">
        <v>459</v>
      </c>
      <c r="B372" s="46"/>
      <c r="C372" s="128" t="s">
        <v>5</v>
      </c>
      <c r="D372" s="128" t="s">
        <v>425</v>
      </c>
      <c r="E372" s="128" t="s">
        <v>20</v>
      </c>
      <c r="F372" s="142" t="s">
        <v>460</v>
      </c>
      <c r="G372" s="177">
        <v>38706.7</v>
      </c>
      <c r="H372" s="22"/>
      <c r="I372" s="22"/>
    </row>
    <row r="373" spans="1:9" ht="15">
      <c r="A373" s="99" t="s">
        <v>464</v>
      </c>
      <c r="B373" s="46"/>
      <c r="C373" s="128" t="s">
        <v>5</v>
      </c>
      <c r="D373" s="128" t="s">
        <v>425</v>
      </c>
      <c r="E373" s="128" t="s">
        <v>20</v>
      </c>
      <c r="F373" s="142" t="s">
        <v>110</v>
      </c>
      <c r="G373" s="177">
        <v>7663.4</v>
      </c>
      <c r="H373" s="22">
        <f>SUM(H374)</f>
        <v>542.8</v>
      </c>
      <c r="I373" s="22" t="e">
        <f>SUM(H373/#REF!*100)</f>
        <v>#REF!</v>
      </c>
    </row>
    <row r="374" spans="1:9" ht="15">
      <c r="A374" s="99" t="s">
        <v>465</v>
      </c>
      <c r="B374" s="46"/>
      <c r="C374" s="128" t="s">
        <v>5</v>
      </c>
      <c r="D374" s="128" t="s">
        <v>425</v>
      </c>
      <c r="E374" s="128" t="s">
        <v>20</v>
      </c>
      <c r="F374" s="142" t="s">
        <v>165</v>
      </c>
      <c r="G374" s="177">
        <v>386</v>
      </c>
      <c r="H374" s="22">
        <v>542.8</v>
      </c>
      <c r="I374" s="22" t="e">
        <f>SUM(H374/#REF!*100)</f>
        <v>#REF!</v>
      </c>
    </row>
    <row r="375" spans="1:9" ht="15">
      <c r="A375" s="99" t="s">
        <v>21</v>
      </c>
      <c r="B375" s="46"/>
      <c r="C375" s="55" t="s">
        <v>5</v>
      </c>
      <c r="D375" s="55" t="s">
        <v>96</v>
      </c>
      <c r="E375" s="55"/>
      <c r="F375" s="142"/>
      <c r="G375" s="177">
        <f>SUM(G379+G419+G422)</f>
        <v>767716.2000000002</v>
      </c>
      <c r="H375" s="22">
        <v>542.8</v>
      </c>
      <c r="I375" s="22" t="e">
        <f>SUM(H375/#REF!*100)</f>
        <v>#REF!</v>
      </c>
    </row>
    <row r="376" spans="1:9" s="90" customFormat="1" ht="15.75" hidden="1">
      <c r="A376" s="99" t="s">
        <v>371</v>
      </c>
      <c r="B376" s="46"/>
      <c r="C376" s="55" t="s">
        <v>5</v>
      </c>
      <c r="D376" s="55" t="s">
        <v>96</v>
      </c>
      <c r="E376" s="55" t="s">
        <v>373</v>
      </c>
      <c r="F376" s="142"/>
      <c r="G376" s="177">
        <f>SUM(G378)</f>
        <v>0</v>
      </c>
      <c r="H376" s="22">
        <f>SUM(H377)</f>
        <v>1313.1</v>
      </c>
      <c r="I376" s="22" t="e">
        <f>SUM(H376/#REF!*100)</f>
        <v>#REF!</v>
      </c>
    </row>
    <row r="377" spans="1:9" s="90" customFormat="1" ht="15.75" hidden="1">
      <c r="A377" s="99" t="s">
        <v>351</v>
      </c>
      <c r="B377" s="46"/>
      <c r="C377" s="55" t="s">
        <v>5</v>
      </c>
      <c r="D377" s="55" t="s">
        <v>96</v>
      </c>
      <c r="E377" s="55" t="s">
        <v>352</v>
      </c>
      <c r="F377" s="142"/>
      <c r="G377" s="177">
        <f>SUM(G378)</f>
        <v>0</v>
      </c>
      <c r="H377" s="22">
        <v>1313.1</v>
      </c>
      <c r="I377" s="22" t="e">
        <f>SUM(H377/#REF!*100)</f>
        <v>#REF!</v>
      </c>
    </row>
    <row r="378" spans="1:9" s="90" customFormat="1" ht="15.75" hidden="1">
      <c r="A378" s="99" t="s">
        <v>284</v>
      </c>
      <c r="B378" s="54"/>
      <c r="C378" s="55" t="s">
        <v>5</v>
      </c>
      <c r="D378" s="55" t="s">
        <v>96</v>
      </c>
      <c r="E378" s="55" t="s">
        <v>352</v>
      </c>
      <c r="F378" s="143" t="s">
        <v>285</v>
      </c>
      <c r="G378" s="177"/>
      <c r="H378" s="22">
        <f>SUM(H379)</f>
        <v>6301</v>
      </c>
      <c r="I378" s="22" t="e">
        <f>SUM(H378/#REF!*100)</f>
        <v>#REF!</v>
      </c>
    </row>
    <row r="379" spans="1:9" s="90" customFormat="1" ht="15.75">
      <c r="A379" s="99" t="s">
        <v>22</v>
      </c>
      <c r="B379" s="46"/>
      <c r="C379" s="55" t="s">
        <v>5</v>
      </c>
      <c r="D379" s="55" t="s">
        <v>96</v>
      </c>
      <c r="E379" s="55" t="s">
        <v>23</v>
      </c>
      <c r="F379" s="142"/>
      <c r="G379" s="177">
        <f>SUM(G380+G382+G384+G386+G388+G391)</f>
        <v>766467.9000000001</v>
      </c>
      <c r="H379" s="22">
        <v>6301</v>
      </c>
      <c r="I379" s="22" t="e">
        <f>SUM(H379/#REF!*100)</f>
        <v>#REF!</v>
      </c>
    </row>
    <row r="380" spans="1:9" ht="28.5">
      <c r="A380" s="99" t="s">
        <v>273</v>
      </c>
      <c r="B380" s="46"/>
      <c r="C380" s="128" t="s">
        <v>5</v>
      </c>
      <c r="D380" s="128" t="s">
        <v>96</v>
      </c>
      <c r="E380" s="128" t="s">
        <v>274</v>
      </c>
      <c r="F380" s="143"/>
      <c r="G380" s="177">
        <f>SUM(G381)</f>
        <v>92012.1</v>
      </c>
      <c r="H380" s="22">
        <f>SUM(H381)</f>
        <v>8082.5</v>
      </c>
      <c r="I380" s="22">
        <f>SUM(H380/G398*100)</f>
        <v>4.735736249519542</v>
      </c>
    </row>
    <row r="381" spans="1:9" ht="15">
      <c r="A381" s="99" t="s">
        <v>469</v>
      </c>
      <c r="B381" s="46"/>
      <c r="C381" s="128" t="s">
        <v>5</v>
      </c>
      <c r="D381" s="128" t="s">
        <v>96</v>
      </c>
      <c r="E381" s="128" t="s">
        <v>274</v>
      </c>
      <c r="F381" s="143" t="s">
        <v>470</v>
      </c>
      <c r="G381" s="177">
        <v>92012.1</v>
      </c>
      <c r="H381" s="22">
        <v>8082.5</v>
      </c>
      <c r="I381" s="22">
        <f>SUM(H381/G399*100)</f>
        <v>4.735736249519542</v>
      </c>
    </row>
    <row r="382" spans="1:9" ht="15">
      <c r="A382" s="99" t="s">
        <v>272</v>
      </c>
      <c r="B382" s="46"/>
      <c r="C382" s="128" t="s">
        <v>5</v>
      </c>
      <c r="D382" s="128" t="s">
        <v>96</v>
      </c>
      <c r="E382" s="128" t="s">
        <v>545</v>
      </c>
      <c r="F382" s="143"/>
      <c r="G382" s="177">
        <f>SUM(G383)</f>
        <v>158497.6</v>
      </c>
      <c r="H382" s="22">
        <f>SUM(H383)</f>
        <v>70381.4</v>
      </c>
      <c r="I382" s="22">
        <f>SUM(H382/G400*100)</f>
        <v>4581.227624812862</v>
      </c>
    </row>
    <row r="383" spans="1:9" ht="15">
      <c r="A383" s="99" t="s">
        <v>469</v>
      </c>
      <c r="B383" s="54"/>
      <c r="C383" s="128" t="s">
        <v>5</v>
      </c>
      <c r="D383" s="128" t="s">
        <v>96</v>
      </c>
      <c r="E383" s="128" t="s">
        <v>545</v>
      </c>
      <c r="F383" s="143" t="s">
        <v>470</v>
      </c>
      <c r="G383" s="177">
        <v>158497.6</v>
      </c>
      <c r="H383" s="22">
        <v>70381.4</v>
      </c>
      <c r="I383" s="22">
        <f>SUM(H383/G401*100)</f>
        <v>4581.227624812862</v>
      </c>
    </row>
    <row r="384" spans="1:9" ht="42.75">
      <c r="A384" s="100" t="s">
        <v>271</v>
      </c>
      <c r="B384" s="46"/>
      <c r="C384" s="128" t="s">
        <v>5</v>
      </c>
      <c r="D384" s="128" t="s">
        <v>96</v>
      </c>
      <c r="E384" s="128" t="s">
        <v>546</v>
      </c>
      <c r="F384" s="143"/>
      <c r="G384" s="177">
        <f>SUM(G385)</f>
        <v>77.1</v>
      </c>
      <c r="H384" s="22"/>
      <c r="I384" s="22"/>
    </row>
    <row r="385" spans="1:9" ht="15">
      <c r="A385" s="99" t="s">
        <v>469</v>
      </c>
      <c r="B385" s="46"/>
      <c r="C385" s="128" t="s">
        <v>5</v>
      </c>
      <c r="D385" s="128" t="s">
        <v>96</v>
      </c>
      <c r="E385" s="128" t="s">
        <v>546</v>
      </c>
      <c r="F385" s="143" t="s">
        <v>470</v>
      </c>
      <c r="G385" s="177">
        <v>77.1</v>
      </c>
      <c r="H385" s="22"/>
      <c r="I385" s="22"/>
    </row>
    <row r="386" spans="1:9" ht="59.25" customHeight="1">
      <c r="A386" s="211" t="s">
        <v>548</v>
      </c>
      <c r="B386" s="157"/>
      <c r="C386" s="132" t="s">
        <v>5</v>
      </c>
      <c r="D386" s="132" t="s">
        <v>96</v>
      </c>
      <c r="E386" s="132" t="s">
        <v>547</v>
      </c>
      <c r="F386" s="201"/>
      <c r="G386" s="185">
        <f>G387</f>
        <v>78774.5</v>
      </c>
      <c r="H386" s="22"/>
      <c r="I386" s="22"/>
    </row>
    <row r="387" spans="1:9" ht="15">
      <c r="A387" s="105" t="s">
        <v>469</v>
      </c>
      <c r="B387" s="157"/>
      <c r="C387" s="132" t="s">
        <v>5</v>
      </c>
      <c r="D387" s="132" t="s">
        <v>96</v>
      </c>
      <c r="E387" s="132" t="s">
        <v>547</v>
      </c>
      <c r="F387" s="201" t="s">
        <v>470</v>
      </c>
      <c r="G387" s="185">
        <v>78774.5</v>
      </c>
      <c r="H387" s="22"/>
      <c r="I387" s="22"/>
    </row>
    <row r="388" spans="1:9" ht="15">
      <c r="A388" s="105" t="s">
        <v>211</v>
      </c>
      <c r="B388" s="157"/>
      <c r="C388" s="132" t="s">
        <v>5</v>
      </c>
      <c r="D388" s="132" t="s">
        <v>96</v>
      </c>
      <c r="E388" s="132" t="s">
        <v>549</v>
      </c>
      <c r="F388" s="201"/>
      <c r="G388" s="185">
        <f>G389+G390</f>
        <v>3896.3</v>
      </c>
      <c r="H388" s="22">
        <f>SUM(H389)</f>
        <v>1365.8</v>
      </c>
      <c r="I388" s="22">
        <f aca="true" t="shared" si="10" ref="I388:I395">SUM(H388/G405*100)</f>
        <v>1.13399357032786</v>
      </c>
    </row>
    <row r="389" spans="1:9" ht="15">
      <c r="A389" s="105" t="s">
        <v>469</v>
      </c>
      <c r="B389" s="157"/>
      <c r="C389" s="132" t="s">
        <v>5</v>
      </c>
      <c r="D389" s="132" t="s">
        <v>96</v>
      </c>
      <c r="E389" s="132" t="s">
        <v>549</v>
      </c>
      <c r="F389" s="201" t="s">
        <v>470</v>
      </c>
      <c r="G389" s="185">
        <v>2096.3</v>
      </c>
      <c r="H389" s="22">
        <v>1365.8</v>
      </c>
      <c r="I389" s="22">
        <f t="shared" si="10"/>
        <v>135.32150995739622</v>
      </c>
    </row>
    <row r="390" spans="1:9" ht="28.5">
      <c r="A390" s="105" t="s">
        <v>566</v>
      </c>
      <c r="B390" s="157"/>
      <c r="C390" s="132" t="s">
        <v>5</v>
      </c>
      <c r="D390" s="132" t="s">
        <v>96</v>
      </c>
      <c r="E390" s="132" t="s">
        <v>549</v>
      </c>
      <c r="F390" s="201" t="s">
        <v>477</v>
      </c>
      <c r="G390" s="185">
        <v>1800</v>
      </c>
      <c r="H390" s="22">
        <f>SUM(H391)</f>
        <v>1324.9</v>
      </c>
      <c r="I390" s="22">
        <f t="shared" si="10"/>
        <v>131.26919647280295</v>
      </c>
    </row>
    <row r="391" spans="1:9" ht="15">
      <c r="A391" s="105" t="s">
        <v>276</v>
      </c>
      <c r="B391" s="157"/>
      <c r="C391" s="132" t="s">
        <v>5</v>
      </c>
      <c r="D391" s="132" t="s">
        <v>96</v>
      </c>
      <c r="E391" s="132" t="s">
        <v>551</v>
      </c>
      <c r="F391" s="201"/>
      <c r="G391" s="185">
        <f>G392+G394+G396+G398+G400+G402+G404+G406+G408+G410+G412+G414+G417</f>
        <v>433210.30000000005</v>
      </c>
      <c r="H391" s="22">
        <v>1324.9</v>
      </c>
      <c r="I391" s="22">
        <f t="shared" si="10"/>
        <v>544.330320460148</v>
      </c>
    </row>
    <row r="392" spans="1:9" ht="42.75">
      <c r="A392" s="105" t="s">
        <v>431</v>
      </c>
      <c r="B392" s="157"/>
      <c r="C392" s="132" t="s">
        <v>5</v>
      </c>
      <c r="D392" s="132" t="s">
        <v>96</v>
      </c>
      <c r="E392" s="132" t="s">
        <v>552</v>
      </c>
      <c r="F392" s="201"/>
      <c r="G392" s="185">
        <f>G393</f>
        <v>545.8</v>
      </c>
      <c r="H392" s="22">
        <f>SUM(H393)</f>
        <v>0</v>
      </c>
      <c r="I392" s="22">
        <f t="shared" si="10"/>
        <v>0</v>
      </c>
    </row>
    <row r="393" spans="1:9" ht="15">
      <c r="A393" s="105" t="s">
        <v>469</v>
      </c>
      <c r="B393" s="157"/>
      <c r="C393" s="132" t="s">
        <v>5</v>
      </c>
      <c r="D393" s="132" t="s">
        <v>96</v>
      </c>
      <c r="E393" s="132" t="s">
        <v>552</v>
      </c>
      <c r="F393" s="201" t="s">
        <v>470</v>
      </c>
      <c r="G393" s="185">
        <v>545.8</v>
      </c>
      <c r="H393" s="22"/>
      <c r="I393" s="22">
        <f t="shared" si="10"/>
        <v>0</v>
      </c>
    </row>
    <row r="394" spans="1:9" ht="28.5">
      <c r="A394" s="115" t="s">
        <v>432</v>
      </c>
      <c r="B394" s="157"/>
      <c r="C394" s="132" t="s">
        <v>5</v>
      </c>
      <c r="D394" s="132" t="s">
        <v>96</v>
      </c>
      <c r="E394" s="132" t="s">
        <v>553</v>
      </c>
      <c r="F394" s="201"/>
      <c r="G394" s="185">
        <f>SUM(G395)</f>
        <v>56634.2</v>
      </c>
      <c r="H394" s="22">
        <f>SUM(H395)</f>
        <v>5141.4</v>
      </c>
      <c r="I394" s="22">
        <f t="shared" si="10"/>
        <v>76.96015327964552</v>
      </c>
    </row>
    <row r="395" spans="1:9" ht="15">
      <c r="A395" s="105" t="s">
        <v>469</v>
      </c>
      <c r="B395" s="157"/>
      <c r="C395" s="132" t="s">
        <v>5</v>
      </c>
      <c r="D395" s="132" t="s">
        <v>96</v>
      </c>
      <c r="E395" s="132" t="s">
        <v>553</v>
      </c>
      <c r="F395" s="201" t="s">
        <v>470</v>
      </c>
      <c r="G395" s="185">
        <v>56634.2</v>
      </c>
      <c r="H395" s="22">
        <v>5141.4</v>
      </c>
      <c r="I395" s="22">
        <f t="shared" si="10"/>
        <v>95.97177630105278</v>
      </c>
    </row>
    <row r="396" spans="1:9" ht="57">
      <c r="A396" s="212" t="s">
        <v>433</v>
      </c>
      <c r="B396" s="157"/>
      <c r="C396" s="132" t="s">
        <v>5</v>
      </c>
      <c r="D396" s="132" t="s">
        <v>96</v>
      </c>
      <c r="E396" s="132" t="s">
        <v>554</v>
      </c>
      <c r="F396" s="201"/>
      <c r="G396" s="185">
        <f>SUM(G397)</f>
        <v>53650.8</v>
      </c>
      <c r="H396" s="22"/>
      <c r="I396" s="22"/>
    </row>
    <row r="397" spans="1:9" ht="15">
      <c r="A397" s="105" t="s">
        <v>469</v>
      </c>
      <c r="B397" s="157"/>
      <c r="C397" s="132" t="s">
        <v>5</v>
      </c>
      <c r="D397" s="132" t="s">
        <v>96</v>
      </c>
      <c r="E397" s="132" t="s">
        <v>554</v>
      </c>
      <c r="F397" s="201" t="s">
        <v>470</v>
      </c>
      <c r="G397" s="185">
        <v>53650.8</v>
      </c>
      <c r="H397" s="22"/>
      <c r="I397" s="22"/>
    </row>
    <row r="398" spans="1:9" ht="71.25">
      <c r="A398" s="212" t="s">
        <v>555</v>
      </c>
      <c r="B398" s="157"/>
      <c r="C398" s="132" t="s">
        <v>5</v>
      </c>
      <c r="D398" s="132" t="s">
        <v>96</v>
      </c>
      <c r="E398" s="132" t="s">
        <v>556</v>
      </c>
      <c r="F398" s="201"/>
      <c r="G398" s="185">
        <f>G399</f>
        <v>170670.4</v>
      </c>
      <c r="H398" s="22"/>
      <c r="I398" s="22"/>
    </row>
    <row r="399" spans="1:9" ht="15">
      <c r="A399" s="105" t="s">
        <v>469</v>
      </c>
      <c r="B399" s="157"/>
      <c r="C399" s="132" t="s">
        <v>5</v>
      </c>
      <c r="D399" s="132" t="s">
        <v>96</v>
      </c>
      <c r="E399" s="132" t="s">
        <v>556</v>
      </c>
      <c r="F399" s="201" t="s">
        <v>470</v>
      </c>
      <c r="G399" s="185">
        <v>170670.4</v>
      </c>
      <c r="H399" s="22"/>
      <c r="I399" s="22"/>
    </row>
    <row r="400" spans="1:9" ht="71.25">
      <c r="A400" s="115" t="s">
        <v>434</v>
      </c>
      <c r="B400" s="157"/>
      <c r="C400" s="132" t="s">
        <v>5</v>
      </c>
      <c r="D400" s="132" t="s">
        <v>96</v>
      </c>
      <c r="E400" s="132" t="s">
        <v>557</v>
      </c>
      <c r="F400" s="201"/>
      <c r="G400" s="185">
        <f>SUM(G401)</f>
        <v>1536.3</v>
      </c>
      <c r="H400" s="22"/>
      <c r="I400" s="22"/>
    </row>
    <row r="401" spans="1:9" ht="15">
      <c r="A401" s="105" t="s">
        <v>469</v>
      </c>
      <c r="B401" s="157"/>
      <c r="C401" s="132" t="s">
        <v>5</v>
      </c>
      <c r="D401" s="132" t="s">
        <v>96</v>
      </c>
      <c r="E401" s="132" t="s">
        <v>557</v>
      </c>
      <c r="F401" s="201" t="s">
        <v>470</v>
      </c>
      <c r="G401" s="185">
        <v>1536.3</v>
      </c>
      <c r="H401" s="22"/>
      <c r="I401" s="22"/>
    </row>
    <row r="402" spans="1:9" ht="85.5">
      <c r="A402" s="115" t="s">
        <v>435</v>
      </c>
      <c r="B402" s="157"/>
      <c r="C402" s="132" t="s">
        <v>5</v>
      </c>
      <c r="D402" s="132" t="s">
        <v>96</v>
      </c>
      <c r="E402" s="132" t="s">
        <v>558</v>
      </c>
      <c r="F402" s="201"/>
      <c r="G402" s="185">
        <f>G403</f>
        <v>9822.3</v>
      </c>
      <c r="H402" s="22"/>
      <c r="I402" s="22"/>
    </row>
    <row r="403" spans="1:9" ht="15">
      <c r="A403" s="105" t="s">
        <v>469</v>
      </c>
      <c r="B403" s="157"/>
      <c r="C403" s="132" t="s">
        <v>5</v>
      </c>
      <c r="D403" s="132" t="s">
        <v>96</v>
      </c>
      <c r="E403" s="132" t="s">
        <v>558</v>
      </c>
      <c r="F403" s="201" t="s">
        <v>470</v>
      </c>
      <c r="G403" s="185">
        <v>9822.3</v>
      </c>
      <c r="H403" s="22"/>
      <c r="I403" s="22"/>
    </row>
    <row r="404" spans="1:9" ht="42.75">
      <c r="A404" s="105" t="s">
        <v>436</v>
      </c>
      <c r="B404" s="157"/>
      <c r="C404" s="132" t="s">
        <v>5</v>
      </c>
      <c r="D404" s="132" t="s">
        <v>96</v>
      </c>
      <c r="E404" s="132" t="s">
        <v>559</v>
      </c>
      <c r="F404" s="201"/>
      <c r="G404" s="185">
        <f>SUM(G405)</f>
        <v>120441.6</v>
      </c>
      <c r="H404" s="22"/>
      <c r="I404" s="22"/>
    </row>
    <row r="405" spans="1:9" ht="15">
      <c r="A405" s="105" t="s">
        <v>469</v>
      </c>
      <c r="B405" s="157"/>
      <c r="C405" s="132" t="s">
        <v>5</v>
      </c>
      <c r="D405" s="132" t="s">
        <v>96</v>
      </c>
      <c r="E405" s="132" t="s">
        <v>559</v>
      </c>
      <c r="F405" s="201" t="s">
        <v>470</v>
      </c>
      <c r="G405" s="185">
        <v>120441.6</v>
      </c>
      <c r="H405" s="22"/>
      <c r="I405" s="22"/>
    </row>
    <row r="406" spans="1:9" ht="71.25">
      <c r="A406" s="105" t="s">
        <v>437</v>
      </c>
      <c r="B406" s="157"/>
      <c r="C406" s="132" t="s">
        <v>5</v>
      </c>
      <c r="D406" s="132" t="s">
        <v>96</v>
      </c>
      <c r="E406" s="132" t="s">
        <v>560</v>
      </c>
      <c r="F406" s="201"/>
      <c r="G406" s="185">
        <f>G407</f>
        <v>1009.3</v>
      </c>
      <c r="H406" s="22"/>
      <c r="I406" s="22"/>
    </row>
    <row r="407" spans="1:9" ht="15">
      <c r="A407" s="105" t="s">
        <v>469</v>
      </c>
      <c r="B407" s="157"/>
      <c r="C407" s="132" t="s">
        <v>5</v>
      </c>
      <c r="D407" s="132" t="s">
        <v>96</v>
      </c>
      <c r="E407" s="132" t="s">
        <v>560</v>
      </c>
      <c r="F407" s="201" t="s">
        <v>470</v>
      </c>
      <c r="G407" s="185">
        <v>1009.3</v>
      </c>
      <c r="H407" s="22"/>
      <c r="I407" s="22"/>
    </row>
    <row r="408" spans="1:9" ht="57">
      <c r="A408" s="105" t="s">
        <v>561</v>
      </c>
      <c r="B408" s="157"/>
      <c r="C408" s="132" t="s">
        <v>5</v>
      </c>
      <c r="D408" s="132" t="s">
        <v>96</v>
      </c>
      <c r="E408" s="132" t="s">
        <v>562</v>
      </c>
      <c r="F408" s="201"/>
      <c r="G408" s="185">
        <f>SUM(G409)</f>
        <v>243.4</v>
      </c>
      <c r="H408" s="22"/>
      <c r="I408" s="22"/>
    </row>
    <row r="409" spans="1:9" ht="15">
      <c r="A409" s="105" t="s">
        <v>469</v>
      </c>
      <c r="B409" s="157"/>
      <c r="C409" s="132" t="s">
        <v>5</v>
      </c>
      <c r="D409" s="132" t="s">
        <v>96</v>
      </c>
      <c r="E409" s="132" t="s">
        <v>562</v>
      </c>
      <c r="F409" s="201" t="s">
        <v>470</v>
      </c>
      <c r="G409" s="185">
        <v>243.4</v>
      </c>
      <c r="H409" s="22"/>
      <c r="I409" s="22"/>
    </row>
    <row r="410" spans="1:9" ht="42.75">
      <c r="A410" s="105" t="s">
        <v>438</v>
      </c>
      <c r="B410" s="157"/>
      <c r="C410" s="132" t="s">
        <v>5</v>
      </c>
      <c r="D410" s="132" t="s">
        <v>96</v>
      </c>
      <c r="E410" s="132" t="s">
        <v>563</v>
      </c>
      <c r="F410" s="201"/>
      <c r="G410" s="185">
        <f>G411</f>
        <v>6680.6</v>
      </c>
      <c r="H410" s="22"/>
      <c r="I410" s="22"/>
    </row>
    <row r="411" spans="1:9" ht="15">
      <c r="A411" s="105" t="s">
        <v>469</v>
      </c>
      <c r="B411" s="157"/>
      <c r="C411" s="132" t="s">
        <v>5</v>
      </c>
      <c r="D411" s="132" t="s">
        <v>96</v>
      </c>
      <c r="E411" s="132" t="s">
        <v>563</v>
      </c>
      <c r="F411" s="201" t="s">
        <v>470</v>
      </c>
      <c r="G411" s="185">
        <v>6680.6</v>
      </c>
      <c r="H411" s="22">
        <f>SUM(H412)</f>
        <v>927.6</v>
      </c>
      <c r="I411" s="22">
        <f aca="true" t="shared" si="11" ref="I411:I440">SUM(H411/G428*100)</f>
        <v>29.702209414024978</v>
      </c>
    </row>
    <row r="412" spans="1:9" ht="28.5">
      <c r="A412" s="105" t="s">
        <v>439</v>
      </c>
      <c r="B412" s="157"/>
      <c r="C412" s="132" t="s">
        <v>5</v>
      </c>
      <c r="D412" s="132" t="s">
        <v>96</v>
      </c>
      <c r="E412" s="132" t="s">
        <v>564</v>
      </c>
      <c r="F412" s="201"/>
      <c r="G412" s="185">
        <f>SUM(G413)</f>
        <v>5357.2</v>
      </c>
      <c r="H412" s="22">
        <f>SUM(H413:H413)</f>
        <v>927.6</v>
      </c>
      <c r="I412" s="22">
        <f t="shared" si="11"/>
        <v>29.702209414024978</v>
      </c>
    </row>
    <row r="413" spans="1:9" ht="15">
      <c r="A413" s="105" t="s">
        <v>469</v>
      </c>
      <c r="B413" s="157"/>
      <c r="C413" s="132" t="s">
        <v>5</v>
      </c>
      <c r="D413" s="132" t="s">
        <v>96</v>
      </c>
      <c r="E413" s="132" t="s">
        <v>564</v>
      </c>
      <c r="F413" s="201" t="s">
        <v>470</v>
      </c>
      <c r="G413" s="185">
        <v>5357.2</v>
      </c>
      <c r="H413" s="22">
        <v>927.6</v>
      </c>
      <c r="I413" s="22">
        <f t="shared" si="11"/>
        <v>32.64702776897899</v>
      </c>
    </row>
    <row r="414" spans="1:9" ht="42.75">
      <c r="A414" s="115" t="s">
        <v>440</v>
      </c>
      <c r="B414" s="157"/>
      <c r="C414" s="132" t="s">
        <v>5</v>
      </c>
      <c r="D414" s="132" t="s">
        <v>96</v>
      </c>
      <c r="E414" s="132" t="s">
        <v>565</v>
      </c>
      <c r="F414" s="201"/>
      <c r="G414" s="185">
        <f>SUM(G415+G416)</f>
        <v>1764.6999999999998</v>
      </c>
      <c r="H414" s="22">
        <f>SUM(H415)</f>
        <v>3319.1</v>
      </c>
      <c r="I414" s="22">
        <f t="shared" si="11"/>
        <v>116.81624608453876</v>
      </c>
    </row>
    <row r="415" spans="1:9" ht="15">
      <c r="A415" s="105" t="s">
        <v>469</v>
      </c>
      <c r="B415" s="157"/>
      <c r="C415" s="132" t="s">
        <v>5</v>
      </c>
      <c r="D415" s="132" t="s">
        <v>96</v>
      </c>
      <c r="E415" s="132" t="s">
        <v>565</v>
      </c>
      <c r="F415" s="201" t="s">
        <v>470</v>
      </c>
      <c r="G415" s="185">
        <v>1477.1</v>
      </c>
      <c r="H415" s="22">
        <f>SUM(H416)</f>
        <v>3319.1</v>
      </c>
      <c r="I415" s="22">
        <f t="shared" si="11"/>
        <v>13.499190642361533</v>
      </c>
    </row>
    <row r="416" spans="1:9" ht="28.5">
      <c r="A416" s="105" t="s">
        <v>566</v>
      </c>
      <c r="B416" s="157"/>
      <c r="C416" s="132" t="s">
        <v>5</v>
      </c>
      <c r="D416" s="132" t="s">
        <v>96</v>
      </c>
      <c r="E416" s="132" t="s">
        <v>565</v>
      </c>
      <c r="F416" s="201" t="s">
        <v>477</v>
      </c>
      <c r="G416" s="185">
        <v>287.6</v>
      </c>
      <c r="H416" s="22">
        <v>3319.1</v>
      </c>
      <c r="I416" s="22">
        <f t="shared" si="11"/>
        <v>13.499190642361533</v>
      </c>
    </row>
    <row r="417" spans="1:9" s="76" customFormat="1" ht="42.75">
      <c r="A417" s="105" t="s">
        <v>441</v>
      </c>
      <c r="B417" s="157"/>
      <c r="C417" s="132" t="s">
        <v>5</v>
      </c>
      <c r="D417" s="132" t="s">
        <v>96</v>
      </c>
      <c r="E417" s="132" t="s">
        <v>567</v>
      </c>
      <c r="F417" s="201"/>
      <c r="G417" s="185">
        <f>SUM(G418)</f>
        <v>4853.7</v>
      </c>
      <c r="H417" s="22">
        <f>SUM(H418)</f>
        <v>3319.1</v>
      </c>
      <c r="I417" s="22">
        <f t="shared" si="11"/>
        <v>11.038792587369793</v>
      </c>
    </row>
    <row r="418" spans="1:9" s="76" customFormat="1" ht="15">
      <c r="A418" s="105" t="s">
        <v>469</v>
      </c>
      <c r="B418" s="157"/>
      <c r="C418" s="132" t="s">
        <v>5</v>
      </c>
      <c r="D418" s="132" t="s">
        <v>96</v>
      </c>
      <c r="E418" s="132" t="s">
        <v>567</v>
      </c>
      <c r="F418" s="201" t="s">
        <v>470</v>
      </c>
      <c r="G418" s="185">
        <v>4853.7</v>
      </c>
      <c r="H418" s="22">
        <v>3319.1</v>
      </c>
      <c r="I418" s="22">
        <f t="shared" si="11"/>
        <v>12.094655409270953</v>
      </c>
    </row>
    <row r="419" spans="1:9" ht="15">
      <c r="A419" s="105" t="s">
        <v>172</v>
      </c>
      <c r="B419" s="157"/>
      <c r="C419" s="132" t="s">
        <v>5</v>
      </c>
      <c r="D419" s="132" t="s">
        <v>96</v>
      </c>
      <c r="E419" s="132" t="s">
        <v>173</v>
      </c>
      <c r="F419" s="201"/>
      <c r="G419" s="185">
        <f>SUM(G420)</f>
        <v>952.9</v>
      </c>
      <c r="H419" s="22">
        <f>SUM(H420+H423)</f>
        <v>17205.399999999998</v>
      </c>
      <c r="I419" s="22">
        <f t="shared" si="11"/>
        <v>552.3580211242735</v>
      </c>
    </row>
    <row r="420" spans="1:9" ht="15">
      <c r="A420" s="105" t="s">
        <v>174</v>
      </c>
      <c r="B420" s="157"/>
      <c r="C420" s="132" t="s">
        <v>5</v>
      </c>
      <c r="D420" s="132" t="s">
        <v>96</v>
      </c>
      <c r="E420" s="132" t="s">
        <v>175</v>
      </c>
      <c r="F420" s="201"/>
      <c r="G420" s="185">
        <f>SUM(G421:G421)</f>
        <v>952.9</v>
      </c>
      <c r="H420" s="22">
        <f>SUM(H421)</f>
        <v>0</v>
      </c>
      <c r="I420" s="22">
        <f t="shared" si="11"/>
        <v>0</v>
      </c>
    </row>
    <row r="421" spans="1:9" ht="15">
      <c r="A421" s="105" t="s">
        <v>469</v>
      </c>
      <c r="B421" s="157"/>
      <c r="C421" s="132" t="s">
        <v>5</v>
      </c>
      <c r="D421" s="132" t="s">
        <v>96</v>
      </c>
      <c r="E421" s="132" t="s">
        <v>175</v>
      </c>
      <c r="F421" s="201" t="s">
        <v>470</v>
      </c>
      <c r="G421" s="185">
        <v>952.9</v>
      </c>
      <c r="H421" s="22">
        <f>SUM(H422)</f>
        <v>0</v>
      </c>
      <c r="I421" s="22">
        <f t="shared" si="11"/>
        <v>0</v>
      </c>
    </row>
    <row r="422" spans="1:9" ht="15">
      <c r="A422" s="105" t="s">
        <v>568</v>
      </c>
      <c r="B422" s="157"/>
      <c r="C422" s="132" t="s">
        <v>5</v>
      </c>
      <c r="D422" s="132" t="s">
        <v>96</v>
      </c>
      <c r="E422" s="132" t="s">
        <v>119</v>
      </c>
      <c r="F422" s="201"/>
      <c r="G422" s="185">
        <f>G423</f>
        <v>295.4</v>
      </c>
      <c r="H422" s="22"/>
      <c r="I422" s="22">
        <f t="shared" si="11"/>
        <v>0</v>
      </c>
    </row>
    <row r="423" spans="1:9" ht="42.75">
      <c r="A423" s="105" t="s">
        <v>569</v>
      </c>
      <c r="B423" s="157"/>
      <c r="C423" s="132" t="s">
        <v>5</v>
      </c>
      <c r="D423" s="132" t="s">
        <v>96</v>
      </c>
      <c r="E423" s="132" t="s">
        <v>570</v>
      </c>
      <c r="F423" s="201"/>
      <c r="G423" s="185">
        <f>G424</f>
        <v>295.4</v>
      </c>
      <c r="H423" s="22">
        <f>SUM(H424)</f>
        <v>17205.399999999998</v>
      </c>
      <c r="I423" s="22">
        <f t="shared" si="11"/>
        <v>477.6093715300909</v>
      </c>
    </row>
    <row r="424" spans="1:9" ht="15">
      <c r="A424" s="105" t="s">
        <v>469</v>
      </c>
      <c r="B424" s="157"/>
      <c r="C424" s="132" t="s">
        <v>5</v>
      </c>
      <c r="D424" s="132" t="s">
        <v>96</v>
      </c>
      <c r="E424" s="132" t="s">
        <v>570</v>
      </c>
      <c r="F424" s="201" t="s">
        <v>470</v>
      </c>
      <c r="G424" s="185">
        <v>295.4</v>
      </c>
      <c r="H424" s="22">
        <f>SUM(H429)+H430+H433+H425+H427</f>
        <v>17205.399999999998</v>
      </c>
      <c r="I424" s="22">
        <f t="shared" si="11"/>
        <v>2727.552314521243</v>
      </c>
    </row>
    <row r="425" spans="1:9" ht="15">
      <c r="A425" s="115" t="s">
        <v>149</v>
      </c>
      <c r="B425" s="157"/>
      <c r="C425" s="132" t="s">
        <v>5</v>
      </c>
      <c r="D425" s="132" t="s">
        <v>112</v>
      </c>
      <c r="E425" s="132"/>
      <c r="F425" s="201"/>
      <c r="G425" s="185">
        <f>SUM(G426)</f>
        <v>30551.7</v>
      </c>
      <c r="H425" s="22">
        <f>SUM(H426)</f>
        <v>241.8</v>
      </c>
      <c r="I425" s="22">
        <f t="shared" si="11"/>
        <v>1.6592442135745116</v>
      </c>
    </row>
    <row r="426" spans="1:9" ht="15">
      <c r="A426" s="105" t="s">
        <v>150</v>
      </c>
      <c r="B426" s="157"/>
      <c r="C426" s="132" t="s">
        <v>5</v>
      </c>
      <c r="D426" s="132" t="s">
        <v>112</v>
      </c>
      <c r="E426" s="132" t="s">
        <v>212</v>
      </c>
      <c r="F426" s="201"/>
      <c r="G426" s="185">
        <f>SUM(G427)</f>
        <v>30551.7</v>
      </c>
      <c r="H426" s="22">
        <v>241.8</v>
      </c>
      <c r="I426" s="22">
        <f t="shared" si="11"/>
        <v>1.6592442135745116</v>
      </c>
    </row>
    <row r="427" spans="1:9" ht="28.5">
      <c r="A427" s="105" t="s">
        <v>442</v>
      </c>
      <c r="B427" s="157"/>
      <c r="C427" s="132" t="s">
        <v>5</v>
      </c>
      <c r="D427" s="132" t="s">
        <v>112</v>
      </c>
      <c r="E427" s="132" t="s">
        <v>153</v>
      </c>
      <c r="F427" s="201"/>
      <c r="G427" s="185">
        <f>SUM(G432+G428+G430)</f>
        <v>30551.7</v>
      </c>
      <c r="H427" s="22">
        <f>SUM(H428)</f>
        <v>252</v>
      </c>
      <c r="I427" s="22">
        <f t="shared" si="11"/>
        <v>4.563811869532933</v>
      </c>
    </row>
    <row r="428" spans="1:9" ht="15">
      <c r="A428" s="105" t="s">
        <v>154</v>
      </c>
      <c r="B428" s="157"/>
      <c r="C428" s="132" t="s">
        <v>5</v>
      </c>
      <c r="D428" s="132" t="s">
        <v>112</v>
      </c>
      <c r="E428" s="132" t="s">
        <v>155</v>
      </c>
      <c r="F428" s="201"/>
      <c r="G428" s="185">
        <f>SUM(G429)</f>
        <v>3123</v>
      </c>
      <c r="H428" s="22">
        <v>252</v>
      </c>
      <c r="I428" s="22">
        <f t="shared" si="11"/>
        <v>5.0851561869400275</v>
      </c>
    </row>
    <row r="429" spans="1:9" ht="15">
      <c r="A429" s="105" t="s">
        <v>469</v>
      </c>
      <c r="B429" s="157"/>
      <c r="C429" s="132" t="s">
        <v>5</v>
      </c>
      <c r="D429" s="132" t="s">
        <v>112</v>
      </c>
      <c r="E429" s="132" t="s">
        <v>155</v>
      </c>
      <c r="F429" s="201" t="s">
        <v>470</v>
      </c>
      <c r="G429" s="185">
        <v>3123</v>
      </c>
      <c r="H429" s="22">
        <f>SUM(H432)</f>
        <v>0</v>
      </c>
      <c r="I429" s="22">
        <f t="shared" si="11"/>
        <v>0</v>
      </c>
    </row>
    <row r="430" spans="1:9" ht="15">
      <c r="A430" s="105" t="s">
        <v>443</v>
      </c>
      <c r="B430" s="157"/>
      <c r="C430" s="132" t="s">
        <v>5</v>
      </c>
      <c r="D430" s="132" t="s">
        <v>112</v>
      </c>
      <c r="E430" s="132" t="s">
        <v>156</v>
      </c>
      <c r="F430" s="201"/>
      <c r="G430" s="185">
        <f>SUM(G431)</f>
        <v>2841.3</v>
      </c>
      <c r="H430" s="22">
        <f>SUM(H431)</f>
        <v>0</v>
      </c>
      <c r="I430" s="22">
        <f t="shared" si="11"/>
        <v>0</v>
      </c>
    </row>
    <row r="431" spans="1:9" ht="15">
      <c r="A431" s="105" t="s">
        <v>469</v>
      </c>
      <c r="B431" s="157"/>
      <c r="C431" s="132" t="s">
        <v>5</v>
      </c>
      <c r="D431" s="132" t="s">
        <v>112</v>
      </c>
      <c r="E431" s="132" t="s">
        <v>156</v>
      </c>
      <c r="F431" s="201" t="s">
        <v>470</v>
      </c>
      <c r="G431" s="185">
        <v>2841.3</v>
      </c>
      <c r="H431" s="22"/>
      <c r="I431" s="22">
        <f t="shared" si="11"/>
        <v>0</v>
      </c>
    </row>
    <row r="432" spans="1:9" ht="15">
      <c r="A432" s="105" t="s">
        <v>444</v>
      </c>
      <c r="B432" s="157"/>
      <c r="C432" s="132" t="s">
        <v>5</v>
      </c>
      <c r="D432" s="132" t="s">
        <v>112</v>
      </c>
      <c r="E432" s="132" t="s">
        <v>445</v>
      </c>
      <c r="F432" s="201"/>
      <c r="G432" s="185">
        <f>SUM(G433)</f>
        <v>24587.4</v>
      </c>
      <c r="H432" s="22"/>
      <c r="I432" s="22">
        <f t="shared" si="11"/>
        <v>0</v>
      </c>
    </row>
    <row r="433" spans="1:9" ht="15">
      <c r="A433" s="105" t="s">
        <v>469</v>
      </c>
      <c r="B433" s="157"/>
      <c r="C433" s="132" t="s">
        <v>5</v>
      </c>
      <c r="D433" s="132" t="s">
        <v>112</v>
      </c>
      <c r="E433" s="132" t="s">
        <v>445</v>
      </c>
      <c r="F433" s="201" t="s">
        <v>470</v>
      </c>
      <c r="G433" s="185">
        <v>24587.4</v>
      </c>
      <c r="H433" s="22">
        <f>SUM(H434)</f>
        <v>16711.6</v>
      </c>
      <c r="I433" s="22">
        <f t="shared" si="11"/>
        <v>2026.6310938636914</v>
      </c>
    </row>
    <row r="434" spans="1:9" ht="15">
      <c r="A434" s="105" t="s">
        <v>157</v>
      </c>
      <c r="B434" s="157"/>
      <c r="C434" s="132" t="s">
        <v>5</v>
      </c>
      <c r="D434" s="132" t="s">
        <v>355</v>
      </c>
      <c r="E434" s="132"/>
      <c r="F434" s="201"/>
      <c r="G434" s="185">
        <f>G435+G447+G455</f>
        <v>30067.6</v>
      </c>
      <c r="H434" s="22">
        <v>16711.6</v>
      </c>
      <c r="I434" s="22">
        <f t="shared" si="11"/>
        <v>2026.6310938636914</v>
      </c>
    </row>
    <row r="435" spans="1:9" ht="28.5">
      <c r="A435" s="105" t="s">
        <v>89</v>
      </c>
      <c r="B435" s="157"/>
      <c r="C435" s="132" t="s">
        <v>5</v>
      </c>
      <c r="D435" s="132" t="s">
        <v>355</v>
      </c>
      <c r="E435" s="132" t="s">
        <v>90</v>
      </c>
      <c r="F435" s="201"/>
      <c r="G435" s="185">
        <f>G436+G439+G442+G444</f>
        <v>27442.7</v>
      </c>
      <c r="H435" s="22">
        <f>SUM(H436)</f>
        <v>15109.199999999999</v>
      </c>
      <c r="I435" s="22">
        <f t="shared" si="11"/>
        <v>962.1855696363752</v>
      </c>
    </row>
    <row r="436" spans="1:9" ht="15">
      <c r="A436" s="105" t="s">
        <v>97</v>
      </c>
      <c r="B436" s="157"/>
      <c r="C436" s="132" t="s">
        <v>5</v>
      </c>
      <c r="D436" s="132" t="s">
        <v>355</v>
      </c>
      <c r="E436" s="132" t="s">
        <v>99</v>
      </c>
      <c r="F436" s="201"/>
      <c r="G436" s="185">
        <f>G437+G438</f>
        <v>3114.9</v>
      </c>
      <c r="H436" s="22">
        <f>SUM(H437)</f>
        <v>15109.199999999999</v>
      </c>
      <c r="I436" s="22">
        <f t="shared" si="11"/>
        <v>5036.4</v>
      </c>
    </row>
    <row r="437" spans="1:11" ht="28.5">
      <c r="A437" s="105" t="s">
        <v>571</v>
      </c>
      <c r="B437" s="157"/>
      <c r="C437" s="132" t="s">
        <v>5</v>
      </c>
      <c r="D437" s="132" t="s">
        <v>355</v>
      </c>
      <c r="E437" s="132" t="s">
        <v>99</v>
      </c>
      <c r="F437" s="201" t="s">
        <v>460</v>
      </c>
      <c r="G437" s="185">
        <v>3102.3</v>
      </c>
      <c r="H437" s="22">
        <f>SUM(H445+H439+H441+H447+H438)</f>
        <v>15109.199999999999</v>
      </c>
      <c r="I437" s="22">
        <f t="shared" si="11"/>
        <v>1189.4198220892702</v>
      </c>
      <c r="K437" s="94"/>
    </row>
    <row r="438" spans="1:9" ht="15">
      <c r="A438" s="105" t="s">
        <v>464</v>
      </c>
      <c r="B438" s="157"/>
      <c r="C438" s="132" t="s">
        <v>5</v>
      </c>
      <c r="D438" s="132" t="s">
        <v>355</v>
      </c>
      <c r="E438" s="132" t="s">
        <v>99</v>
      </c>
      <c r="F438" s="201" t="s">
        <v>110</v>
      </c>
      <c r="G438" s="185">
        <v>12.6</v>
      </c>
      <c r="H438" s="22">
        <v>227.6</v>
      </c>
      <c r="I438" s="22" t="e">
        <f t="shared" si="11"/>
        <v>#DIV/0!</v>
      </c>
    </row>
    <row r="439" spans="1:9" ht="42.75">
      <c r="A439" s="105" t="s">
        <v>572</v>
      </c>
      <c r="B439" s="157"/>
      <c r="C439" s="132" t="s">
        <v>5</v>
      </c>
      <c r="D439" s="132" t="s">
        <v>355</v>
      </c>
      <c r="E439" s="132" t="s">
        <v>160</v>
      </c>
      <c r="F439" s="201"/>
      <c r="G439" s="185">
        <f>G440+G441</f>
        <v>4233.2</v>
      </c>
      <c r="H439" s="22">
        <f>SUM(H440)</f>
        <v>0</v>
      </c>
      <c r="I439" s="22" t="e">
        <f t="shared" si="11"/>
        <v>#DIV/0!</v>
      </c>
    </row>
    <row r="440" spans="1:9" ht="28.5">
      <c r="A440" s="105" t="s">
        <v>571</v>
      </c>
      <c r="B440" s="157"/>
      <c r="C440" s="132" t="s">
        <v>5</v>
      </c>
      <c r="D440" s="132" t="s">
        <v>355</v>
      </c>
      <c r="E440" s="132" t="s">
        <v>160</v>
      </c>
      <c r="F440" s="201" t="s">
        <v>460</v>
      </c>
      <c r="G440" s="185">
        <v>3602.4</v>
      </c>
      <c r="H440" s="22"/>
      <c r="I440" s="22" t="e">
        <f t="shared" si="11"/>
        <v>#DIV/0!</v>
      </c>
    </row>
    <row r="441" spans="1:9" s="88" customFormat="1" ht="15">
      <c r="A441" s="105" t="s">
        <v>464</v>
      </c>
      <c r="B441" s="213"/>
      <c r="C441" s="132" t="s">
        <v>5</v>
      </c>
      <c r="D441" s="132" t="s">
        <v>355</v>
      </c>
      <c r="E441" s="132" t="s">
        <v>160</v>
      </c>
      <c r="F441" s="201" t="s">
        <v>110</v>
      </c>
      <c r="G441" s="185">
        <v>630.8</v>
      </c>
      <c r="H441" s="22">
        <f>SUM(H442)</f>
        <v>2507.7</v>
      </c>
      <c r="I441" s="22" t="e">
        <f>SUM(H441/#REF!*100)</f>
        <v>#REF!</v>
      </c>
    </row>
    <row r="442" spans="1:9" s="88" customFormat="1" ht="28.5">
      <c r="A442" s="105" t="s">
        <v>158</v>
      </c>
      <c r="B442" s="157"/>
      <c r="C442" s="132" t="s">
        <v>5</v>
      </c>
      <c r="D442" s="132" t="s">
        <v>355</v>
      </c>
      <c r="E442" s="132" t="s">
        <v>159</v>
      </c>
      <c r="F442" s="201"/>
      <c r="G442" s="185">
        <f>SUM(G443)</f>
        <v>14572.9</v>
      </c>
      <c r="H442" s="22">
        <v>2507.7</v>
      </c>
      <c r="I442" s="22" t="e">
        <f>SUM(H442/#REF!*100)</f>
        <v>#REF!</v>
      </c>
    </row>
    <row r="443" spans="1:9" s="88" customFormat="1" ht="28.5">
      <c r="A443" s="105" t="s">
        <v>571</v>
      </c>
      <c r="B443" s="157"/>
      <c r="C443" s="132" t="s">
        <v>5</v>
      </c>
      <c r="D443" s="132" t="s">
        <v>355</v>
      </c>
      <c r="E443" s="132" t="s">
        <v>159</v>
      </c>
      <c r="F443" s="201" t="s">
        <v>460</v>
      </c>
      <c r="G443" s="185">
        <v>14572.9</v>
      </c>
      <c r="H443" s="22"/>
      <c r="I443" s="22" t="e">
        <f>SUM(H443/#REF!*100)</f>
        <v>#REF!</v>
      </c>
    </row>
    <row r="444" spans="1:9" ht="28.5">
      <c r="A444" s="105" t="s">
        <v>161</v>
      </c>
      <c r="B444" s="213"/>
      <c r="C444" s="132" t="s">
        <v>5</v>
      </c>
      <c r="D444" s="132" t="s">
        <v>355</v>
      </c>
      <c r="E444" s="132" t="s">
        <v>162</v>
      </c>
      <c r="F444" s="201"/>
      <c r="G444" s="185">
        <f>G445+G446</f>
        <v>5521.700000000001</v>
      </c>
      <c r="H444" s="22">
        <f>2956.3+101.6</f>
        <v>3057.9</v>
      </c>
      <c r="I444" s="22" t="e">
        <f>SUM(H444/#REF!*100)</f>
        <v>#REF!</v>
      </c>
    </row>
    <row r="445" spans="1:9" ht="28.5">
      <c r="A445" s="105" t="s">
        <v>571</v>
      </c>
      <c r="B445" s="157"/>
      <c r="C445" s="132" t="s">
        <v>5</v>
      </c>
      <c r="D445" s="132" t="s">
        <v>355</v>
      </c>
      <c r="E445" s="132" t="s">
        <v>162</v>
      </c>
      <c r="F445" s="201" t="s">
        <v>460</v>
      </c>
      <c r="G445" s="185">
        <v>4955.6</v>
      </c>
      <c r="H445" s="22">
        <f>SUM(H446)</f>
        <v>10267.1</v>
      </c>
      <c r="I445" s="22" t="e">
        <f>SUM(H445/#REF!*100)</f>
        <v>#REF!</v>
      </c>
    </row>
    <row r="446" spans="1:9" ht="15">
      <c r="A446" s="105" t="s">
        <v>464</v>
      </c>
      <c r="B446" s="157"/>
      <c r="C446" s="132" t="s">
        <v>5</v>
      </c>
      <c r="D446" s="132" t="s">
        <v>355</v>
      </c>
      <c r="E446" s="132" t="s">
        <v>162</v>
      </c>
      <c r="F446" s="201" t="s">
        <v>110</v>
      </c>
      <c r="G446" s="185">
        <v>566.1</v>
      </c>
      <c r="H446" s="22">
        <v>10267.1</v>
      </c>
      <c r="I446" s="22" t="e">
        <f>SUM(H446/#REF!*100)</f>
        <v>#REF!</v>
      </c>
    </row>
    <row r="447" spans="1:9" s="88" customFormat="1" ht="28.5">
      <c r="A447" s="105" t="s">
        <v>461</v>
      </c>
      <c r="B447" s="157"/>
      <c r="C447" s="132" t="s">
        <v>5</v>
      </c>
      <c r="D447" s="132" t="s">
        <v>355</v>
      </c>
      <c r="E447" s="132" t="s">
        <v>462</v>
      </c>
      <c r="F447" s="201"/>
      <c r="G447" s="185">
        <f>G448+G450+G452</f>
        <v>2624.8999999999996</v>
      </c>
      <c r="H447" s="22">
        <f>SUM(H448)</f>
        <v>2106.8</v>
      </c>
      <c r="I447" s="22" t="e">
        <f>SUM(H447/#REF!*100)</f>
        <v>#REF!</v>
      </c>
    </row>
    <row r="448" spans="1:9" ht="15">
      <c r="A448" s="105" t="s">
        <v>450</v>
      </c>
      <c r="B448" s="213"/>
      <c r="C448" s="132" t="s">
        <v>5</v>
      </c>
      <c r="D448" s="132" t="s">
        <v>355</v>
      </c>
      <c r="E448" s="132" t="s">
        <v>463</v>
      </c>
      <c r="F448" s="201"/>
      <c r="G448" s="185">
        <f>SUM(G449)</f>
        <v>230</v>
      </c>
      <c r="H448" s="22">
        <v>2106.8</v>
      </c>
      <c r="I448" s="22" t="e">
        <f>SUM(H448/#REF!*100)</f>
        <v>#REF!</v>
      </c>
    </row>
    <row r="449" spans="1:9" s="76" customFormat="1" ht="15">
      <c r="A449" s="105" t="s">
        <v>464</v>
      </c>
      <c r="B449" s="157"/>
      <c r="C449" s="132" t="s">
        <v>5</v>
      </c>
      <c r="D449" s="132" t="s">
        <v>355</v>
      </c>
      <c r="E449" s="132" t="s">
        <v>463</v>
      </c>
      <c r="F449" s="201" t="s">
        <v>110</v>
      </c>
      <c r="G449" s="185">
        <v>230</v>
      </c>
      <c r="H449" s="22"/>
      <c r="I449" s="22"/>
    </row>
    <row r="450" spans="1:9" s="76" customFormat="1" ht="28.5">
      <c r="A450" s="105" t="s">
        <v>451</v>
      </c>
      <c r="B450" s="213"/>
      <c r="C450" s="132" t="s">
        <v>5</v>
      </c>
      <c r="D450" s="132" t="s">
        <v>355</v>
      </c>
      <c r="E450" s="132" t="s">
        <v>466</v>
      </c>
      <c r="F450" s="201"/>
      <c r="G450" s="185">
        <f>SUM(G451)</f>
        <v>824.6</v>
      </c>
      <c r="H450" s="22"/>
      <c r="I450" s="22"/>
    </row>
    <row r="451" spans="1:9" s="76" customFormat="1" ht="15">
      <c r="A451" s="105" t="s">
        <v>464</v>
      </c>
      <c r="B451" s="157"/>
      <c r="C451" s="132" t="s">
        <v>5</v>
      </c>
      <c r="D451" s="132" t="s">
        <v>355</v>
      </c>
      <c r="E451" s="132" t="s">
        <v>466</v>
      </c>
      <c r="F451" s="201" t="s">
        <v>110</v>
      </c>
      <c r="G451" s="185">
        <v>824.6</v>
      </c>
      <c r="H451" s="22"/>
      <c r="I451" s="22"/>
    </row>
    <row r="452" spans="1:9" s="76" customFormat="1" ht="28.5">
      <c r="A452" s="105" t="s">
        <v>467</v>
      </c>
      <c r="B452" s="213"/>
      <c r="C452" s="132" t="s">
        <v>5</v>
      </c>
      <c r="D452" s="132" t="s">
        <v>355</v>
      </c>
      <c r="E452" s="132" t="s">
        <v>468</v>
      </c>
      <c r="F452" s="201"/>
      <c r="G452" s="185">
        <f>G453+G454</f>
        <v>1570.3</v>
      </c>
      <c r="H452" s="22">
        <v>1026.3</v>
      </c>
      <c r="I452" s="22" t="e">
        <f>SUM(H452/#REF!*100)</f>
        <v>#REF!</v>
      </c>
    </row>
    <row r="453" spans="1:9" s="76" customFormat="1" ht="28.5">
      <c r="A453" s="105" t="s">
        <v>571</v>
      </c>
      <c r="B453" s="157"/>
      <c r="C453" s="132" t="s">
        <v>5</v>
      </c>
      <c r="D453" s="132" t="s">
        <v>355</v>
      </c>
      <c r="E453" s="132" t="s">
        <v>468</v>
      </c>
      <c r="F453" s="201" t="s">
        <v>460</v>
      </c>
      <c r="G453" s="185">
        <v>300</v>
      </c>
      <c r="H453" s="22"/>
      <c r="I453" s="22"/>
    </row>
    <row r="454" spans="1:9" s="76" customFormat="1" ht="15">
      <c r="A454" s="105" t="s">
        <v>464</v>
      </c>
      <c r="B454" s="157"/>
      <c r="C454" s="132" t="s">
        <v>5</v>
      </c>
      <c r="D454" s="132" t="s">
        <v>355</v>
      </c>
      <c r="E454" s="132" t="s">
        <v>468</v>
      </c>
      <c r="F454" s="201" t="s">
        <v>110</v>
      </c>
      <c r="G454" s="185">
        <v>1270.3</v>
      </c>
      <c r="H454" s="22"/>
      <c r="I454" s="22"/>
    </row>
    <row r="455" spans="1:9" s="76" customFormat="1" ht="15" hidden="1">
      <c r="A455" s="105" t="s">
        <v>568</v>
      </c>
      <c r="B455" s="157"/>
      <c r="C455" s="132" t="s">
        <v>5</v>
      </c>
      <c r="D455" s="132" t="s">
        <v>355</v>
      </c>
      <c r="E455" s="132" t="s">
        <v>119</v>
      </c>
      <c r="F455" s="201"/>
      <c r="G455" s="185">
        <f>G456</f>
        <v>0</v>
      </c>
      <c r="H455" s="22"/>
      <c r="I455" s="22"/>
    </row>
    <row r="456" spans="1:9" s="76" customFormat="1" ht="42.75" hidden="1">
      <c r="A456" s="105" t="s">
        <v>573</v>
      </c>
      <c r="B456" s="157"/>
      <c r="C456" s="132" t="s">
        <v>5</v>
      </c>
      <c r="D456" s="132" t="s">
        <v>355</v>
      </c>
      <c r="E456" s="132" t="s">
        <v>329</v>
      </c>
      <c r="F456" s="201"/>
      <c r="G456" s="185">
        <f>G457</f>
        <v>0</v>
      </c>
      <c r="H456" s="22"/>
      <c r="I456" s="22"/>
    </row>
    <row r="457" spans="1:9" ht="28.5" hidden="1">
      <c r="A457" s="105" t="s">
        <v>566</v>
      </c>
      <c r="B457" s="157"/>
      <c r="C457" s="132" t="s">
        <v>5</v>
      </c>
      <c r="D457" s="132" t="s">
        <v>355</v>
      </c>
      <c r="E457" s="132" t="s">
        <v>329</v>
      </c>
      <c r="F457" s="201" t="s">
        <v>477</v>
      </c>
      <c r="G457" s="185"/>
      <c r="H457" s="22"/>
      <c r="I457" s="22"/>
    </row>
    <row r="458" spans="1:9" ht="30">
      <c r="A458" s="114" t="s">
        <v>452</v>
      </c>
      <c r="B458" s="140" t="s">
        <v>191</v>
      </c>
      <c r="C458" s="214"/>
      <c r="D458" s="214"/>
      <c r="E458" s="214"/>
      <c r="F458" s="215"/>
      <c r="G458" s="223">
        <f>SUM(G459+G465)</f>
        <v>62961.4</v>
      </c>
      <c r="H458" s="22"/>
      <c r="I458" s="22"/>
    </row>
    <row r="459" spans="1:9" ht="15">
      <c r="A459" s="99" t="s">
        <v>106</v>
      </c>
      <c r="B459" s="46"/>
      <c r="C459" s="128" t="s">
        <v>107</v>
      </c>
      <c r="D459" s="128"/>
      <c r="E459" s="128"/>
      <c r="F459" s="143"/>
      <c r="G459" s="177">
        <f>SUM(G460)</f>
        <v>55813.3</v>
      </c>
      <c r="H459" s="22"/>
      <c r="I459" s="22"/>
    </row>
    <row r="460" spans="1:9" ht="15">
      <c r="A460" s="99" t="s">
        <v>324</v>
      </c>
      <c r="B460" s="145"/>
      <c r="C460" s="128" t="s">
        <v>107</v>
      </c>
      <c r="D460" s="128" t="s">
        <v>425</v>
      </c>
      <c r="E460" s="128"/>
      <c r="F460" s="143"/>
      <c r="G460" s="177">
        <f>SUM(G461)</f>
        <v>55813.3</v>
      </c>
      <c r="H460" s="22"/>
      <c r="I460" s="22"/>
    </row>
    <row r="461" spans="1:9" ht="15">
      <c r="A461" s="99" t="s">
        <v>301</v>
      </c>
      <c r="B461" s="46"/>
      <c r="C461" s="128" t="s">
        <v>107</v>
      </c>
      <c r="D461" s="128" t="s">
        <v>425</v>
      </c>
      <c r="E461" s="128" t="s">
        <v>302</v>
      </c>
      <c r="F461" s="143"/>
      <c r="G461" s="177">
        <f>SUM(G462)</f>
        <v>55813.3</v>
      </c>
      <c r="H461" s="22"/>
      <c r="I461" s="22"/>
    </row>
    <row r="462" spans="1:9" ht="15">
      <c r="A462" s="99" t="s">
        <v>11</v>
      </c>
      <c r="B462" s="145"/>
      <c r="C462" s="128" t="s">
        <v>107</v>
      </c>
      <c r="D462" s="128" t="s">
        <v>425</v>
      </c>
      <c r="E462" s="128" t="s">
        <v>68</v>
      </c>
      <c r="F462" s="143"/>
      <c r="G462" s="177">
        <f>SUM(G463)</f>
        <v>55813.3</v>
      </c>
      <c r="H462" s="22"/>
      <c r="I462" s="22"/>
    </row>
    <row r="463" spans="1:9" ht="28.5">
      <c r="A463" s="99" t="s">
        <v>84</v>
      </c>
      <c r="B463" s="145"/>
      <c r="C463" s="128" t="s">
        <v>107</v>
      </c>
      <c r="D463" s="128" t="s">
        <v>425</v>
      </c>
      <c r="E463" s="128" t="s">
        <v>69</v>
      </c>
      <c r="F463" s="143"/>
      <c r="G463" s="177">
        <f>SUM(G464)</f>
        <v>55813.3</v>
      </c>
      <c r="H463" s="65"/>
      <c r="I463" s="22"/>
    </row>
    <row r="464" spans="1:9" ht="28.5">
      <c r="A464" s="105" t="s">
        <v>481</v>
      </c>
      <c r="B464" s="155"/>
      <c r="C464" s="128" t="s">
        <v>107</v>
      </c>
      <c r="D464" s="128" t="s">
        <v>425</v>
      </c>
      <c r="E464" s="128" t="s">
        <v>69</v>
      </c>
      <c r="F464" s="144" t="s">
        <v>477</v>
      </c>
      <c r="G464" s="177">
        <v>55813.3</v>
      </c>
      <c r="H464" s="65"/>
      <c r="I464" s="22"/>
    </row>
    <row r="465" spans="1:9" ht="15.75">
      <c r="A465" s="99" t="s">
        <v>233</v>
      </c>
      <c r="B465" s="46"/>
      <c r="C465" s="128" t="s">
        <v>383</v>
      </c>
      <c r="D465" s="128"/>
      <c r="E465" s="128"/>
      <c r="F465" s="143"/>
      <c r="G465" s="177">
        <f>SUM(G466+G485+G481)</f>
        <v>7148.1</v>
      </c>
      <c r="H465" s="65"/>
      <c r="I465" s="22"/>
    </row>
    <row r="466" spans="1:9" ht="15.75">
      <c r="A466" s="99" t="s">
        <v>226</v>
      </c>
      <c r="B466" s="46"/>
      <c r="C466" s="55" t="s">
        <v>383</v>
      </c>
      <c r="D466" s="55" t="s">
        <v>423</v>
      </c>
      <c r="E466" s="55"/>
      <c r="F466" s="142"/>
      <c r="G466" s="177">
        <f>SUM(G467,G469,G475)</f>
        <v>7148.1</v>
      </c>
      <c r="H466" s="65"/>
      <c r="I466" s="22"/>
    </row>
    <row r="467" spans="1:9" ht="15.75" hidden="1">
      <c r="A467" s="105" t="s">
        <v>351</v>
      </c>
      <c r="B467" s="46"/>
      <c r="C467" s="55" t="s">
        <v>288</v>
      </c>
      <c r="D467" s="55" t="s">
        <v>114</v>
      </c>
      <c r="E467" s="128" t="s">
        <v>352</v>
      </c>
      <c r="F467" s="143"/>
      <c r="G467" s="177">
        <f>SUM(G468)</f>
        <v>0</v>
      </c>
      <c r="H467" s="65"/>
      <c r="I467" s="22"/>
    </row>
    <row r="468" spans="1:9" ht="15.75" hidden="1">
      <c r="A468" s="99" t="s">
        <v>93</v>
      </c>
      <c r="B468" s="46"/>
      <c r="C468" s="55" t="s">
        <v>288</v>
      </c>
      <c r="D468" s="55" t="s">
        <v>114</v>
      </c>
      <c r="E468" s="128" t="s">
        <v>352</v>
      </c>
      <c r="F468" s="143" t="s">
        <v>94</v>
      </c>
      <c r="G468" s="177">
        <f>50.3-50.3</f>
        <v>0</v>
      </c>
      <c r="H468" s="65"/>
      <c r="I468" s="22"/>
    </row>
    <row r="469" spans="1:9" ht="28.5">
      <c r="A469" s="99" t="s">
        <v>453</v>
      </c>
      <c r="B469" s="46"/>
      <c r="C469" s="55" t="s">
        <v>383</v>
      </c>
      <c r="D469" s="55" t="s">
        <v>423</v>
      </c>
      <c r="E469" s="55" t="s">
        <v>454</v>
      </c>
      <c r="F469" s="143"/>
      <c r="G469" s="177">
        <f>SUM(G470)</f>
        <v>3854.3</v>
      </c>
      <c r="H469" s="65"/>
      <c r="I469" s="22"/>
    </row>
    <row r="470" spans="1:9" ht="28.5">
      <c r="A470" s="99" t="s">
        <v>47</v>
      </c>
      <c r="B470" s="46"/>
      <c r="C470" s="55" t="s">
        <v>383</v>
      </c>
      <c r="D470" s="55" t="s">
        <v>423</v>
      </c>
      <c r="E470" s="55" t="s">
        <v>455</v>
      </c>
      <c r="F470" s="143"/>
      <c r="G470" s="177">
        <f>SUM(G471)</f>
        <v>3854.3</v>
      </c>
      <c r="H470" s="65"/>
      <c r="I470" s="22"/>
    </row>
    <row r="471" spans="1:9" ht="28.5">
      <c r="A471" s="99" t="s">
        <v>542</v>
      </c>
      <c r="B471" s="46"/>
      <c r="C471" s="55" t="s">
        <v>383</v>
      </c>
      <c r="D471" s="55" t="s">
        <v>423</v>
      </c>
      <c r="E471" s="55" t="s">
        <v>543</v>
      </c>
      <c r="F471" s="143"/>
      <c r="G471" s="177">
        <f>SUM(G472:G474)</f>
        <v>3854.3</v>
      </c>
      <c r="H471" s="65"/>
      <c r="I471" s="22"/>
    </row>
    <row r="472" spans="1:9" ht="28.5">
      <c r="A472" s="99" t="s">
        <v>459</v>
      </c>
      <c r="B472" s="46"/>
      <c r="C472" s="55" t="s">
        <v>383</v>
      </c>
      <c r="D472" s="55" t="s">
        <v>423</v>
      </c>
      <c r="E472" s="55" t="s">
        <v>543</v>
      </c>
      <c r="F472" s="142" t="s">
        <v>460</v>
      </c>
      <c r="G472" s="177">
        <v>3228.9</v>
      </c>
      <c r="H472" s="22">
        <f>SUM(H473)</f>
        <v>79.5</v>
      </c>
      <c r="I472" s="22"/>
    </row>
    <row r="473" spans="1:9" ht="15">
      <c r="A473" s="99" t="s">
        <v>464</v>
      </c>
      <c r="B473" s="46"/>
      <c r="C473" s="55" t="s">
        <v>383</v>
      </c>
      <c r="D473" s="55" t="s">
        <v>423</v>
      </c>
      <c r="E473" s="55" t="s">
        <v>543</v>
      </c>
      <c r="F473" s="142" t="s">
        <v>110</v>
      </c>
      <c r="G473" s="178">
        <v>619.4</v>
      </c>
      <c r="H473" s="22">
        <v>79.5</v>
      </c>
      <c r="I473" s="22"/>
    </row>
    <row r="474" spans="1:9" ht="15">
      <c r="A474" s="99" t="s">
        <v>465</v>
      </c>
      <c r="B474" s="46"/>
      <c r="C474" s="55" t="s">
        <v>383</v>
      </c>
      <c r="D474" s="55" t="s">
        <v>423</v>
      </c>
      <c r="E474" s="55" t="s">
        <v>543</v>
      </c>
      <c r="F474" s="143" t="s">
        <v>165</v>
      </c>
      <c r="G474" s="177">
        <v>6</v>
      </c>
      <c r="H474" s="22">
        <f>SUM(H476)</f>
        <v>186.6</v>
      </c>
      <c r="I474" s="22" t="e">
        <f>SUM(H474/G494*100)</f>
        <v>#DIV/0!</v>
      </c>
    </row>
    <row r="475" spans="1:9" ht="15">
      <c r="A475" s="105" t="s">
        <v>118</v>
      </c>
      <c r="B475" s="46"/>
      <c r="C475" s="55" t="s">
        <v>383</v>
      </c>
      <c r="D475" s="55" t="s">
        <v>423</v>
      </c>
      <c r="E475" s="133" t="s">
        <v>119</v>
      </c>
      <c r="F475" s="142"/>
      <c r="G475" s="177">
        <f>SUM(G476)</f>
        <v>3293.8</v>
      </c>
      <c r="H475" s="22">
        <f>SUM(H476)</f>
        <v>186.6</v>
      </c>
      <c r="I475" s="22" t="e">
        <f>SUM(H475/G495*100)</f>
        <v>#DIV/0!</v>
      </c>
    </row>
    <row r="476" spans="1:9" ht="28.5">
      <c r="A476" s="99" t="s">
        <v>544</v>
      </c>
      <c r="B476" s="46"/>
      <c r="C476" s="55" t="s">
        <v>383</v>
      </c>
      <c r="D476" s="55" t="s">
        <v>423</v>
      </c>
      <c r="E476" s="133" t="s">
        <v>88</v>
      </c>
      <c r="F476" s="142"/>
      <c r="G476" s="177">
        <f>SUM(G477:G478)</f>
        <v>3293.8</v>
      </c>
      <c r="H476" s="22">
        <v>186.6</v>
      </c>
      <c r="I476" s="22" t="e">
        <f>SUM(H476/G496*100)</f>
        <v>#DIV/0!</v>
      </c>
    </row>
    <row r="477" spans="1:9" ht="15.75">
      <c r="A477" s="99" t="s">
        <v>464</v>
      </c>
      <c r="B477" s="46"/>
      <c r="C477" s="55" t="s">
        <v>383</v>
      </c>
      <c r="D477" s="55" t="s">
        <v>423</v>
      </c>
      <c r="E477" s="133" t="s">
        <v>88</v>
      </c>
      <c r="F477" s="142" t="s">
        <v>110</v>
      </c>
      <c r="G477" s="177">
        <v>2321.8</v>
      </c>
      <c r="H477" s="65" t="e">
        <f>SUM(H478)</f>
        <v>#REF!</v>
      </c>
      <c r="I477" s="65" t="e">
        <f>SUM(H477/#REF!*100)</f>
        <v>#REF!</v>
      </c>
    </row>
    <row r="478" spans="1:9" ht="28.5">
      <c r="A478" s="105" t="s">
        <v>481</v>
      </c>
      <c r="B478" s="46"/>
      <c r="C478" s="55" t="s">
        <v>383</v>
      </c>
      <c r="D478" s="55" t="s">
        <v>423</v>
      </c>
      <c r="E478" s="133" t="s">
        <v>88</v>
      </c>
      <c r="F478" s="142" t="s">
        <v>477</v>
      </c>
      <c r="G478" s="177">
        <v>972</v>
      </c>
      <c r="H478" s="22" t="e">
        <f>SUM(H479)</f>
        <v>#REF!</v>
      </c>
      <c r="I478" s="22" t="e">
        <f>SUM(H478/#REF!*100)</f>
        <v>#REF!</v>
      </c>
    </row>
    <row r="479" spans="1:9" ht="28.5" hidden="1">
      <c r="A479" s="99" t="s">
        <v>142</v>
      </c>
      <c r="B479" s="46"/>
      <c r="C479" s="55" t="s">
        <v>383</v>
      </c>
      <c r="D479" s="55" t="s">
        <v>423</v>
      </c>
      <c r="E479" s="133" t="s">
        <v>376</v>
      </c>
      <c r="F479" s="142"/>
      <c r="G479" s="177">
        <f>SUM(G480)</f>
        <v>0</v>
      </c>
      <c r="H479" s="22" t="e">
        <f>SUM(H480+#REF!)</f>
        <v>#REF!</v>
      </c>
      <c r="I479" s="22" t="e">
        <f>SUM(H479/#REF!*100)</f>
        <v>#REF!</v>
      </c>
    </row>
    <row r="480" spans="1:9" ht="15" hidden="1">
      <c r="A480" s="105" t="s">
        <v>133</v>
      </c>
      <c r="B480" s="46"/>
      <c r="C480" s="55" t="s">
        <v>383</v>
      </c>
      <c r="D480" s="55" t="s">
        <v>423</v>
      </c>
      <c r="E480" s="133" t="s">
        <v>376</v>
      </c>
      <c r="F480" s="142" t="s">
        <v>73</v>
      </c>
      <c r="G480" s="177"/>
      <c r="H480" s="22" t="e">
        <f>SUM(H481+H483+#REF!+#REF!+#REF!+#REF!)</f>
        <v>#REF!</v>
      </c>
      <c r="I480" s="22" t="e">
        <f>SUM(H480/#REF!*100)</f>
        <v>#REF!</v>
      </c>
    </row>
    <row r="481" spans="1:9" ht="15" hidden="1">
      <c r="A481" s="99" t="s">
        <v>145</v>
      </c>
      <c r="B481" s="46"/>
      <c r="C481" s="55" t="s">
        <v>383</v>
      </c>
      <c r="D481" s="55" t="s">
        <v>425</v>
      </c>
      <c r="E481" s="128"/>
      <c r="F481" s="143"/>
      <c r="G481" s="177">
        <f>SUM(G482)</f>
        <v>0</v>
      </c>
      <c r="H481" s="22">
        <f>SUM(H482)</f>
        <v>2461.2</v>
      </c>
      <c r="I481" s="22" t="e">
        <f>SUM(H481/#REF!*100)</f>
        <v>#REF!</v>
      </c>
    </row>
    <row r="482" spans="1:9" ht="15" hidden="1">
      <c r="A482" s="99" t="s">
        <v>3</v>
      </c>
      <c r="B482" s="46"/>
      <c r="C482" s="55" t="s">
        <v>383</v>
      </c>
      <c r="D482" s="55" t="s">
        <v>425</v>
      </c>
      <c r="E482" s="55" t="s">
        <v>4</v>
      </c>
      <c r="F482" s="143"/>
      <c r="G482" s="177">
        <f>SUM(G483)</f>
        <v>0</v>
      </c>
      <c r="H482" s="22">
        <v>2461.2</v>
      </c>
      <c r="I482" s="22" t="e">
        <f>SUM(H482/#REF!*100)</f>
        <v>#REF!</v>
      </c>
    </row>
    <row r="483" spans="1:9" ht="28.5" hidden="1">
      <c r="A483" s="99" t="s">
        <v>146</v>
      </c>
      <c r="B483" s="46"/>
      <c r="C483" s="55" t="s">
        <v>383</v>
      </c>
      <c r="D483" s="55" t="s">
        <v>425</v>
      </c>
      <c r="E483" s="55" t="s">
        <v>281</v>
      </c>
      <c r="F483" s="143"/>
      <c r="G483" s="177">
        <f>SUM(G484)</f>
        <v>0</v>
      </c>
      <c r="H483" s="22">
        <f>SUM(H484)</f>
        <v>25107.2</v>
      </c>
      <c r="I483" s="22" t="e">
        <f>SUM(H483/#REF!*100)</f>
        <v>#REF!</v>
      </c>
    </row>
    <row r="484" spans="1:9" ht="15" hidden="1">
      <c r="A484" s="105" t="s">
        <v>133</v>
      </c>
      <c r="B484" s="46"/>
      <c r="C484" s="55" t="s">
        <v>383</v>
      </c>
      <c r="D484" s="55" t="s">
        <v>425</v>
      </c>
      <c r="E484" s="55" t="s">
        <v>281</v>
      </c>
      <c r="F484" s="142" t="s">
        <v>73</v>
      </c>
      <c r="G484" s="177"/>
      <c r="H484" s="22">
        <v>25107.2</v>
      </c>
      <c r="I484" s="22" t="e">
        <f>SUM(H484/#REF!*100)</f>
        <v>#REF!</v>
      </c>
    </row>
    <row r="485" spans="1:9" ht="15" hidden="1">
      <c r="A485" s="99" t="s">
        <v>227</v>
      </c>
      <c r="B485" s="46"/>
      <c r="C485" s="55" t="s">
        <v>383</v>
      </c>
      <c r="D485" s="55" t="s">
        <v>121</v>
      </c>
      <c r="E485" s="128"/>
      <c r="F485" s="143"/>
      <c r="G485" s="177">
        <f>SUM(G486+G492+G494)+G489</f>
        <v>0</v>
      </c>
      <c r="H485" s="22">
        <f>SUM(H489+H550+H548)</f>
        <v>56722</v>
      </c>
      <c r="I485" s="22">
        <f>SUM(H485/G501*100)</f>
        <v>10.354134699037894</v>
      </c>
    </row>
    <row r="486" spans="1:9" ht="28.5" hidden="1">
      <c r="A486" s="99" t="s">
        <v>89</v>
      </c>
      <c r="B486" s="46"/>
      <c r="C486" s="55" t="s">
        <v>383</v>
      </c>
      <c r="D486" s="55" t="s">
        <v>121</v>
      </c>
      <c r="E486" s="55" t="s">
        <v>90</v>
      </c>
      <c r="F486" s="143"/>
      <c r="G486" s="177">
        <f>SUM(G487)</f>
        <v>0</v>
      </c>
      <c r="H486" s="22"/>
      <c r="I486" s="22"/>
    </row>
    <row r="487" spans="1:9" ht="15" hidden="1">
      <c r="A487" s="99" t="s">
        <v>97</v>
      </c>
      <c r="B487" s="46"/>
      <c r="C487" s="55" t="s">
        <v>383</v>
      </c>
      <c r="D487" s="55" t="s">
        <v>121</v>
      </c>
      <c r="E487" s="55" t="s">
        <v>99</v>
      </c>
      <c r="F487" s="143"/>
      <c r="G487" s="177">
        <f>SUM(G488)</f>
        <v>0</v>
      </c>
      <c r="H487" s="22"/>
      <c r="I487" s="22"/>
    </row>
    <row r="488" spans="1:9" ht="15" hidden="1">
      <c r="A488" s="99" t="s">
        <v>93</v>
      </c>
      <c r="B488" s="46"/>
      <c r="C488" s="55" t="s">
        <v>383</v>
      </c>
      <c r="D488" s="55" t="s">
        <v>121</v>
      </c>
      <c r="E488" s="55" t="s">
        <v>99</v>
      </c>
      <c r="F488" s="142" t="s">
        <v>94</v>
      </c>
      <c r="G488" s="177"/>
      <c r="H488" s="22"/>
      <c r="I488" s="22"/>
    </row>
    <row r="489" spans="1:9" ht="15" hidden="1">
      <c r="A489" s="105" t="s">
        <v>118</v>
      </c>
      <c r="B489" s="46"/>
      <c r="C489" s="55" t="s">
        <v>383</v>
      </c>
      <c r="D489" s="55" t="s">
        <v>121</v>
      </c>
      <c r="E489" s="133" t="s">
        <v>119</v>
      </c>
      <c r="F489" s="142"/>
      <c r="G489" s="177">
        <f>SUM(G490)</f>
        <v>0</v>
      </c>
      <c r="H489" s="22">
        <v>56722</v>
      </c>
      <c r="I489" s="22">
        <f>SUM(H489/G505*100)</f>
        <v>14.263280514284778</v>
      </c>
    </row>
    <row r="490" spans="1:9" ht="42.75" hidden="1">
      <c r="A490" s="108" t="s">
        <v>196</v>
      </c>
      <c r="B490" s="46"/>
      <c r="C490" s="55" t="s">
        <v>383</v>
      </c>
      <c r="D490" s="55" t="s">
        <v>121</v>
      </c>
      <c r="E490" s="128" t="s">
        <v>286</v>
      </c>
      <c r="F490" s="142"/>
      <c r="G490" s="177">
        <f>SUM(G491)</f>
        <v>0</v>
      </c>
      <c r="H490" s="22"/>
      <c r="I490" s="22"/>
    </row>
    <row r="491" spans="1:9" ht="15" hidden="1">
      <c r="A491" s="99" t="s">
        <v>93</v>
      </c>
      <c r="B491" s="46"/>
      <c r="C491" s="55" t="s">
        <v>383</v>
      </c>
      <c r="D491" s="55" t="s">
        <v>121</v>
      </c>
      <c r="E491" s="128" t="s">
        <v>286</v>
      </c>
      <c r="F491" s="142" t="s">
        <v>94</v>
      </c>
      <c r="G491" s="177"/>
      <c r="H491" s="22"/>
      <c r="I491" s="22"/>
    </row>
    <row r="492" spans="1:9" ht="15" hidden="1">
      <c r="A492" s="105" t="s">
        <v>351</v>
      </c>
      <c r="B492" s="46"/>
      <c r="C492" s="55" t="s">
        <v>383</v>
      </c>
      <c r="D492" s="55" t="s">
        <v>121</v>
      </c>
      <c r="E492" s="128" t="s">
        <v>352</v>
      </c>
      <c r="F492" s="143"/>
      <c r="G492" s="177">
        <f>SUM(G493)</f>
        <v>0</v>
      </c>
      <c r="H492" s="22"/>
      <c r="I492" s="22"/>
    </row>
    <row r="493" spans="1:9" ht="15" hidden="1">
      <c r="A493" s="99" t="s">
        <v>93</v>
      </c>
      <c r="B493" s="46"/>
      <c r="C493" s="55" t="s">
        <v>383</v>
      </c>
      <c r="D493" s="55" t="s">
        <v>121</v>
      </c>
      <c r="E493" s="128" t="s">
        <v>352</v>
      </c>
      <c r="F493" s="143" t="s">
        <v>94</v>
      </c>
      <c r="G493" s="177"/>
      <c r="H493" s="22"/>
      <c r="I493" s="22"/>
    </row>
    <row r="494" spans="1:9" ht="28.5" hidden="1">
      <c r="A494" s="100" t="s">
        <v>103</v>
      </c>
      <c r="B494" s="46"/>
      <c r="C494" s="55" t="s">
        <v>383</v>
      </c>
      <c r="D494" s="55" t="s">
        <v>121</v>
      </c>
      <c r="E494" s="55" t="s">
        <v>104</v>
      </c>
      <c r="F494" s="144"/>
      <c r="G494" s="177">
        <f>SUM(G496)</f>
        <v>0</v>
      </c>
      <c r="H494" s="22"/>
      <c r="I494" s="22"/>
    </row>
    <row r="495" spans="1:9" ht="15" hidden="1">
      <c r="A495" s="100" t="s">
        <v>105</v>
      </c>
      <c r="B495" s="46"/>
      <c r="C495" s="55" t="s">
        <v>383</v>
      </c>
      <c r="D495" s="55" t="s">
        <v>121</v>
      </c>
      <c r="E495" s="55" t="s">
        <v>236</v>
      </c>
      <c r="F495" s="144"/>
      <c r="G495" s="177">
        <f>SUM(G496)</f>
        <v>0</v>
      </c>
      <c r="H495" s="22"/>
      <c r="I495" s="22"/>
    </row>
    <row r="496" spans="1:9" ht="15" hidden="1">
      <c r="A496" s="99" t="s">
        <v>93</v>
      </c>
      <c r="B496" s="46"/>
      <c r="C496" s="55" t="s">
        <v>383</v>
      </c>
      <c r="D496" s="55" t="s">
        <v>121</v>
      </c>
      <c r="E496" s="55" t="s">
        <v>236</v>
      </c>
      <c r="F496" s="144" t="s">
        <v>94</v>
      </c>
      <c r="G496" s="177"/>
      <c r="H496" s="22"/>
      <c r="I496" s="22"/>
    </row>
    <row r="497" spans="1:9" ht="15">
      <c r="A497" s="102" t="s">
        <v>293</v>
      </c>
      <c r="B497" s="145" t="s">
        <v>251</v>
      </c>
      <c r="C497" s="131"/>
      <c r="D497" s="131"/>
      <c r="E497" s="131"/>
      <c r="F497" s="146"/>
      <c r="G497" s="184">
        <f>SUM(G498+G574)</f>
        <v>1532750.6000000003</v>
      </c>
      <c r="H497" s="22"/>
      <c r="I497" s="22"/>
    </row>
    <row r="498" spans="1:9" ht="15">
      <c r="A498" s="105" t="s">
        <v>106</v>
      </c>
      <c r="B498" s="57"/>
      <c r="C498" s="120" t="s">
        <v>107</v>
      </c>
      <c r="D498" s="120"/>
      <c r="E498" s="120"/>
      <c r="F498" s="216"/>
      <c r="G498" s="182">
        <f>SUM(G499+G516+G548+G568)</f>
        <v>1496231.4000000004</v>
      </c>
      <c r="H498" s="22"/>
      <c r="I498" s="22"/>
    </row>
    <row r="499" spans="1:9" ht="15">
      <c r="A499" s="105" t="s">
        <v>319</v>
      </c>
      <c r="B499" s="155"/>
      <c r="C499" s="120" t="s">
        <v>107</v>
      </c>
      <c r="D499" s="120" t="s">
        <v>423</v>
      </c>
      <c r="E499" s="120"/>
      <c r="F499" s="216"/>
      <c r="G499" s="182">
        <f>SUM(G500+G514)</f>
        <v>640144.1000000001</v>
      </c>
      <c r="H499" s="22">
        <v>187516.5</v>
      </c>
      <c r="I499" s="22">
        <f>SUM(H499/G519*100)</f>
        <v>244.8028042141542</v>
      </c>
    </row>
    <row r="500" spans="1:9" s="76" customFormat="1" ht="15">
      <c r="A500" s="105" t="s">
        <v>320</v>
      </c>
      <c r="B500" s="155"/>
      <c r="C500" s="120" t="s">
        <v>107</v>
      </c>
      <c r="D500" s="120" t="s">
        <v>423</v>
      </c>
      <c r="E500" s="120" t="s">
        <v>321</v>
      </c>
      <c r="F500" s="216"/>
      <c r="G500" s="182">
        <f>SUM(G501+G506+G510)</f>
        <v>638444.1000000001</v>
      </c>
      <c r="H500" s="22"/>
      <c r="I500" s="22"/>
    </row>
    <row r="501" spans="1:9" s="76" customFormat="1" ht="15">
      <c r="A501" s="105" t="s">
        <v>581</v>
      </c>
      <c r="B501" s="155"/>
      <c r="C501" s="120" t="s">
        <v>107</v>
      </c>
      <c r="D501" s="120" t="s">
        <v>423</v>
      </c>
      <c r="E501" s="120" t="s">
        <v>75</v>
      </c>
      <c r="F501" s="216"/>
      <c r="G501" s="182">
        <f>SUM(G502+G504)</f>
        <v>547819.8</v>
      </c>
      <c r="H501" s="22">
        <v>187516.5</v>
      </c>
      <c r="I501" s="22">
        <f>SUM(H501/G521*100)</f>
        <v>69.16906308696313</v>
      </c>
    </row>
    <row r="502" spans="1:9" s="76" customFormat="1" ht="28.5">
      <c r="A502" s="105" t="s">
        <v>193</v>
      </c>
      <c r="B502" s="155"/>
      <c r="C502" s="120" t="s">
        <v>107</v>
      </c>
      <c r="D502" s="120" t="s">
        <v>423</v>
      </c>
      <c r="E502" s="120" t="s">
        <v>76</v>
      </c>
      <c r="F502" s="216"/>
      <c r="G502" s="182">
        <f>SUM(G503)</f>
        <v>150141.3</v>
      </c>
      <c r="H502" s="22"/>
      <c r="I502" s="22"/>
    </row>
    <row r="503" spans="1:9" ht="28.5">
      <c r="A503" s="105" t="s">
        <v>489</v>
      </c>
      <c r="B503" s="155"/>
      <c r="C503" s="120" t="s">
        <v>107</v>
      </c>
      <c r="D503" s="120" t="s">
        <v>423</v>
      </c>
      <c r="E503" s="120" t="s">
        <v>76</v>
      </c>
      <c r="F503" s="216" t="s">
        <v>477</v>
      </c>
      <c r="G503" s="182">
        <v>150141.3</v>
      </c>
      <c r="H503" s="22"/>
      <c r="I503" s="22"/>
    </row>
    <row r="504" spans="1:9" ht="71.25">
      <c r="A504" s="105" t="s">
        <v>582</v>
      </c>
      <c r="B504" s="155"/>
      <c r="C504" s="120" t="s">
        <v>107</v>
      </c>
      <c r="D504" s="120" t="s">
        <v>423</v>
      </c>
      <c r="E504" s="120" t="s">
        <v>200</v>
      </c>
      <c r="F504" s="216"/>
      <c r="G504" s="182">
        <f>G505</f>
        <v>397678.5</v>
      </c>
      <c r="H504" s="22">
        <v>187516.5</v>
      </c>
      <c r="I504" s="22">
        <f aca="true" t="shared" si="12" ref="I504:I509">SUM(H504/G524*100)</f>
        <v>801.5204038452496</v>
      </c>
    </row>
    <row r="505" spans="1:9" ht="28.5">
      <c r="A505" s="105" t="s">
        <v>489</v>
      </c>
      <c r="B505" s="155"/>
      <c r="C505" s="120" t="s">
        <v>107</v>
      </c>
      <c r="D505" s="120" t="s">
        <v>423</v>
      </c>
      <c r="E505" s="120" t="s">
        <v>200</v>
      </c>
      <c r="F505" s="216" t="s">
        <v>477</v>
      </c>
      <c r="G505" s="182">
        <v>397678.5</v>
      </c>
      <c r="H505" s="22">
        <f>SUM(H506)</f>
        <v>120.3</v>
      </c>
      <c r="I505" s="22">
        <f t="shared" si="12"/>
        <v>0.24579864126270623</v>
      </c>
    </row>
    <row r="506" spans="1:9" ht="28.5">
      <c r="A506" s="105" t="s">
        <v>47</v>
      </c>
      <c r="B506" s="155"/>
      <c r="C506" s="120" t="s">
        <v>107</v>
      </c>
      <c r="D506" s="120" t="s">
        <v>423</v>
      </c>
      <c r="E506" s="120" t="s">
        <v>322</v>
      </c>
      <c r="F506" s="216"/>
      <c r="G506" s="182">
        <f>SUM(G507+G508+G509)</f>
        <v>31837.9</v>
      </c>
      <c r="H506" s="22">
        <v>120.3</v>
      </c>
      <c r="I506" s="22">
        <f t="shared" si="12"/>
        <v>0.7737677924784369</v>
      </c>
    </row>
    <row r="507" spans="1:9" ht="28.5">
      <c r="A507" s="105" t="s">
        <v>459</v>
      </c>
      <c r="B507" s="155"/>
      <c r="C507" s="120" t="s">
        <v>107</v>
      </c>
      <c r="D507" s="120" t="s">
        <v>423</v>
      </c>
      <c r="E507" s="120" t="s">
        <v>322</v>
      </c>
      <c r="F507" s="216" t="s">
        <v>460</v>
      </c>
      <c r="G507" s="182">
        <v>4486.7</v>
      </c>
      <c r="H507" s="22"/>
      <c r="I507" s="22">
        <f t="shared" si="12"/>
        <v>0</v>
      </c>
    </row>
    <row r="508" spans="1:9" ht="15">
      <c r="A508" s="105" t="s">
        <v>464</v>
      </c>
      <c r="B508" s="57"/>
      <c r="C508" s="120" t="s">
        <v>107</v>
      </c>
      <c r="D508" s="120" t="s">
        <v>423</v>
      </c>
      <c r="E508" s="120" t="s">
        <v>322</v>
      </c>
      <c r="F508" s="216" t="s">
        <v>110</v>
      </c>
      <c r="G508" s="182">
        <v>25047.8</v>
      </c>
      <c r="H508" s="22">
        <f>SUM(H509)</f>
        <v>24134</v>
      </c>
      <c r="I508" s="22">
        <f t="shared" si="12"/>
        <v>8.012496493246282</v>
      </c>
    </row>
    <row r="509" spans="1:9" ht="15">
      <c r="A509" s="105" t="s">
        <v>465</v>
      </c>
      <c r="B509" s="155"/>
      <c r="C509" s="120" t="s">
        <v>107</v>
      </c>
      <c r="D509" s="120" t="s">
        <v>423</v>
      </c>
      <c r="E509" s="120" t="s">
        <v>322</v>
      </c>
      <c r="F509" s="216" t="s">
        <v>165</v>
      </c>
      <c r="G509" s="182">
        <v>2303.4</v>
      </c>
      <c r="H509" s="22">
        <v>24134</v>
      </c>
      <c r="I509" s="22">
        <f t="shared" si="12"/>
        <v>631.8131839363317</v>
      </c>
    </row>
    <row r="510" spans="1:9" ht="15">
      <c r="A510" s="217" t="s">
        <v>583</v>
      </c>
      <c r="B510" s="155"/>
      <c r="C510" s="120" t="s">
        <v>107</v>
      </c>
      <c r="D510" s="120" t="s">
        <v>423</v>
      </c>
      <c r="E510" s="120" t="s">
        <v>323</v>
      </c>
      <c r="F510" s="216"/>
      <c r="G510" s="182">
        <f>SUM(G511+G512)</f>
        <v>58786.4</v>
      </c>
      <c r="H510" s="22"/>
      <c r="I510" s="22"/>
    </row>
    <row r="511" spans="1:9" ht="28.5">
      <c r="A511" s="105" t="s">
        <v>459</v>
      </c>
      <c r="B511" s="155"/>
      <c r="C511" s="120" t="s">
        <v>107</v>
      </c>
      <c r="D511" s="120" t="s">
        <v>423</v>
      </c>
      <c r="E511" s="120" t="s">
        <v>323</v>
      </c>
      <c r="F511" s="216" t="s">
        <v>460</v>
      </c>
      <c r="G511" s="182">
        <f>57481.3+11.7</f>
        <v>57493</v>
      </c>
      <c r="H511" s="22"/>
      <c r="I511" s="22"/>
    </row>
    <row r="512" spans="1:9" ht="15">
      <c r="A512" s="105" t="s">
        <v>464</v>
      </c>
      <c r="B512" s="155"/>
      <c r="C512" s="120" t="s">
        <v>107</v>
      </c>
      <c r="D512" s="120" t="s">
        <v>423</v>
      </c>
      <c r="E512" s="120" t="s">
        <v>323</v>
      </c>
      <c r="F512" s="216" t="s">
        <v>110</v>
      </c>
      <c r="G512" s="182">
        <v>1293.4</v>
      </c>
      <c r="H512" s="22">
        <v>56722</v>
      </c>
      <c r="I512" s="22" t="e">
        <f>SUM(H512/G532*100)</f>
        <v>#DIV/0!</v>
      </c>
    </row>
    <row r="513" spans="1:9" ht="15">
      <c r="A513" s="105" t="s">
        <v>568</v>
      </c>
      <c r="B513" s="156"/>
      <c r="C513" s="120" t="s">
        <v>107</v>
      </c>
      <c r="D513" s="120" t="s">
        <v>423</v>
      </c>
      <c r="E513" s="120" t="s">
        <v>119</v>
      </c>
      <c r="F513" s="216"/>
      <c r="G513" s="182">
        <f>G514</f>
        <v>1700</v>
      </c>
      <c r="H513" s="22"/>
      <c r="I513" s="22"/>
    </row>
    <row r="514" spans="1:9" ht="28.5">
      <c r="A514" s="105" t="s">
        <v>584</v>
      </c>
      <c r="B514" s="155"/>
      <c r="C514" s="120" t="s">
        <v>107</v>
      </c>
      <c r="D514" s="120" t="s">
        <v>423</v>
      </c>
      <c r="E514" s="120" t="s">
        <v>330</v>
      </c>
      <c r="F514" s="216"/>
      <c r="G514" s="182">
        <f>G515</f>
        <v>1700</v>
      </c>
      <c r="H514" s="22">
        <f>SUM(H515)</f>
        <v>1236.7</v>
      </c>
      <c r="I514" s="22">
        <f>SUM(H514/G534*100)</f>
        <v>4.156346098909409</v>
      </c>
    </row>
    <row r="515" spans="1:9" ht="15">
      <c r="A515" s="107" t="s">
        <v>469</v>
      </c>
      <c r="B515" s="218"/>
      <c r="C515" s="120" t="s">
        <v>107</v>
      </c>
      <c r="D515" s="120" t="s">
        <v>423</v>
      </c>
      <c r="E515" s="120" t="s">
        <v>330</v>
      </c>
      <c r="F515" s="216" t="s">
        <v>470</v>
      </c>
      <c r="G515" s="182">
        <v>1700</v>
      </c>
      <c r="H515" s="22">
        <v>1236.7</v>
      </c>
      <c r="I515" s="22">
        <f>SUM(H515/G535*100)</f>
        <v>4.156346098909409</v>
      </c>
    </row>
    <row r="516" spans="1:9" ht="15">
      <c r="A516" s="105" t="s">
        <v>324</v>
      </c>
      <c r="B516" s="155"/>
      <c r="C516" s="120" t="s">
        <v>107</v>
      </c>
      <c r="D516" s="120" t="s">
        <v>425</v>
      </c>
      <c r="E516" s="120"/>
      <c r="F516" s="216"/>
      <c r="G516" s="182">
        <f>SUM(G517+G530+G536+G544)</f>
        <v>828305.2000000001</v>
      </c>
      <c r="H516" s="22">
        <f>SUM(H518)</f>
        <v>0</v>
      </c>
      <c r="I516" s="22" t="e">
        <f>SUM(H516/#REF!*100)</f>
        <v>#REF!</v>
      </c>
    </row>
    <row r="517" spans="1:9" ht="15">
      <c r="A517" s="105" t="s">
        <v>325</v>
      </c>
      <c r="B517" s="155"/>
      <c r="C517" s="120" t="s">
        <v>107</v>
      </c>
      <c r="D517" s="120" t="s">
        <v>425</v>
      </c>
      <c r="E517" s="120" t="s">
        <v>326</v>
      </c>
      <c r="F517" s="216"/>
      <c r="G517" s="182">
        <f>G518+G523</f>
        <v>740607</v>
      </c>
      <c r="H517" s="22"/>
      <c r="I517" s="22" t="e">
        <f>SUM(H517/#REF!*100)</f>
        <v>#REF!</v>
      </c>
    </row>
    <row r="518" spans="1:9" ht="15">
      <c r="A518" s="105" t="s">
        <v>11</v>
      </c>
      <c r="B518" s="155"/>
      <c r="C518" s="120" t="s">
        <v>107</v>
      </c>
      <c r="D518" s="120" t="s">
        <v>425</v>
      </c>
      <c r="E518" s="120" t="s">
        <v>77</v>
      </c>
      <c r="F518" s="216"/>
      <c r="G518" s="182">
        <f>G519+G521</f>
        <v>347697.8</v>
      </c>
      <c r="H518" s="22"/>
      <c r="I518" s="22" t="e">
        <f>SUM(H518/#REF!*100)</f>
        <v>#REF!</v>
      </c>
    </row>
    <row r="519" spans="1:9" ht="28.5">
      <c r="A519" s="105" t="s">
        <v>193</v>
      </c>
      <c r="B519" s="155"/>
      <c r="C519" s="120" t="s">
        <v>107</v>
      </c>
      <c r="D519" s="120" t="s">
        <v>425</v>
      </c>
      <c r="E519" s="120" t="s">
        <v>78</v>
      </c>
      <c r="F519" s="216"/>
      <c r="G519" s="182">
        <f>SUM(G520)</f>
        <v>76599</v>
      </c>
      <c r="H519" s="22">
        <f>SUM(H520)</f>
        <v>9549.8</v>
      </c>
      <c r="I519" s="22" t="e">
        <f>SUM(H519/#REF!*100)</f>
        <v>#REF!</v>
      </c>
    </row>
    <row r="520" spans="1:9" ht="28.5">
      <c r="A520" s="105" t="s">
        <v>481</v>
      </c>
      <c r="B520" s="155"/>
      <c r="C520" s="120" t="s">
        <v>107</v>
      </c>
      <c r="D520" s="120" t="s">
        <v>425</v>
      </c>
      <c r="E520" s="120" t="s">
        <v>78</v>
      </c>
      <c r="F520" s="216" t="s">
        <v>477</v>
      </c>
      <c r="G520" s="182">
        <v>76599</v>
      </c>
      <c r="H520" s="22">
        <f>SUM(H521)</f>
        <v>9549.8</v>
      </c>
      <c r="I520" s="22" t="e">
        <f>SUM(H520/#REF!*100)</f>
        <v>#REF!</v>
      </c>
    </row>
    <row r="521" spans="1:9" ht="71.25">
      <c r="A521" s="105" t="s">
        <v>585</v>
      </c>
      <c r="B521" s="155"/>
      <c r="C521" s="120" t="s">
        <v>107</v>
      </c>
      <c r="D521" s="120" t="s">
        <v>425</v>
      </c>
      <c r="E521" s="120" t="s">
        <v>79</v>
      </c>
      <c r="F521" s="216"/>
      <c r="G521" s="182">
        <f>SUM(G522)</f>
        <v>271098.8</v>
      </c>
      <c r="H521" s="22">
        <v>9549.8</v>
      </c>
      <c r="I521" s="22" t="e">
        <f>SUM(H521/#REF!*100)</f>
        <v>#REF!</v>
      </c>
    </row>
    <row r="522" spans="1:9" ht="28.5">
      <c r="A522" s="105" t="s">
        <v>481</v>
      </c>
      <c r="B522" s="155"/>
      <c r="C522" s="120" t="s">
        <v>107</v>
      </c>
      <c r="D522" s="120" t="s">
        <v>425</v>
      </c>
      <c r="E522" s="120" t="s">
        <v>79</v>
      </c>
      <c r="F522" s="216" t="s">
        <v>477</v>
      </c>
      <c r="G522" s="182">
        <v>271098.8</v>
      </c>
      <c r="H522" s="22">
        <v>56722</v>
      </c>
      <c r="I522" s="22" t="e">
        <f>SUM(H522/#REF!*100)</f>
        <v>#REF!</v>
      </c>
    </row>
    <row r="523" spans="1:9" ht="28.5">
      <c r="A523" s="105" t="s">
        <v>47</v>
      </c>
      <c r="B523" s="155"/>
      <c r="C523" s="120" t="s">
        <v>107</v>
      </c>
      <c r="D523" s="120" t="s">
        <v>425</v>
      </c>
      <c r="E523" s="120" t="s">
        <v>327</v>
      </c>
      <c r="F523" s="216"/>
      <c r="G523" s="182">
        <f>SUM(G524+G525+G526+G527)</f>
        <v>392909.2</v>
      </c>
      <c r="H523" s="22"/>
      <c r="I523" s="22"/>
    </row>
    <row r="524" spans="1:9" s="76" customFormat="1" ht="28.5">
      <c r="A524" s="105" t="s">
        <v>459</v>
      </c>
      <c r="B524" s="155"/>
      <c r="C524" s="120" t="s">
        <v>107</v>
      </c>
      <c r="D524" s="120" t="s">
        <v>425</v>
      </c>
      <c r="E524" s="120" t="s">
        <v>327</v>
      </c>
      <c r="F524" s="216" t="s">
        <v>460</v>
      </c>
      <c r="G524" s="182">
        <f>23383.4+11.7</f>
        <v>23395.100000000002</v>
      </c>
      <c r="H524" s="22"/>
      <c r="I524" s="22"/>
    </row>
    <row r="525" spans="1:9" s="76" customFormat="1" ht="15">
      <c r="A525" s="105" t="s">
        <v>464</v>
      </c>
      <c r="B525" s="155"/>
      <c r="C525" s="120" t="s">
        <v>107</v>
      </c>
      <c r="D525" s="120" t="s">
        <v>425</v>
      </c>
      <c r="E525" s="120" t="s">
        <v>327</v>
      </c>
      <c r="F525" s="216" t="s">
        <v>110</v>
      </c>
      <c r="G525" s="182">
        <v>48942.5</v>
      </c>
      <c r="H525" s="22"/>
      <c r="I525" s="22"/>
    </row>
    <row r="526" spans="1:9" s="76" customFormat="1" ht="15">
      <c r="A526" s="105" t="s">
        <v>465</v>
      </c>
      <c r="B526" s="218"/>
      <c r="C526" s="120" t="s">
        <v>107</v>
      </c>
      <c r="D526" s="120" t="s">
        <v>425</v>
      </c>
      <c r="E526" s="120" t="s">
        <v>327</v>
      </c>
      <c r="F526" s="219">
        <v>800</v>
      </c>
      <c r="G526" s="182">
        <v>15547.3</v>
      </c>
      <c r="H526" s="22"/>
      <c r="I526" s="22"/>
    </row>
    <row r="527" spans="1:9" s="76" customFormat="1" ht="71.25">
      <c r="A527" s="117" t="s">
        <v>585</v>
      </c>
      <c r="B527" s="155"/>
      <c r="C527" s="120" t="s">
        <v>107</v>
      </c>
      <c r="D527" s="120" t="s">
        <v>425</v>
      </c>
      <c r="E527" s="120" t="s">
        <v>300</v>
      </c>
      <c r="F527" s="216"/>
      <c r="G527" s="182">
        <f>SUM(G528+G529)</f>
        <v>305024.3</v>
      </c>
      <c r="H527" s="22"/>
      <c r="I527" s="22"/>
    </row>
    <row r="528" spans="1:9" s="76" customFormat="1" ht="28.5">
      <c r="A528" s="105" t="s">
        <v>459</v>
      </c>
      <c r="B528" s="155"/>
      <c r="C528" s="120" t="s">
        <v>107</v>
      </c>
      <c r="D528" s="120" t="s">
        <v>425</v>
      </c>
      <c r="E528" s="120" t="s">
        <v>300</v>
      </c>
      <c r="F528" s="216" t="s">
        <v>460</v>
      </c>
      <c r="G528" s="182">
        <v>301204.5</v>
      </c>
      <c r="H528" s="22"/>
      <c r="I528" s="22"/>
    </row>
    <row r="529" spans="1:9" s="76" customFormat="1" ht="15">
      <c r="A529" s="105" t="s">
        <v>464</v>
      </c>
      <c r="B529" s="155"/>
      <c r="C529" s="120" t="s">
        <v>107</v>
      </c>
      <c r="D529" s="120" t="s">
        <v>425</v>
      </c>
      <c r="E529" s="120" t="s">
        <v>300</v>
      </c>
      <c r="F529" s="216" t="s">
        <v>110</v>
      </c>
      <c r="G529" s="182">
        <v>3819.8</v>
      </c>
      <c r="H529" s="22"/>
      <c r="I529" s="22"/>
    </row>
    <row r="530" spans="1:9" ht="15">
      <c r="A530" s="105" t="s">
        <v>301</v>
      </c>
      <c r="B530" s="57"/>
      <c r="C530" s="120" t="s">
        <v>107</v>
      </c>
      <c r="D530" s="120" t="s">
        <v>425</v>
      </c>
      <c r="E530" s="120" t="s">
        <v>302</v>
      </c>
      <c r="F530" s="216"/>
      <c r="G530" s="182">
        <f>SUM(G531)</f>
        <v>29754.5</v>
      </c>
      <c r="H530" s="22"/>
      <c r="I530" s="22"/>
    </row>
    <row r="531" spans="1:9" ht="15">
      <c r="A531" s="105" t="s">
        <v>581</v>
      </c>
      <c r="B531" s="155"/>
      <c r="C531" s="120" t="s">
        <v>107</v>
      </c>
      <c r="D531" s="120" t="s">
        <v>425</v>
      </c>
      <c r="E531" s="120" t="s">
        <v>68</v>
      </c>
      <c r="F531" s="216"/>
      <c r="G531" s="182">
        <f>SUM(G534)</f>
        <v>29754.5</v>
      </c>
      <c r="H531" s="22"/>
      <c r="I531" s="22"/>
    </row>
    <row r="532" spans="1:9" ht="42.75" hidden="1">
      <c r="A532" s="105" t="s">
        <v>199</v>
      </c>
      <c r="B532" s="155"/>
      <c r="C532" s="120" t="s">
        <v>107</v>
      </c>
      <c r="D532" s="120" t="s">
        <v>425</v>
      </c>
      <c r="E532" s="120" t="s">
        <v>201</v>
      </c>
      <c r="F532" s="216"/>
      <c r="G532" s="182">
        <f>SUM(G533)</f>
        <v>0</v>
      </c>
      <c r="H532" s="22">
        <v>56722</v>
      </c>
      <c r="I532" s="22">
        <f>SUM(H532/G540*100)</f>
        <v>4656.978653530377</v>
      </c>
    </row>
    <row r="533" spans="1:9" ht="15" hidden="1">
      <c r="A533" s="105" t="s">
        <v>148</v>
      </c>
      <c r="B533" s="155"/>
      <c r="C533" s="120" t="s">
        <v>107</v>
      </c>
      <c r="D533" s="120" t="s">
        <v>425</v>
      </c>
      <c r="E533" s="120" t="s">
        <v>201</v>
      </c>
      <c r="F533" s="216" t="s">
        <v>73</v>
      </c>
      <c r="G533" s="182"/>
      <c r="H533" s="22"/>
      <c r="I533" s="22"/>
    </row>
    <row r="534" spans="1:9" ht="28.5">
      <c r="A534" s="105" t="s">
        <v>84</v>
      </c>
      <c r="B534" s="155"/>
      <c r="C534" s="120" t="s">
        <v>107</v>
      </c>
      <c r="D534" s="120" t="s">
        <v>425</v>
      </c>
      <c r="E534" s="120" t="s">
        <v>69</v>
      </c>
      <c r="F534" s="216"/>
      <c r="G534" s="182">
        <f>SUM(G535)</f>
        <v>29754.5</v>
      </c>
      <c r="H534" s="22" t="e">
        <f>SUM(#REF!+H558+H574+#REF!)+#REF!+H535</f>
        <v>#REF!</v>
      </c>
      <c r="I534" s="22" t="e">
        <f>SUM(H534/G542*100)</f>
        <v>#REF!</v>
      </c>
    </row>
    <row r="535" spans="1:9" ht="28.5">
      <c r="A535" s="105" t="s">
        <v>481</v>
      </c>
      <c r="B535" s="155"/>
      <c r="C535" s="120" t="s">
        <v>107</v>
      </c>
      <c r="D535" s="120" t="s">
        <v>425</v>
      </c>
      <c r="E535" s="120" t="s">
        <v>69</v>
      </c>
      <c r="F535" s="216" t="s">
        <v>477</v>
      </c>
      <c r="G535" s="182">
        <v>29754.5</v>
      </c>
      <c r="H535" s="22" t="e">
        <f>SUM(#REF!+#REF!)</f>
        <v>#REF!</v>
      </c>
      <c r="I535" s="22" t="e">
        <f>SUM(H535/#REF!*100)</f>
        <v>#REF!</v>
      </c>
    </row>
    <row r="536" spans="1:9" ht="15">
      <c r="A536" s="105" t="s">
        <v>311</v>
      </c>
      <c r="B536" s="57"/>
      <c r="C536" s="120" t="s">
        <v>107</v>
      </c>
      <c r="D536" s="120" t="s">
        <v>425</v>
      </c>
      <c r="E536" s="120" t="s">
        <v>312</v>
      </c>
      <c r="F536" s="216"/>
      <c r="G536" s="182">
        <f>SUM(G537)</f>
        <v>51762.4</v>
      </c>
      <c r="H536" s="22"/>
      <c r="I536" s="22"/>
    </row>
    <row r="537" spans="1:9" ht="28.5">
      <c r="A537" s="105" t="s">
        <v>47</v>
      </c>
      <c r="B537" s="155"/>
      <c r="C537" s="120" t="s">
        <v>107</v>
      </c>
      <c r="D537" s="120" t="s">
        <v>425</v>
      </c>
      <c r="E537" s="120" t="s">
        <v>313</v>
      </c>
      <c r="F537" s="216"/>
      <c r="G537" s="182">
        <f>SUM(G538+G539+G540+G541)</f>
        <v>51762.4</v>
      </c>
      <c r="H537" s="22"/>
      <c r="I537" s="22"/>
    </row>
    <row r="538" spans="1:9" ht="28.5">
      <c r="A538" s="105" t="s">
        <v>459</v>
      </c>
      <c r="B538" s="155"/>
      <c r="C538" s="120" t="s">
        <v>107</v>
      </c>
      <c r="D538" s="120" t="s">
        <v>425</v>
      </c>
      <c r="E538" s="120" t="s">
        <v>586</v>
      </c>
      <c r="F538" s="216" t="s">
        <v>460</v>
      </c>
      <c r="G538" s="182">
        <v>1915.1</v>
      </c>
      <c r="H538" s="22"/>
      <c r="I538" s="22"/>
    </row>
    <row r="539" spans="1:9" ht="15">
      <c r="A539" s="105" t="s">
        <v>464</v>
      </c>
      <c r="B539" s="155"/>
      <c r="C539" s="120" t="s">
        <v>107</v>
      </c>
      <c r="D539" s="120" t="s">
        <v>425</v>
      </c>
      <c r="E539" s="120" t="s">
        <v>252</v>
      </c>
      <c r="F539" s="216" t="s">
        <v>110</v>
      </c>
      <c r="G539" s="182">
        <v>3101.9</v>
      </c>
      <c r="H539" s="22"/>
      <c r="I539" s="22"/>
    </row>
    <row r="540" spans="1:9" ht="15">
      <c r="A540" s="105" t="s">
        <v>465</v>
      </c>
      <c r="B540" s="155"/>
      <c r="C540" s="120" t="s">
        <v>107</v>
      </c>
      <c r="D540" s="120" t="s">
        <v>425</v>
      </c>
      <c r="E540" s="120" t="s">
        <v>252</v>
      </c>
      <c r="F540" s="216" t="s">
        <v>165</v>
      </c>
      <c r="G540" s="182">
        <v>1218</v>
      </c>
      <c r="H540" s="22"/>
      <c r="I540" s="22"/>
    </row>
    <row r="541" spans="1:11" ht="71.25">
      <c r="A541" s="105" t="s">
        <v>587</v>
      </c>
      <c r="B541" s="155"/>
      <c r="C541" s="120" t="s">
        <v>107</v>
      </c>
      <c r="D541" s="120" t="s">
        <v>425</v>
      </c>
      <c r="E541" s="120" t="s">
        <v>314</v>
      </c>
      <c r="F541" s="216"/>
      <c r="G541" s="182">
        <f>SUM(G542+G543)</f>
        <v>45527.4</v>
      </c>
      <c r="H541" s="22">
        <f>SUM(H542)</f>
        <v>56722</v>
      </c>
      <c r="I541" s="22">
        <f>SUM(H541/G557*100)</f>
        <v>5205.763582966227</v>
      </c>
      <c r="K541" s="94"/>
    </row>
    <row r="542" spans="1:9" ht="28.5">
      <c r="A542" s="105" t="s">
        <v>459</v>
      </c>
      <c r="B542" s="155"/>
      <c r="C542" s="120" t="s">
        <v>107</v>
      </c>
      <c r="D542" s="120" t="s">
        <v>425</v>
      </c>
      <c r="E542" s="120" t="s">
        <v>314</v>
      </c>
      <c r="F542" s="216" t="s">
        <v>460</v>
      </c>
      <c r="G542" s="182">
        <f>33581.2+2.8</f>
        <v>33584</v>
      </c>
      <c r="H542" s="22">
        <v>56722</v>
      </c>
      <c r="I542" s="22" t="e">
        <f>SUM(H542/#REF!*100)</f>
        <v>#REF!</v>
      </c>
    </row>
    <row r="543" spans="1:9" ht="15">
      <c r="A543" s="105" t="s">
        <v>464</v>
      </c>
      <c r="B543" s="155"/>
      <c r="C543" s="120" t="s">
        <v>107</v>
      </c>
      <c r="D543" s="120" t="s">
        <v>425</v>
      </c>
      <c r="E543" s="120" t="s">
        <v>314</v>
      </c>
      <c r="F543" s="216" t="s">
        <v>110</v>
      </c>
      <c r="G543" s="182">
        <v>11943.4</v>
      </c>
      <c r="H543" s="22">
        <v>56722</v>
      </c>
      <c r="I543" s="22" t="e">
        <f>SUM(H543/#REF!*100)</f>
        <v>#REF!</v>
      </c>
    </row>
    <row r="544" spans="1:9" ht="15">
      <c r="A544" s="105" t="s">
        <v>315</v>
      </c>
      <c r="B544" s="57"/>
      <c r="C544" s="120" t="s">
        <v>107</v>
      </c>
      <c r="D544" s="120" t="s">
        <v>425</v>
      </c>
      <c r="E544" s="120" t="s">
        <v>316</v>
      </c>
      <c r="F544" s="216"/>
      <c r="G544" s="182">
        <f>G545</f>
        <v>6181.3</v>
      </c>
      <c r="H544" s="22" t="e">
        <f>SUM(H545+H553+H555+#REF!)+H557+H547+H551+#REF!</f>
        <v>#REF!</v>
      </c>
      <c r="I544" s="22" t="e">
        <f aca="true" t="shared" si="13" ref="I544:I557">SUM(H544/G558*100)</f>
        <v>#REF!</v>
      </c>
    </row>
    <row r="545" spans="1:9" ht="15">
      <c r="A545" s="105" t="s">
        <v>222</v>
      </c>
      <c r="B545" s="57"/>
      <c r="C545" s="120" t="s">
        <v>107</v>
      </c>
      <c r="D545" s="120" t="s">
        <v>425</v>
      </c>
      <c r="E545" s="120" t="s">
        <v>282</v>
      </c>
      <c r="F545" s="216"/>
      <c r="G545" s="182">
        <f>G546</f>
        <v>6181.3</v>
      </c>
      <c r="H545" s="22">
        <v>53118.9</v>
      </c>
      <c r="I545" s="22">
        <f t="shared" si="13"/>
        <v>450160.16949152545</v>
      </c>
    </row>
    <row r="546" spans="1:9" ht="57">
      <c r="A546" s="105" t="s">
        <v>588</v>
      </c>
      <c r="B546" s="57"/>
      <c r="C546" s="120" t="s">
        <v>107</v>
      </c>
      <c r="D546" s="120" t="s">
        <v>425</v>
      </c>
      <c r="E546" s="120" t="s">
        <v>277</v>
      </c>
      <c r="F546" s="216"/>
      <c r="G546" s="182">
        <f>G547</f>
        <v>6181.3</v>
      </c>
      <c r="H546" s="22">
        <f>SUM(H547)</f>
        <v>0</v>
      </c>
      <c r="I546" s="22">
        <f t="shared" si="13"/>
        <v>0</v>
      </c>
    </row>
    <row r="547" spans="1:9" ht="28.5">
      <c r="A547" s="105" t="s">
        <v>481</v>
      </c>
      <c r="B547" s="57"/>
      <c r="C547" s="120" t="s">
        <v>107</v>
      </c>
      <c r="D547" s="120" t="s">
        <v>425</v>
      </c>
      <c r="E547" s="120" t="s">
        <v>277</v>
      </c>
      <c r="F547" s="216" t="s">
        <v>477</v>
      </c>
      <c r="G547" s="182">
        <v>6181.3</v>
      </c>
      <c r="H547" s="22"/>
      <c r="I547" s="22">
        <f t="shared" si="13"/>
        <v>0</v>
      </c>
    </row>
    <row r="548" spans="1:9" ht="15">
      <c r="A548" s="105" t="s">
        <v>108</v>
      </c>
      <c r="B548" s="57"/>
      <c r="C548" s="120" t="s">
        <v>107</v>
      </c>
      <c r="D548" s="120" t="s">
        <v>107</v>
      </c>
      <c r="E548" s="120"/>
      <c r="F548" s="216"/>
      <c r="G548" s="182">
        <f>SUM(G553+G560+G549+G565)</f>
        <v>3146.1</v>
      </c>
      <c r="H548" s="22"/>
      <c r="I548" s="22">
        <f t="shared" si="13"/>
        <v>0</v>
      </c>
    </row>
    <row r="549" spans="1:9" ht="15" hidden="1">
      <c r="A549" s="105" t="s">
        <v>371</v>
      </c>
      <c r="B549" s="57"/>
      <c r="C549" s="120" t="s">
        <v>107</v>
      </c>
      <c r="D549" s="120" t="s">
        <v>107</v>
      </c>
      <c r="E549" s="120" t="s">
        <v>373</v>
      </c>
      <c r="F549" s="216"/>
      <c r="G549" s="182">
        <f>SUM(G550)</f>
        <v>0</v>
      </c>
      <c r="H549" s="22"/>
      <c r="I549" s="22" t="e">
        <f t="shared" si="13"/>
        <v>#DIV/0!</v>
      </c>
    </row>
    <row r="550" spans="1:9" ht="15" hidden="1">
      <c r="A550" s="105" t="s">
        <v>351</v>
      </c>
      <c r="B550" s="57"/>
      <c r="C550" s="120" t="s">
        <v>107</v>
      </c>
      <c r="D550" s="120" t="s">
        <v>107</v>
      </c>
      <c r="E550" s="120" t="s">
        <v>352</v>
      </c>
      <c r="F550" s="216"/>
      <c r="G550" s="182">
        <f>SUM(G551+G552)</f>
        <v>0</v>
      </c>
      <c r="H550" s="22"/>
      <c r="I550" s="22">
        <f t="shared" si="13"/>
        <v>0</v>
      </c>
    </row>
    <row r="551" spans="1:9" ht="15" hidden="1">
      <c r="A551" s="105" t="s">
        <v>234</v>
      </c>
      <c r="B551" s="57"/>
      <c r="C551" s="120" t="s">
        <v>107</v>
      </c>
      <c r="D551" s="120" t="s">
        <v>107</v>
      </c>
      <c r="E551" s="120" t="s">
        <v>352</v>
      </c>
      <c r="F551" s="216" t="s">
        <v>235</v>
      </c>
      <c r="G551" s="182"/>
      <c r="H551" s="22">
        <f>SUM(H552)</f>
        <v>0</v>
      </c>
      <c r="I551" s="22">
        <f t="shared" si="13"/>
        <v>0</v>
      </c>
    </row>
    <row r="552" spans="1:9" ht="15" hidden="1">
      <c r="A552" s="105" t="s">
        <v>213</v>
      </c>
      <c r="B552" s="57"/>
      <c r="C552" s="120" t="s">
        <v>107</v>
      </c>
      <c r="D552" s="120" t="s">
        <v>107</v>
      </c>
      <c r="E552" s="120" t="s">
        <v>352</v>
      </c>
      <c r="F552" s="216" t="s">
        <v>214</v>
      </c>
      <c r="G552" s="182"/>
      <c r="H552" s="22"/>
      <c r="I552" s="22">
        <f t="shared" si="13"/>
        <v>0</v>
      </c>
    </row>
    <row r="553" spans="1:9" ht="15">
      <c r="A553" s="105" t="s">
        <v>215</v>
      </c>
      <c r="B553" s="57"/>
      <c r="C553" s="120" t="s">
        <v>107</v>
      </c>
      <c r="D553" s="120" t="s">
        <v>107</v>
      </c>
      <c r="E553" s="120" t="s">
        <v>216</v>
      </c>
      <c r="F553" s="216"/>
      <c r="G553" s="182">
        <f>SUM(G556+G554)</f>
        <v>1249.1999999999998</v>
      </c>
      <c r="H553" s="22">
        <f>SUM(H554)</f>
        <v>5014</v>
      </c>
      <c r="I553" s="22">
        <f t="shared" si="13"/>
        <v>1263.2905013857396</v>
      </c>
    </row>
    <row r="554" spans="1:9" ht="28.5" hidden="1">
      <c r="A554" s="105" t="s">
        <v>245</v>
      </c>
      <c r="B554" s="57"/>
      <c r="C554" s="120" t="s">
        <v>107</v>
      </c>
      <c r="D554" s="120" t="s">
        <v>107</v>
      </c>
      <c r="E554" s="120" t="s">
        <v>202</v>
      </c>
      <c r="F554" s="216"/>
      <c r="G554" s="182"/>
      <c r="H554" s="22">
        <v>5014</v>
      </c>
      <c r="I554" s="22">
        <f t="shared" si="13"/>
        <v>20.35232992368891</v>
      </c>
    </row>
    <row r="555" spans="1:9" ht="15" hidden="1">
      <c r="A555" s="105" t="s">
        <v>48</v>
      </c>
      <c r="B555" s="57"/>
      <c r="C555" s="120" t="s">
        <v>107</v>
      </c>
      <c r="D555" s="120" t="s">
        <v>107</v>
      </c>
      <c r="E555" s="120" t="s">
        <v>202</v>
      </c>
      <c r="F555" s="216"/>
      <c r="G555" s="182"/>
      <c r="H555" s="22">
        <f>SUM(H556)</f>
        <v>0</v>
      </c>
      <c r="I555" s="22">
        <f t="shared" si="13"/>
        <v>0</v>
      </c>
    </row>
    <row r="556" spans="1:9" ht="28.5">
      <c r="A556" s="105" t="s">
        <v>47</v>
      </c>
      <c r="B556" s="57"/>
      <c r="C556" s="120" t="s">
        <v>107</v>
      </c>
      <c r="D556" s="120" t="s">
        <v>107</v>
      </c>
      <c r="E556" s="120" t="s">
        <v>219</v>
      </c>
      <c r="F556" s="216"/>
      <c r="G556" s="182">
        <f>SUM(G557+G558+G559)</f>
        <v>1249.1999999999998</v>
      </c>
      <c r="H556" s="22"/>
      <c r="I556" s="22">
        <f t="shared" si="13"/>
        <v>0</v>
      </c>
    </row>
    <row r="557" spans="1:9" ht="28.5">
      <c r="A557" s="105" t="s">
        <v>459</v>
      </c>
      <c r="B557" s="57"/>
      <c r="C557" s="120" t="s">
        <v>107</v>
      </c>
      <c r="D557" s="120" t="s">
        <v>107</v>
      </c>
      <c r="E557" s="120" t="s">
        <v>219</v>
      </c>
      <c r="F557" s="216" t="s">
        <v>460</v>
      </c>
      <c r="G557" s="182">
        <v>1089.6</v>
      </c>
      <c r="H557" s="22" t="e">
        <f>SUM(#REF!)</f>
        <v>#REF!</v>
      </c>
      <c r="I557" s="22" t="e">
        <f t="shared" si="13"/>
        <v>#REF!</v>
      </c>
    </row>
    <row r="558" spans="1:9" ht="15">
      <c r="A558" s="105" t="s">
        <v>464</v>
      </c>
      <c r="B558" s="57"/>
      <c r="C558" s="120" t="s">
        <v>107</v>
      </c>
      <c r="D558" s="120" t="s">
        <v>107</v>
      </c>
      <c r="E558" s="120" t="s">
        <v>219</v>
      </c>
      <c r="F558" s="216" t="s">
        <v>110</v>
      </c>
      <c r="G558" s="182">
        <v>147.8</v>
      </c>
      <c r="H558" s="22">
        <f>SUM(H565)</f>
        <v>39140.2</v>
      </c>
      <c r="I558" s="22">
        <f>SUM(H558/G578*100)</f>
        <v>413.9323371088338</v>
      </c>
    </row>
    <row r="559" spans="1:9" ht="15">
      <c r="A559" s="105" t="s">
        <v>465</v>
      </c>
      <c r="B559" s="57"/>
      <c r="C559" s="120" t="s">
        <v>107</v>
      </c>
      <c r="D559" s="120" t="s">
        <v>107</v>
      </c>
      <c r="E559" s="120" t="s">
        <v>219</v>
      </c>
      <c r="F559" s="216" t="s">
        <v>165</v>
      </c>
      <c r="G559" s="182">
        <v>11.8</v>
      </c>
      <c r="H559" s="22" t="e">
        <f>SUM(H563+#REF!+#REF!)</f>
        <v>#REF!</v>
      </c>
      <c r="I559" s="22" t="e">
        <f>SUM(H559/G579*100)</f>
        <v>#REF!</v>
      </c>
    </row>
    <row r="560" spans="1:9" ht="15">
      <c r="A560" s="115" t="s">
        <v>220</v>
      </c>
      <c r="B560" s="57"/>
      <c r="C560" s="120" t="s">
        <v>107</v>
      </c>
      <c r="D560" s="120" t="s">
        <v>107</v>
      </c>
      <c r="E560" s="120" t="s">
        <v>109</v>
      </c>
      <c r="F560" s="216"/>
      <c r="G560" s="182">
        <f>SUM(G561)</f>
        <v>1500</v>
      </c>
      <c r="H560" s="22"/>
      <c r="I560" s="22"/>
    </row>
    <row r="561" spans="1:9" ht="28.5">
      <c r="A561" s="115" t="s">
        <v>80</v>
      </c>
      <c r="B561" s="57"/>
      <c r="C561" s="120" t="s">
        <v>107</v>
      </c>
      <c r="D561" s="120" t="s">
        <v>107</v>
      </c>
      <c r="E561" s="120" t="s">
        <v>81</v>
      </c>
      <c r="F561" s="216"/>
      <c r="G561" s="182">
        <f>SUM(G562)</f>
        <v>1500</v>
      </c>
      <c r="H561" s="22"/>
      <c r="I561" s="22"/>
    </row>
    <row r="562" spans="1:9" ht="42.75">
      <c r="A562" s="115" t="s">
        <v>82</v>
      </c>
      <c r="B562" s="57"/>
      <c r="C562" s="120" t="s">
        <v>107</v>
      </c>
      <c r="D562" s="120" t="s">
        <v>107</v>
      </c>
      <c r="E562" s="120" t="s">
        <v>83</v>
      </c>
      <c r="F562" s="216"/>
      <c r="G562" s="182">
        <f>SUM(G563:G564)</f>
        <v>1500</v>
      </c>
      <c r="H562" s="22"/>
      <c r="I562" s="22"/>
    </row>
    <row r="563" spans="1:9" ht="15" hidden="1">
      <c r="A563" s="105" t="s">
        <v>48</v>
      </c>
      <c r="B563" s="57"/>
      <c r="C563" s="120" t="s">
        <v>107</v>
      </c>
      <c r="D563" s="120" t="s">
        <v>107</v>
      </c>
      <c r="E563" s="120" t="s">
        <v>83</v>
      </c>
      <c r="F563" s="216"/>
      <c r="G563" s="182"/>
      <c r="H563" s="22">
        <v>56722</v>
      </c>
      <c r="I563" s="22" t="e">
        <f>SUM(H563/#REF!*100)</f>
        <v>#REF!</v>
      </c>
    </row>
    <row r="564" spans="1:9" ht="15">
      <c r="A564" s="105" t="s">
        <v>464</v>
      </c>
      <c r="B564" s="57"/>
      <c r="C564" s="120" t="s">
        <v>107</v>
      </c>
      <c r="D564" s="120" t="s">
        <v>107</v>
      </c>
      <c r="E564" s="120" t="s">
        <v>83</v>
      </c>
      <c r="F564" s="216" t="s">
        <v>110</v>
      </c>
      <c r="G564" s="182">
        <v>1500</v>
      </c>
      <c r="H564" s="22"/>
      <c r="I564" s="22"/>
    </row>
    <row r="565" spans="1:9" ht="15">
      <c r="A565" s="105" t="s">
        <v>568</v>
      </c>
      <c r="B565" s="156"/>
      <c r="C565" s="120" t="s">
        <v>107</v>
      </c>
      <c r="D565" s="120" t="s">
        <v>107</v>
      </c>
      <c r="E565" s="120" t="s">
        <v>119</v>
      </c>
      <c r="F565" s="216"/>
      <c r="G565" s="182">
        <f>SUM(G566)</f>
        <v>396.9</v>
      </c>
      <c r="H565" s="22">
        <f>SUM(H566+H571+H567)</f>
        <v>39140.2</v>
      </c>
      <c r="I565" s="22" t="e">
        <f>SUM(H565/#REF!*100)</f>
        <v>#REF!</v>
      </c>
    </row>
    <row r="566" spans="1:9" ht="15">
      <c r="A566" s="217" t="s">
        <v>589</v>
      </c>
      <c r="B566" s="156"/>
      <c r="C566" s="120" t="s">
        <v>107</v>
      </c>
      <c r="D566" s="120" t="s">
        <v>107</v>
      </c>
      <c r="E566" s="120" t="s">
        <v>87</v>
      </c>
      <c r="F566" s="216"/>
      <c r="G566" s="183">
        <f>SUM(G567)</f>
        <v>396.9</v>
      </c>
      <c r="H566" s="22">
        <v>39061.6</v>
      </c>
      <c r="I566" s="22" t="e">
        <f>SUM(H566/#REF!*100)</f>
        <v>#REF!</v>
      </c>
    </row>
    <row r="567" spans="1:9" ht="15">
      <c r="A567" s="105" t="s">
        <v>464</v>
      </c>
      <c r="B567" s="156"/>
      <c r="C567" s="120" t="s">
        <v>107</v>
      </c>
      <c r="D567" s="120" t="s">
        <v>107</v>
      </c>
      <c r="E567" s="120" t="s">
        <v>87</v>
      </c>
      <c r="F567" s="216" t="s">
        <v>110</v>
      </c>
      <c r="G567" s="183">
        <v>396.9</v>
      </c>
      <c r="H567" s="22">
        <f>SUM(H568)</f>
        <v>78.6</v>
      </c>
      <c r="I567" s="22" t="e">
        <f>SUM(H567/#REF!*100)</f>
        <v>#REF!</v>
      </c>
    </row>
    <row r="568" spans="1:9" ht="15">
      <c r="A568" s="105" t="s">
        <v>221</v>
      </c>
      <c r="B568" s="57"/>
      <c r="C568" s="120" t="s">
        <v>107</v>
      </c>
      <c r="D568" s="120" t="s">
        <v>288</v>
      </c>
      <c r="E568" s="120"/>
      <c r="F568" s="216"/>
      <c r="G568" s="182">
        <f>G569</f>
        <v>24636.000000000004</v>
      </c>
      <c r="H568" s="22">
        <v>78.6</v>
      </c>
      <c r="I568" s="22" t="e">
        <f>SUM(H568/#REF!*100)</f>
        <v>#REF!</v>
      </c>
    </row>
    <row r="569" spans="1:9" ht="42.75">
      <c r="A569" s="115" t="s">
        <v>278</v>
      </c>
      <c r="B569" s="57"/>
      <c r="C569" s="120" t="s">
        <v>107</v>
      </c>
      <c r="D569" s="120" t="s">
        <v>288</v>
      </c>
      <c r="E569" s="120" t="s">
        <v>279</v>
      </c>
      <c r="F569" s="216"/>
      <c r="G569" s="182">
        <f>SUM(G570)</f>
        <v>24636.000000000004</v>
      </c>
      <c r="H569" s="22"/>
      <c r="I569" s="22" t="e">
        <f>SUM(H569/#REF!*100)</f>
        <v>#REF!</v>
      </c>
    </row>
    <row r="570" spans="1:9" ht="28.5">
      <c r="A570" s="105" t="s">
        <v>47</v>
      </c>
      <c r="B570" s="57"/>
      <c r="C570" s="120" t="s">
        <v>107</v>
      </c>
      <c r="D570" s="120" t="s">
        <v>288</v>
      </c>
      <c r="E570" s="120" t="s">
        <v>280</v>
      </c>
      <c r="F570" s="216"/>
      <c r="G570" s="182">
        <f>SUM(G571+G572+G573)</f>
        <v>24636.000000000004</v>
      </c>
      <c r="H570" s="22"/>
      <c r="I570" s="22" t="e">
        <f>SUM(H570/#REF!*100)</f>
        <v>#REF!</v>
      </c>
    </row>
    <row r="571" spans="1:9" s="82" customFormat="1" ht="28.5">
      <c r="A571" s="105" t="s">
        <v>459</v>
      </c>
      <c r="B571" s="57"/>
      <c r="C571" s="120" t="s">
        <v>107</v>
      </c>
      <c r="D571" s="120" t="s">
        <v>288</v>
      </c>
      <c r="E571" s="120" t="s">
        <v>280</v>
      </c>
      <c r="F571" s="216" t="s">
        <v>460</v>
      </c>
      <c r="G571" s="182">
        <f>21119.7+11.7</f>
        <v>21131.4</v>
      </c>
      <c r="H571" s="22">
        <f>SUM(H573)</f>
        <v>0</v>
      </c>
      <c r="I571" s="22" t="e">
        <f>SUM(H571/#REF!*100)</f>
        <v>#REF!</v>
      </c>
    </row>
    <row r="572" spans="1:9" ht="15">
      <c r="A572" s="105" t="s">
        <v>464</v>
      </c>
      <c r="B572" s="156"/>
      <c r="C572" s="120" t="s">
        <v>107</v>
      </c>
      <c r="D572" s="120" t="s">
        <v>288</v>
      </c>
      <c r="E572" s="120" t="s">
        <v>280</v>
      </c>
      <c r="F572" s="216" t="s">
        <v>110</v>
      </c>
      <c r="G572" s="182">
        <v>3101.2</v>
      </c>
      <c r="H572" s="22"/>
      <c r="I572" s="22" t="e">
        <f>SUM(H572/#REF!*100)</f>
        <v>#REF!</v>
      </c>
    </row>
    <row r="573" spans="1:9" ht="15">
      <c r="A573" s="105" t="s">
        <v>465</v>
      </c>
      <c r="B573" s="57"/>
      <c r="C573" s="120" t="s">
        <v>107</v>
      </c>
      <c r="D573" s="120" t="s">
        <v>288</v>
      </c>
      <c r="E573" s="120" t="s">
        <v>280</v>
      </c>
      <c r="F573" s="216" t="s">
        <v>165</v>
      </c>
      <c r="G573" s="182">
        <v>403.4</v>
      </c>
      <c r="H573" s="22"/>
      <c r="I573" s="22" t="e">
        <f>SUM(H573/#REF!*100)</f>
        <v>#REF!</v>
      </c>
    </row>
    <row r="574" spans="1:9" ht="15">
      <c r="A574" s="105" t="s">
        <v>176</v>
      </c>
      <c r="B574" s="57"/>
      <c r="C574" s="120" t="s">
        <v>5</v>
      </c>
      <c r="D574" s="120"/>
      <c r="E574" s="120"/>
      <c r="F574" s="216"/>
      <c r="G574" s="182">
        <f>SUM(G579)+G575</f>
        <v>36519.2</v>
      </c>
      <c r="H574" s="22">
        <f>SUM(H575)</f>
        <v>13875.4</v>
      </c>
      <c r="I574" s="22" t="e">
        <f>SUM(H574/#REF!*100)</f>
        <v>#REF!</v>
      </c>
    </row>
    <row r="575" spans="1:9" ht="15">
      <c r="A575" s="115" t="s">
        <v>21</v>
      </c>
      <c r="B575" s="57"/>
      <c r="C575" s="120" t="s">
        <v>5</v>
      </c>
      <c r="D575" s="120" t="s">
        <v>96</v>
      </c>
      <c r="E575" s="120"/>
      <c r="F575" s="216"/>
      <c r="G575" s="182">
        <f>SUM(G576)</f>
        <v>9455.7</v>
      </c>
      <c r="H575" s="22">
        <f>SUM(H577+H579+H581)</f>
        <v>13875.4</v>
      </c>
      <c r="I575" s="22" t="e">
        <f>SUM(H575/#REF!*100)</f>
        <v>#REF!</v>
      </c>
    </row>
    <row r="576" spans="1:9" ht="15">
      <c r="A576" s="107" t="s">
        <v>22</v>
      </c>
      <c r="B576" s="57"/>
      <c r="C576" s="120" t="s">
        <v>5</v>
      </c>
      <c r="D576" s="120" t="s">
        <v>96</v>
      </c>
      <c r="E576" s="120" t="s">
        <v>23</v>
      </c>
      <c r="F576" s="216"/>
      <c r="G576" s="182">
        <f>SUM(G577)</f>
        <v>9455.7</v>
      </c>
      <c r="H576" s="22"/>
      <c r="I576" s="22" t="e">
        <f>SUM(H576/#REF!*100)</f>
        <v>#REF!</v>
      </c>
    </row>
    <row r="577" spans="1:9" ht="42.75">
      <c r="A577" s="107" t="s">
        <v>590</v>
      </c>
      <c r="B577" s="57"/>
      <c r="C577" s="120" t="s">
        <v>5</v>
      </c>
      <c r="D577" s="120" t="s">
        <v>96</v>
      </c>
      <c r="E577" s="120" t="s">
        <v>171</v>
      </c>
      <c r="F577" s="216"/>
      <c r="G577" s="182">
        <f>SUM(G578)</f>
        <v>9455.7</v>
      </c>
      <c r="H577" s="22">
        <f>SUM(H578)</f>
        <v>0</v>
      </c>
      <c r="I577" s="22" t="e">
        <f>SUM(H577/#REF!*100)</f>
        <v>#REF!</v>
      </c>
    </row>
    <row r="578" spans="1:9" ht="15">
      <c r="A578" s="107" t="s">
        <v>469</v>
      </c>
      <c r="B578" s="57"/>
      <c r="C578" s="120" t="s">
        <v>5</v>
      </c>
      <c r="D578" s="120" t="s">
        <v>96</v>
      </c>
      <c r="E578" s="120" t="s">
        <v>171</v>
      </c>
      <c r="F578" s="216" t="s">
        <v>470</v>
      </c>
      <c r="G578" s="182">
        <v>9455.7</v>
      </c>
      <c r="H578" s="22"/>
      <c r="I578" s="22" t="e">
        <f>SUM(H578/#REF!*100)</f>
        <v>#REF!</v>
      </c>
    </row>
    <row r="579" spans="1:9" ht="15">
      <c r="A579" s="115" t="s">
        <v>149</v>
      </c>
      <c r="B579" s="57"/>
      <c r="C579" s="120" t="s">
        <v>5</v>
      </c>
      <c r="D579" s="120" t="s">
        <v>112</v>
      </c>
      <c r="E579" s="120"/>
      <c r="F579" s="216"/>
      <c r="G579" s="182">
        <f>SUM(G580)</f>
        <v>27063.5</v>
      </c>
      <c r="H579" s="22">
        <f>SUM(H580)</f>
        <v>12.8</v>
      </c>
      <c r="I579" s="22" t="e">
        <f>SUM(H579/#REF!*100)</f>
        <v>#REF!</v>
      </c>
    </row>
    <row r="580" spans="1:9" ht="15">
      <c r="A580" s="107" t="s">
        <v>317</v>
      </c>
      <c r="B580" s="57"/>
      <c r="C580" s="120" t="s">
        <v>5</v>
      </c>
      <c r="D580" s="120" t="s">
        <v>112</v>
      </c>
      <c r="E580" s="120" t="s">
        <v>318</v>
      </c>
      <c r="F580" s="216"/>
      <c r="G580" s="182">
        <f>SUM(G581)</f>
        <v>27063.5</v>
      </c>
      <c r="H580" s="22">
        <v>12.8</v>
      </c>
      <c r="I580" s="22" t="e">
        <f>SUM(H580/#REF!*100)</f>
        <v>#REF!</v>
      </c>
    </row>
    <row r="581" spans="1:9" ht="42.75">
      <c r="A581" s="107" t="s">
        <v>151</v>
      </c>
      <c r="B581" s="57"/>
      <c r="C581" s="120" t="s">
        <v>5</v>
      </c>
      <c r="D581" s="120" t="s">
        <v>112</v>
      </c>
      <c r="E581" s="120" t="s">
        <v>152</v>
      </c>
      <c r="F581" s="216"/>
      <c r="G581" s="182">
        <f>SUM(G582)</f>
        <v>27063.5</v>
      </c>
      <c r="H581" s="22">
        <f>SUM(H582)</f>
        <v>13862.6</v>
      </c>
      <c r="I581" s="22" t="e">
        <f>SUM(H581/#REF!*100)</f>
        <v>#REF!</v>
      </c>
    </row>
    <row r="582" spans="1:9" ht="15">
      <c r="A582" s="107" t="s">
        <v>469</v>
      </c>
      <c r="B582" s="57"/>
      <c r="C582" s="120" t="s">
        <v>5</v>
      </c>
      <c r="D582" s="120" t="s">
        <v>112</v>
      </c>
      <c r="E582" s="120" t="s">
        <v>152</v>
      </c>
      <c r="F582" s="216" t="s">
        <v>470</v>
      </c>
      <c r="G582" s="182">
        <v>27063.5</v>
      </c>
      <c r="H582" s="22">
        <v>13862.6</v>
      </c>
      <c r="I582" s="22" t="e">
        <f>SUM(H582/#REF!*100)</f>
        <v>#REF!</v>
      </c>
    </row>
    <row r="583" spans="1:9" ht="15">
      <c r="A583" s="102" t="s">
        <v>294</v>
      </c>
      <c r="B583" s="145" t="s">
        <v>253</v>
      </c>
      <c r="C583" s="128"/>
      <c r="D583" s="128"/>
      <c r="E583" s="128"/>
      <c r="F583" s="143"/>
      <c r="G583" s="223">
        <f>SUM(G584+G613)</f>
        <v>152591.3</v>
      </c>
      <c r="H583" s="22">
        <f>SUM(H584)</f>
        <v>199.3</v>
      </c>
      <c r="I583" s="22" t="e">
        <f>SUM(H583/G607*100)</f>
        <v>#DIV/0!</v>
      </c>
    </row>
    <row r="584" spans="1:9" ht="15">
      <c r="A584" s="99" t="s">
        <v>106</v>
      </c>
      <c r="B584" s="46"/>
      <c r="C584" s="128" t="s">
        <v>107</v>
      </c>
      <c r="D584" s="128"/>
      <c r="E584" s="128"/>
      <c r="F584" s="143"/>
      <c r="G584" s="177">
        <f>SUM(G585)+G600</f>
        <v>54210.9</v>
      </c>
      <c r="H584" s="22">
        <v>199.3</v>
      </c>
      <c r="I584" s="22" t="e">
        <f>SUM(H584/G608*100)</f>
        <v>#DIV/0!</v>
      </c>
    </row>
    <row r="585" spans="1:9" ht="15">
      <c r="A585" s="99" t="s">
        <v>324</v>
      </c>
      <c r="B585" s="145"/>
      <c r="C585" s="128" t="s">
        <v>107</v>
      </c>
      <c r="D585" s="128" t="s">
        <v>425</v>
      </c>
      <c r="E585" s="128"/>
      <c r="F585" s="143"/>
      <c r="G585" s="177">
        <f>SUM(G586+G597)</f>
        <v>54210.9</v>
      </c>
      <c r="H585" s="22"/>
      <c r="I585" s="22"/>
    </row>
    <row r="586" spans="1:9" ht="15">
      <c r="A586" s="99" t="s">
        <v>301</v>
      </c>
      <c r="B586" s="46"/>
      <c r="C586" s="128" t="s">
        <v>107</v>
      </c>
      <c r="D586" s="128" t="s">
        <v>425</v>
      </c>
      <c r="E586" s="128" t="s">
        <v>302</v>
      </c>
      <c r="F586" s="143"/>
      <c r="G586" s="177">
        <f>SUM(G587)</f>
        <v>54210.9</v>
      </c>
      <c r="H586" s="22" t="e">
        <f>SUM(#REF!)</f>
        <v>#REF!</v>
      </c>
      <c r="I586" s="22" t="e">
        <f>SUM(H586/G610*100)</f>
        <v>#REF!</v>
      </c>
    </row>
    <row r="587" spans="1:9" ht="15">
      <c r="A587" s="99" t="s">
        <v>11</v>
      </c>
      <c r="B587" s="145"/>
      <c r="C587" s="128" t="s">
        <v>107</v>
      </c>
      <c r="D587" s="128" t="s">
        <v>425</v>
      </c>
      <c r="E587" s="128" t="s">
        <v>68</v>
      </c>
      <c r="F587" s="143"/>
      <c r="G587" s="177">
        <f>SUM(G588)+G595+G590</f>
        <v>54210.9</v>
      </c>
      <c r="H587" s="22"/>
      <c r="I587" s="22"/>
    </row>
    <row r="588" spans="1:9" ht="28.5">
      <c r="A588" s="99" t="s">
        <v>84</v>
      </c>
      <c r="B588" s="145"/>
      <c r="C588" s="128" t="s">
        <v>107</v>
      </c>
      <c r="D588" s="128" t="s">
        <v>425</v>
      </c>
      <c r="E588" s="128" t="s">
        <v>69</v>
      </c>
      <c r="F588" s="143"/>
      <c r="G588" s="177">
        <f>SUM(G589)</f>
        <v>54210.9</v>
      </c>
      <c r="H588" s="22"/>
      <c r="I588" s="22"/>
    </row>
    <row r="589" spans="1:9" ht="28.5">
      <c r="A589" s="105" t="s">
        <v>481</v>
      </c>
      <c r="B589" s="155"/>
      <c r="C589" s="128" t="s">
        <v>107</v>
      </c>
      <c r="D589" s="128" t="s">
        <v>425</v>
      </c>
      <c r="E589" s="128" t="s">
        <v>69</v>
      </c>
      <c r="F589" s="144" t="s">
        <v>477</v>
      </c>
      <c r="G589" s="177">
        <v>54210.9</v>
      </c>
      <c r="H589" s="22" t="e">
        <f>SUM(H590+H638)</f>
        <v>#REF!</v>
      </c>
      <c r="I589" s="22" t="e">
        <f>SUM(H589/G613*100)</f>
        <v>#REF!</v>
      </c>
    </row>
    <row r="590" spans="1:9" ht="15" hidden="1">
      <c r="A590" s="105" t="s">
        <v>148</v>
      </c>
      <c r="B590" s="155"/>
      <c r="C590" s="128" t="s">
        <v>107</v>
      </c>
      <c r="D590" s="128" t="s">
        <v>425</v>
      </c>
      <c r="E590" s="128" t="s">
        <v>141</v>
      </c>
      <c r="F590" s="144"/>
      <c r="G590" s="177"/>
      <c r="H590" s="22" t="e">
        <f>SUM(#REF!+H614+H591+H631)</f>
        <v>#REF!</v>
      </c>
      <c r="I590" s="22" t="e">
        <f>SUM(H590/G614*100)</f>
        <v>#REF!</v>
      </c>
    </row>
    <row r="591" spans="1:9" ht="28.5" hidden="1">
      <c r="A591" s="105" t="s">
        <v>426</v>
      </c>
      <c r="B591" s="155"/>
      <c r="C591" s="128" t="s">
        <v>107</v>
      </c>
      <c r="D591" s="128" t="s">
        <v>425</v>
      </c>
      <c r="E591" s="128" t="s">
        <v>427</v>
      </c>
      <c r="F591" s="144"/>
      <c r="G591" s="177">
        <f>SUM(G592)</f>
        <v>0</v>
      </c>
      <c r="H591" s="22">
        <f>SUM(H609)</f>
        <v>14679.5</v>
      </c>
      <c r="I591" s="22">
        <f>SUM(H591/G615*100)</f>
        <v>29.39550922245429</v>
      </c>
    </row>
    <row r="592" spans="1:9" ht="15" hidden="1">
      <c r="A592" s="105" t="s">
        <v>148</v>
      </c>
      <c r="B592" s="155"/>
      <c r="C592" s="128" t="s">
        <v>107</v>
      </c>
      <c r="D592" s="128" t="s">
        <v>425</v>
      </c>
      <c r="E592" s="128" t="s">
        <v>427</v>
      </c>
      <c r="F592" s="144" t="s">
        <v>73</v>
      </c>
      <c r="G592" s="177"/>
      <c r="H592" s="22">
        <f>SUM(H593)</f>
        <v>0</v>
      </c>
      <c r="I592" s="22">
        <f>SUM(H592/G619*100)</f>
        <v>0</v>
      </c>
    </row>
    <row r="593" spans="1:9" ht="15" hidden="1">
      <c r="A593" s="105" t="s">
        <v>144</v>
      </c>
      <c r="B593" s="155"/>
      <c r="C593" s="128" t="s">
        <v>107</v>
      </c>
      <c r="D593" s="128" t="s">
        <v>425</v>
      </c>
      <c r="E593" s="128" t="s">
        <v>208</v>
      </c>
      <c r="F593" s="144"/>
      <c r="G593" s="177">
        <f>SUM(G594)</f>
        <v>0</v>
      </c>
      <c r="H593" s="22"/>
      <c r="I593" s="22"/>
    </row>
    <row r="594" spans="1:9" ht="15" hidden="1">
      <c r="A594" s="105" t="s">
        <v>148</v>
      </c>
      <c r="B594" s="155"/>
      <c r="C594" s="128" t="s">
        <v>107</v>
      </c>
      <c r="D594" s="128" t="s">
        <v>425</v>
      </c>
      <c r="E594" s="128" t="s">
        <v>208</v>
      </c>
      <c r="F594" s="144" t="s">
        <v>73</v>
      </c>
      <c r="G594" s="177"/>
      <c r="H594" s="22">
        <f>SUM(H596+H642+H640)</f>
        <v>61355.8</v>
      </c>
      <c r="I594" s="22" t="e">
        <f>SUM(H594/G623*100)</f>
        <v>#DIV/0!</v>
      </c>
    </row>
    <row r="595" spans="1:9" ht="42.75" hidden="1">
      <c r="A595" s="105" t="s">
        <v>53</v>
      </c>
      <c r="B595" s="155"/>
      <c r="C595" s="128" t="s">
        <v>107</v>
      </c>
      <c r="D595" s="128" t="s">
        <v>425</v>
      </c>
      <c r="E595" s="128" t="s">
        <v>70</v>
      </c>
      <c r="F595" s="144"/>
      <c r="G595" s="177">
        <f>SUM(G596)</f>
        <v>0</v>
      </c>
      <c r="H595" s="22"/>
      <c r="I595" s="22"/>
    </row>
    <row r="596" spans="1:9" ht="15" hidden="1">
      <c r="A596" s="105" t="s">
        <v>148</v>
      </c>
      <c r="B596" s="155"/>
      <c r="C596" s="128" t="s">
        <v>107</v>
      </c>
      <c r="D596" s="128" t="s">
        <v>425</v>
      </c>
      <c r="E596" s="128" t="s">
        <v>70</v>
      </c>
      <c r="F596" s="144" t="s">
        <v>73</v>
      </c>
      <c r="G596" s="177"/>
      <c r="H596" s="22">
        <v>56722</v>
      </c>
      <c r="I596" s="22" t="e">
        <f>SUM(H596/G625*100)</f>
        <v>#DIV/0!</v>
      </c>
    </row>
    <row r="597" spans="1:9" ht="15" hidden="1">
      <c r="A597" s="105" t="s">
        <v>118</v>
      </c>
      <c r="B597" s="145"/>
      <c r="C597" s="128" t="s">
        <v>107</v>
      </c>
      <c r="D597" s="128" t="s">
        <v>425</v>
      </c>
      <c r="E597" s="128" t="s">
        <v>119</v>
      </c>
      <c r="F597" s="143"/>
      <c r="G597" s="177">
        <f>SUM(G598)+G601</f>
        <v>0</v>
      </c>
      <c r="H597" s="22"/>
      <c r="I597" s="22"/>
    </row>
    <row r="598" spans="1:9" ht="42.75" hidden="1">
      <c r="A598" s="99" t="s">
        <v>196</v>
      </c>
      <c r="B598" s="145"/>
      <c r="C598" s="128" t="s">
        <v>107</v>
      </c>
      <c r="D598" s="128" t="s">
        <v>425</v>
      </c>
      <c r="E598" s="128" t="s">
        <v>286</v>
      </c>
      <c r="F598" s="143"/>
      <c r="G598" s="177">
        <f>SUM(G599)</f>
        <v>0</v>
      </c>
      <c r="H598" s="22"/>
      <c r="I598" s="22"/>
    </row>
    <row r="599" spans="1:9" ht="15" hidden="1">
      <c r="A599" s="105" t="s">
        <v>133</v>
      </c>
      <c r="B599" s="145"/>
      <c r="C599" s="128" t="s">
        <v>107</v>
      </c>
      <c r="D599" s="128" t="s">
        <v>425</v>
      </c>
      <c r="E599" s="128" t="s">
        <v>286</v>
      </c>
      <c r="F599" s="143" t="s">
        <v>73</v>
      </c>
      <c r="G599" s="177"/>
      <c r="H599" s="22"/>
      <c r="I599" s="22"/>
    </row>
    <row r="600" spans="1:9" ht="15" hidden="1">
      <c r="A600" s="99" t="s">
        <v>108</v>
      </c>
      <c r="B600" s="46"/>
      <c r="C600" s="55" t="s">
        <v>107</v>
      </c>
      <c r="D600" s="55" t="s">
        <v>107</v>
      </c>
      <c r="E600" s="128"/>
      <c r="F600" s="144"/>
      <c r="G600" s="177">
        <f>SUM(G606+G601+G604+G610)</f>
        <v>0</v>
      </c>
      <c r="H600" s="22"/>
      <c r="I600" s="22"/>
    </row>
    <row r="601" spans="1:9" ht="15" hidden="1">
      <c r="A601" s="103" t="s">
        <v>215</v>
      </c>
      <c r="B601" s="54"/>
      <c r="C601" s="128" t="s">
        <v>107</v>
      </c>
      <c r="D601" s="128" t="s">
        <v>107</v>
      </c>
      <c r="E601" s="128" t="s">
        <v>216</v>
      </c>
      <c r="F601" s="143"/>
      <c r="G601" s="177">
        <f>SUM(G602)</f>
        <v>0</v>
      </c>
      <c r="H601" s="22"/>
      <c r="I601" s="22"/>
    </row>
    <row r="602" spans="1:9" ht="15" hidden="1">
      <c r="A602" s="103" t="s">
        <v>217</v>
      </c>
      <c r="B602" s="54"/>
      <c r="C602" s="128" t="s">
        <v>107</v>
      </c>
      <c r="D602" s="128" t="s">
        <v>107</v>
      </c>
      <c r="E602" s="128" t="s">
        <v>218</v>
      </c>
      <c r="F602" s="143"/>
      <c r="G602" s="177">
        <f>SUM(G603)</f>
        <v>0</v>
      </c>
      <c r="H602" s="22"/>
      <c r="I602" s="22"/>
    </row>
    <row r="603" spans="1:9" ht="15" hidden="1">
      <c r="A603" s="105" t="s">
        <v>234</v>
      </c>
      <c r="B603" s="54"/>
      <c r="C603" s="128" t="s">
        <v>107</v>
      </c>
      <c r="D603" s="128" t="s">
        <v>107</v>
      </c>
      <c r="E603" s="128" t="s">
        <v>218</v>
      </c>
      <c r="F603" s="143" t="s">
        <v>235</v>
      </c>
      <c r="G603" s="177"/>
      <c r="H603" s="22"/>
      <c r="I603" s="22"/>
    </row>
    <row r="604" spans="1:9" ht="15" hidden="1">
      <c r="A604" s="105" t="s">
        <v>351</v>
      </c>
      <c r="B604" s="54"/>
      <c r="C604" s="128" t="s">
        <v>107</v>
      </c>
      <c r="D604" s="128" t="s">
        <v>107</v>
      </c>
      <c r="E604" s="128" t="s">
        <v>352</v>
      </c>
      <c r="F604" s="143"/>
      <c r="G604" s="177">
        <f>SUM(G605)</f>
        <v>0</v>
      </c>
      <c r="H604" s="22"/>
      <c r="I604" s="22"/>
    </row>
    <row r="605" spans="1:9" ht="15" hidden="1">
      <c r="A605" s="105" t="s">
        <v>213</v>
      </c>
      <c r="B605" s="54"/>
      <c r="C605" s="128" t="s">
        <v>107</v>
      </c>
      <c r="D605" s="128" t="s">
        <v>107</v>
      </c>
      <c r="E605" s="128" t="s">
        <v>352</v>
      </c>
      <c r="F605" s="143" t="s">
        <v>214</v>
      </c>
      <c r="G605" s="177"/>
      <c r="H605" s="22"/>
      <c r="I605" s="22"/>
    </row>
    <row r="606" spans="1:9" ht="15" hidden="1">
      <c r="A606" s="100" t="s">
        <v>220</v>
      </c>
      <c r="B606" s="46"/>
      <c r="C606" s="55" t="s">
        <v>107</v>
      </c>
      <c r="D606" s="55" t="s">
        <v>107</v>
      </c>
      <c r="E606" s="55" t="s">
        <v>109</v>
      </c>
      <c r="F606" s="142"/>
      <c r="G606" s="177">
        <f>SUM(G607)</f>
        <v>0</v>
      </c>
      <c r="H606" s="22"/>
      <c r="I606" s="22"/>
    </row>
    <row r="607" spans="1:9" ht="42.75" hidden="1">
      <c r="A607" s="100" t="s">
        <v>82</v>
      </c>
      <c r="B607" s="46"/>
      <c r="C607" s="55" t="s">
        <v>107</v>
      </c>
      <c r="D607" s="55" t="s">
        <v>107</v>
      </c>
      <c r="E607" s="55" t="s">
        <v>83</v>
      </c>
      <c r="F607" s="142"/>
      <c r="G607" s="177">
        <f>SUM(G608)+G609</f>
        <v>0</v>
      </c>
      <c r="H607" s="22"/>
      <c r="I607" s="22"/>
    </row>
    <row r="608" spans="1:9" ht="15" hidden="1">
      <c r="A608" s="105" t="s">
        <v>234</v>
      </c>
      <c r="B608" s="46"/>
      <c r="C608" s="55" t="s">
        <v>107</v>
      </c>
      <c r="D608" s="55" t="s">
        <v>107</v>
      </c>
      <c r="E608" s="55" t="s">
        <v>83</v>
      </c>
      <c r="F608" s="142" t="s">
        <v>235</v>
      </c>
      <c r="G608" s="177"/>
      <c r="H608" s="22"/>
      <c r="I608" s="22"/>
    </row>
    <row r="609" spans="1:9" ht="15" hidden="1">
      <c r="A609" s="105" t="s">
        <v>133</v>
      </c>
      <c r="B609" s="46"/>
      <c r="C609" s="55" t="s">
        <v>107</v>
      </c>
      <c r="D609" s="55" t="s">
        <v>107</v>
      </c>
      <c r="E609" s="55" t="s">
        <v>83</v>
      </c>
      <c r="F609" s="142" t="s">
        <v>73</v>
      </c>
      <c r="G609" s="177"/>
      <c r="H609" s="22">
        <f>SUM(H610:H612)</f>
        <v>14679.5</v>
      </c>
      <c r="I609" s="22">
        <f aca="true" t="shared" si="14" ref="I609:I615">SUM(H609/G633*100)</f>
        <v>121.73065760013269</v>
      </c>
    </row>
    <row r="610" spans="1:9" ht="15" hidden="1">
      <c r="A610" s="105" t="s">
        <v>118</v>
      </c>
      <c r="B610" s="156"/>
      <c r="C610" s="128" t="s">
        <v>107</v>
      </c>
      <c r="D610" s="128" t="s">
        <v>107</v>
      </c>
      <c r="E610" s="128" t="s">
        <v>119</v>
      </c>
      <c r="F610" s="144"/>
      <c r="G610" s="177">
        <f>SUM(G611)</f>
        <v>0</v>
      </c>
      <c r="H610" s="22">
        <v>14679.5</v>
      </c>
      <c r="I610" s="22">
        <f t="shared" si="14"/>
        <v>121.73065760013269</v>
      </c>
    </row>
    <row r="611" spans="1:9" ht="42.75" hidden="1">
      <c r="A611" s="108" t="s">
        <v>333</v>
      </c>
      <c r="B611" s="156"/>
      <c r="C611" s="128" t="s">
        <v>107</v>
      </c>
      <c r="D611" s="128" t="s">
        <v>107</v>
      </c>
      <c r="E611" s="128" t="s">
        <v>332</v>
      </c>
      <c r="F611" s="144"/>
      <c r="G611" s="177">
        <f>SUM(G612)</f>
        <v>0</v>
      </c>
      <c r="H611" s="22"/>
      <c r="I611" s="22" t="e">
        <f t="shared" si="14"/>
        <v>#DIV/0!</v>
      </c>
    </row>
    <row r="612" spans="1:9" ht="15" hidden="1">
      <c r="A612" s="105" t="s">
        <v>213</v>
      </c>
      <c r="B612" s="156"/>
      <c r="C612" s="128" t="s">
        <v>107</v>
      </c>
      <c r="D612" s="128" t="s">
        <v>107</v>
      </c>
      <c r="E612" s="128" t="s">
        <v>332</v>
      </c>
      <c r="F612" s="144" t="s">
        <v>214</v>
      </c>
      <c r="G612" s="177"/>
      <c r="H612" s="22">
        <f>SUM(H613)</f>
        <v>0</v>
      </c>
      <c r="I612" s="22" t="e">
        <f t="shared" si="14"/>
        <v>#DIV/0!</v>
      </c>
    </row>
    <row r="613" spans="1:9" ht="15">
      <c r="A613" s="99" t="s">
        <v>309</v>
      </c>
      <c r="B613" s="46"/>
      <c r="C613" s="128" t="s">
        <v>114</v>
      </c>
      <c r="D613" s="128"/>
      <c r="E613" s="128"/>
      <c r="F613" s="143"/>
      <c r="G613" s="177">
        <f>SUM(G614+G662)</f>
        <v>98380.4</v>
      </c>
      <c r="H613" s="22"/>
      <c r="I613" s="22" t="e">
        <f t="shared" si="14"/>
        <v>#DIV/0!</v>
      </c>
    </row>
    <row r="614" spans="1:9" ht="15">
      <c r="A614" s="99" t="s">
        <v>331</v>
      </c>
      <c r="B614" s="46"/>
      <c r="C614" s="128" t="s">
        <v>114</v>
      </c>
      <c r="D614" s="128" t="s">
        <v>423</v>
      </c>
      <c r="E614" s="128"/>
      <c r="F614" s="143"/>
      <c r="G614" s="177">
        <f>SUM(G615+G638+G647)</f>
        <v>90179.9</v>
      </c>
      <c r="H614" s="22">
        <f>SUM(H615)</f>
        <v>56722</v>
      </c>
      <c r="I614" s="22">
        <f t="shared" si="14"/>
        <v>1052.7663839343716</v>
      </c>
    </row>
    <row r="615" spans="1:9" ht="28.5">
      <c r="A615" s="103" t="s">
        <v>574</v>
      </c>
      <c r="B615" s="46"/>
      <c r="C615" s="128" t="s">
        <v>114</v>
      </c>
      <c r="D615" s="128" t="s">
        <v>423</v>
      </c>
      <c r="E615" s="128" t="s">
        <v>126</v>
      </c>
      <c r="F615" s="143"/>
      <c r="G615" s="177">
        <f>SUM(G616+G619)</f>
        <v>49937.899999999994</v>
      </c>
      <c r="H615" s="22">
        <f>SUM(H617+H655+H653)</f>
        <v>56722</v>
      </c>
      <c r="I615" s="22">
        <f t="shared" si="14"/>
        <v>1052.7663839343716</v>
      </c>
    </row>
    <row r="616" spans="1:9" ht="15">
      <c r="A616" s="99" t="s">
        <v>11</v>
      </c>
      <c r="B616" s="145"/>
      <c r="C616" s="128" t="s">
        <v>114</v>
      </c>
      <c r="D616" s="128" t="s">
        <v>423</v>
      </c>
      <c r="E616" s="128" t="s">
        <v>192</v>
      </c>
      <c r="F616" s="143"/>
      <c r="G616" s="177">
        <f>SUM(G617)</f>
        <v>31956.2</v>
      </c>
      <c r="H616" s="22"/>
      <c r="I616" s="22"/>
    </row>
    <row r="617" spans="1:9" ht="28.5">
      <c r="A617" s="99" t="s">
        <v>84</v>
      </c>
      <c r="B617" s="145"/>
      <c r="C617" s="128" t="s">
        <v>114</v>
      </c>
      <c r="D617" s="128" t="s">
        <v>423</v>
      </c>
      <c r="E617" s="128" t="s">
        <v>194</v>
      </c>
      <c r="F617" s="143"/>
      <c r="G617" s="177">
        <f>SUM(G618)</f>
        <v>31956.2</v>
      </c>
      <c r="H617" s="22">
        <v>56722</v>
      </c>
      <c r="I617" s="22">
        <f>SUM(H617/G641*100)</f>
        <v>1052.7663839343716</v>
      </c>
    </row>
    <row r="618" spans="1:9" ht="28.5">
      <c r="A618" s="105" t="s">
        <v>481</v>
      </c>
      <c r="B618" s="155"/>
      <c r="C618" s="128" t="s">
        <v>114</v>
      </c>
      <c r="D618" s="128" t="s">
        <v>423</v>
      </c>
      <c r="E618" s="128" t="s">
        <v>194</v>
      </c>
      <c r="F618" s="144" t="s">
        <v>477</v>
      </c>
      <c r="G618" s="177">
        <v>31956.2</v>
      </c>
      <c r="H618" s="22">
        <f>SUM(H619)</f>
        <v>0</v>
      </c>
      <c r="I618" s="22" t="e">
        <f>SUM(H618/#REF!*100)</f>
        <v>#REF!</v>
      </c>
    </row>
    <row r="619" spans="1:9" ht="28.5">
      <c r="A619" s="99" t="s">
        <v>47</v>
      </c>
      <c r="B619" s="155"/>
      <c r="C619" s="128" t="s">
        <v>114</v>
      </c>
      <c r="D619" s="128" t="s">
        <v>423</v>
      </c>
      <c r="E619" s="128" t="s">
        <v>127</v>
      </c>
      <c r="F619" s="144"/>
      <c r="G619" s="177">
        <f>SUM(G620:G622)</f>
        <v>17981.699999999997</v>
      </c>
      <c r="H619" s="22"/>
      <c r="I619" s="22" t="e">
        <f>SUM(H619/#REF!*100)</f>
        <v>#REF!</v>
      </c>
    </row>
    <row r="620" spans="1:9" ht="28.5">
      <c r="A620" s="99" t="s">
        <v>459</v>
      </c>
      <c r="B620" s="46"/>
      <c r="C620" s="128" t="s">
        <v>114</v>
      </c>
      <c r="D620" s="128" t="s">
        <v>423</v>
      </c>
      <c r="E620" s="128" t="s">
        <v>127</v>
      </c>
      <c r="F620" s="142" t="s">
        <v>460</v>
      </c>
      <c r="G620" s="177">
        <v>14345.1</v>
      </c>
      <c r="H620" s="22"/>
      <c r="I620" s="22"/>
    </row>
    <row r="621" spans="1:9" ht="15">
      <c r="A621" s="99" t="s">
        <v>464</v>
      </c>
      <c r="B621" s="46"/>
      <c r="C621" s="128" t="s">
        <v>114</v>
      </c>
      <c r="D621" s="128" t="s">
        <v>423</v>
      </c>
      <c r="E621" s="128" t="s">
        <v>127</v>
      </c>
      <c r="F621" s="142" t="s">
        <v>110</v>
      </c>
      <c r="G621" s="178">
        <v>3385</v>
      </c>
      <c r="H621" s="22"/>
      <c r="I621" s="22"/>
    </row>
    <row r="622" spans="1:9" ht="15">
      <c r="A622" s="99" t="s">
        <v>465</v>
      </c>
      <c r="B622" s="46"/>
      <c r="C622" s="128" t="s">
        <v>114</v>
      </c>
      <c r="D622" s="128" t="s">
        <v>423</v>
      </c>
      <c r="E622" s="128" t="s">
        <v>127</v>
      </c>
      <c r="F622" s="143" t="s">
        <v>165</v>
      </c>
      <c r="G622" s="177">
        <v>251.6</v>
      </c>
      <c r="H622" s="22"/>
      <c r="I622" s="22"/>
    </row>
    <row r="623" spans="1:9" ht="15" hidden="1">
      <c r="A623" s="99" t="s">
        <v>85</v>
      </c>
      <c r="B623" s="145"/>
      <c r="C623" s="128" t="s">
        <v>114</v>
      </c>
      <c r="D623" s="128" t="s">
        <v>423</v>
      </c>
      <c r="E623" s="128" t="s">
        <v>192</v>
      </c>
      <c r="F623" s="143"/>
      <c r="G623" s="177">
        <f>SUM(G624+G626)</f>
        <v>0</v>
      </c>
      <c r="H623" s="22"/>
      <c r="I623" s="22"/>
    </row>
    <row r="624" spans="1:9" ht="28.5" hidden="1">
      <c r="A624" s="99" t="s">
        <v>193</v>
      </c>
      <c r="B624" s="145"/>
      <c r="C624" s="128" t="s">
        <v>114</v>
      </c>
      <c r="D624" s="128" t="s">
        <v>423</v>
      </c>
      <c r="E624" s="128" t="s">
        <v>194</v>
      </c>
      <c r="F624" s="143"/>
      <c r="G624" s="177">
        <f>SUM(G625)</f>
        <v>0</v>
      </c>
      <c r="H624" s="22">
        <f>SUM(H625+H628+H630)</f>
        <v>10268.9</v>
      </c>
      <c r="I624" s="22">
        <f>SUM(H624/G648*100)</f>
        <v>29.462530950447718</v>
      </c>
    </row>
    <row r="625" spans="1:9" ht="42.75" hidden="1">
      <c r="A625" s="105" t="s">
        <v>147</v>
      </c>
      <c r="B625" s="155"/>
      <c r="C625" s="128" t="s">
        <v>114</v>
      </c>
      <c r="D625" s="128" t="s">
        <v>423</v>
      </c>
      <c r="E625" s="128" t="s">
        <v>194</v>
      </c>
      <c r="F625" s="144" t="s">
        <v>49</v>
      </c>
      <c r="G625" s="177"/>
      <c r="H625" s="22">
        <v>8963.8</v>
      </c>
      <c r="I625" s="22">
        <f>SUM(H625/G649*100)</f>
        <v>29.61692735695075</v>
      </c>
    </row>
    <row r="626" spans="1:9" ht="15" hidden="1">
      <c r="A626" s="99" t="s">
        <v>148</v>
      </c>
      <c r="B626" s="46"/>
      <c r="C626" s="128" t="s">
        <v>114</v>
      </c>
      <c r="D626" s="128" t="s">
        <v>423</v>
      </c>
      <c r="E626" s="55" t="s">
        <v>379</v>
      </c>
      <c r="F626" s="144"/>
      <c r="G626" s="177">
        <f>SUM(G629+G631)+G627</f>
        <v>0</v>
      </c>
      <c r="H626" s="22"/>
      <c r="I626" s="22">
        <f>SUM(H626/G651*100)</f>
        <v>0</v>
      </c>
    </row>
    <row r="627" spans="1:9" ht="28.5" hidden="1">
      <c r="A627" s="99" t="s">
        <v>426</v>
      </c>
      <c r="B627" s="46"/>
      <c r="C627" s="128" t="s">
        <v>114</v>
      </c>
      <c r="D627" s="128" t="s">
        <v>423</v>
      </c>
      <c r="E627" s="55" t="s">
        <v>380</v>
      </c>
      <c r="F627" s="144"/>
      <c r="G627" s="177">
        <f>SUM(G628)</f>
        <v>0</v>
      </c>
      <c r="H627" s="22">
        <f>SUM(H628)</f>
        <v>0</v>
      </c>
      <c r="I627" s="22" t="e">
        <f>SUM(H627/#REF!*100)</f>
        <v>#REF!</v>
      </c>
    </row>
    <row r="628" spans="1:9" ht="15" hidden="1">
      <c r="A628" s="99" t="s">
        <v>148</v>
      </c>
      <c r="B628" s="46"/>
      <c r="C628" s="128" t="s">
        <v>114</v>
      </c>
      <c r="D628" s="128" t="s">
        <v>423</v>
      </c>
      <c r="E628" s="55" t="s">
        <v>380</v>
      </c>
      <c r="F628" s="144" t="s">
        <v>73</v>
      </c>
      <c r="G628" s="177"/>
      <c r="H628" s="22"/>
      <c r="I628" s="22" t="e">
        <f>SUM(H628/#REF!*100)</f>
        <v>#REF!</v>
      </c>
    </row>
    <row r="629" spans="1:9" ht="28.5" hidden="1">
      <c r="A629" s="105" t="s">
        <v>378</v>
      </c>
      <c r="B629" s="155"/>
      <c r="C629" s="128" t="s">
        <v>114</v>
      </c>
      <c r="D629" s="128" t="s">
        <v>423</v>
      </c>
      <c r="E629" s="128" t="s">
        <v>377</v>
      </c>
      <c r="F629" s="144"/>
      <c r="G629" s="177">
        <f>SUM(G630)</f>
        <v>0</v>
      </c>
      <c r="H629" s="22">
        <f>SUM(H630)</f>
        <v>1305.1</v>
      </c>
      <c r="I629" s="22" t="e">
        <f>SUM(H629/G652*100)</f>
        <v>#DIV/0!</v>
      </c>
    </row>
    <row r="630" spans="1:9" ht="15" hidden="1">
      <c r="A630" s="105" t="s">
        <v>133</v>
      </c>
      <c r="B630" s="155"/>
      <c r="C630" s="128" t="s">
        <v>114</v>
      </c>
      <c r="D630" s="128" t="s">
        <v>423</v>
      </c>
      <c r="E630" s="128" t="s">
        <v>377</v>
      </c>
      <c r="F630" s="144" t="s">
        <v>73</v>
      </c>
      <c r="G630" s="177"/>
      <c r="H630" s="22">
        <v>1305.1</v>
      </c>
      <c r="I630" s="22" t="e">
        <f>SUM(H630/G653*100)</f>
        <v>#DIV/0!</v>
      </c>
    </row>
    <row r="631" spans="1:9" ht="15" hidden="1">
      <c r="A631" s="105" t="s">
        <v>144</v>
      </c>
      <c r="B631" s="155"/>
      <c r="C631" s="128" t="s">
        <v>114</v>
      </c>
      <c r="D631" s="128" t="s">
        <v>423</v>
      </c>
      <c r="E631" s="128" t="s">
        <v>204</v>
      </c>
      <c r="F631" s="144"/>
      <c r="G631" s="177">
        <f>SUM(G632)</f>
        <v>0</v>
      </c>
      <c r="H631" s="22" t="e">
        <f>SUM(#REF!+H633)</f>
        <v>#REF!</v>
      </c>
      <c r="I631" s="22" t="e">
        <f>SUM(H631/G654*100)</f>
        <v>#REF!</v>
      </c>
    </row>
    <row r="632" spans="1:9" ht="15" hidden="1">
      <c r="A632" s="105" t="s">
        <v>133</v>
      </c>
      <c r="B632" s="155"/>
      <c r="C632" s="128" t="s">
        <v>114</v>
      </c>
      <c r="D632" s="128" t="s">
        <v>423</v>
      </c>
      <c r="E632" s="128" t="s">
        <v>204</v>
      </c>
      <c r="F632" s="144" t="s">
        <v>73</v>
      </c>
      <c r="G632" s="177"/>
      <c r="H632" s="22"/>
      <c r="I632" s="22"/>
    </row>
    <row r="633" spans="1:9" ht="28.5">
      <c r="A633" s="99" t="s">
        <v>47</v>
      </c>
      <c r="B633" s="54"/>
      <c r="C633" s="128" t="s">
        <v>114</v>
      </c>
      <c r="D633" s="128" t="s">
        <v>423</v>
      </c>
      <c r="E633" s="128" t="s">
        <v>127</v>
      </c>
      <c r="F633" s="143"/>
      <c r="G633" s="177">
        <f>SUM(G634:G636)</f>
        <v>12059</v>
      </c>
      <c r="H633" s="22"/>
      <c r="I633" s="22" t="e">
        <f>SUM(H633/G655*100)</f>
        <v>#DIV/0!</v>
      </c>
    </row>
    <row r="634" spans="1:9" ht="15">
      <c r="A634" s="105" t="s">
        <v>48</v>
      </c>
      <c r="B634" s="54"/>
      <c r="C634" s="128" t="s">
        <v>114</v>
      </c>
      <c r="D634" s="128" t="s">
        <v>423</v>
      </c>
      <c r="E634" s="128" t="s">
        <v>127</v>
      </c>
      <c r="F634" s="143" t="s">
        <v>235</v>
      </c>
      <c r="G634" s="177">
        <v>12059</v>
      </c>
      <c r="H634" s="22">
        <f>SUM(H635)</f>
        <v>7333.8</v>
      </c>
      <c r="I634" s="22" t="e">
        <f>SUM(H634/G658*100)</f>
        <v>#DIV/0!</v>
      </c>
    </row>
    <row r="635" spans="1:9" ht="28.5" hidden="1">
      <c r="A635" s="105" t="s">
        <v>334</v>
      </c>
      <c r="B635" s="155"/>
      <c r="C635" s="128" t="s">
        <v>114</v>
      </c>
      <c r="D635" s="128" t="s">
        <v>423</v>
      </c>
      <c r="E635" s="128" t="s">
        <v>127</v>
      </c>
      <c r="F635" s="144" t="s">
        <v>335</v>
      </c>
      <c r="G635" s="177"/>
      <c r="H635" s="22">
        <f>SUM(H637:H641)</f>
        <v>7333.8</v>
      </c>
      <c r="I635" s="22" t="e">
        <f>SUM(H635/G659*100)</f>
        <v>#DIV/0!</v>
      </c>
    </row>
    <row r="636" spans="1:9" ht="42.75" hidden="1">
      <c r="A636" s="99" t="s">
        <v>246</v>
      </c>
      <c r="B636" s="46"/>
      <c r="C636" s="128" t="s">
        <v>114</v>
      </c>
      <c r="D636" s="128" t="s">
        <v>423</v>
      </c>
      <c r="E636" s="128" t="s">
        <v>336</v>
      </c>
      <c r="F636" s="144"/>
      <c r="G636" s="177">
        <f>SUM(G637)</f>
        <v>0</v>
      </c>
      <c r="H636" s="22"/>
      <c r="I636" s="22"/>
    </row>
    <row r="637" spans="1:9" ht="5.25" customHeight="1" hidden="1">
      <c r="A637" s="105" t="s">
        <v>234</v>
      </c>
      <c r="B637" s="155"/>
      <c r="C637" s="128" t="s">
        <v>114</v>
      </c>
      <c r="D637" s="128" t="s">
        <v>423</v>
      </c>
      <c r="E637" s="128" t="s">
        <v>336</v>
      </c>
      <c r="F637" s="144" t="s">
        <v>235</v>
      </c>
      <c r="G637" s="177"/>
      <c r="H637" s="22"/>
      <c r="I637" s="22" t="e">
        <f aca="true" t="shared" si="15" ref="I637:I644">SUM(H637/G661*100)</f>
        <v>#DIV/0!</v>
      </c>
    </row>
    <row r="638" spans="1:9" ht="15">
      <c r="A638" s="99" t="s">
        <v>337</v>
      </c>
      <c r="B638" s="46"/>
      <c r="C638" s="128" t="s">
        <v>114</v>
      </c>
      <c r="D638" s="128" t="s">
        <v>423</v>
      </c>
      <c r="E638" s="128" t="s">
        <v>338</v>
      </c>
      <c r="F638" s="143"/>
      <c r="G638" s="177">
        <f>SUM(G639)</f>
        <v>5387.9</v>
      </c>
      <c r="H638" s="22">
        <f>SUM(H642+H645+H640)</f>
        <v>4633.8</v>
      </c>
      <c r="I638" s="22">
        <f t="shared" si="15"/>
        <v>56.506310590817634</v>
      </c>
    </row>
    <row r="639" spans="1:9" ht="15">
      <c r="A639" s="99" t="s">
        <v>85</v>
      </c>
      <c r="B639" s="145"/>
      <c r="C639" s="128" t="s">
        <v>114</v>
      </c>
      <c r="D639" s="128" t="s">
        <v>423</v>
      </c>
      <c r="E639" s="128" t="s">
        <v>71</v>
      </c>
      <c r="F639" s="143"/>
      <c r="G639" s="177">
        <f>SUM(G640)+G642</f>
        <v>5387.9</v>
      </c>
      <c r="H639" s="22">
        <f>SUM(H640)</f>
        <v>900</v>
      </c>
      <c r="I639" s="22" t="e">
        <f t="shared" si="15"/>
        <v>#DIV/0!</v>
      </c>
    </row>
    <row r="640" spans="1:9" ht="28.5">
      <c r="A640" s="99" t="s">
        <v>193</v>
      </c>
      <c r="B640" s="145"/>
      <c r="C640" s="128" t="s">
        <v>114</v>
      </c>
      <c r="D640" s="128" t="s">
        <v>423</v>
      </c>
      <c r="E640" s="128" t="s">
        <v>72</v>
      </c>
      <c r="F640" s="143"/>
      <c r="G640" s="177">
        <f>SUM(G641)</f>
        <v>5387.9</v>
      </c>
      <c r="H640" s="22">
        <f>SUM(H641)</f>
        <v>900</v>
      </c>
      <c r="I640" s="22" t="e">
        <f t="shared" si="15"/>
        <v>#DIV/0!</v>
      </c>
    </row>
    <row r="641" spans="1:9" ht="28.5">
      <c r="A641" s="105" t="s">
        <v>481</v>
      </c>
      <c r="B641" s="155"/>
      <c r="C641" s="128" t="s">
        <v>114</v>
      </c>
      <c r="D641" s="128" t="s">
        <v>423</v>
      </c>
      <c r="E641" s="128" t="s">
        <v>72</v>
      </c>
      <c r="F641" s="144" t="s">
        <v>477</v>
      </c>
      <c r="G641" s="177">
        <v>5387.9</v>
      </c>
      <c r="H641" s="22">
        <v>900</v>
      </c>
      <c r="I641" s="22" t="e">
        <f t="shared" si="15"/>
        <v>#DIV/0!</v>
      </c>
    </row>
    <row r="642" spans="1:9" ht="15" hidden="1">
      <c r="A642" s="99" t="s">
        <v>148</v>
      </c>
      <c r="B642" s="155"/>
      <c r="C642" s="128" t="s">
        <v>114</v>
      </c>
      <c r="D642" s="128" t="s">
        <v>423</v>
      </c>
      <c r="E642" s="128" t="s">
        <v>205</v>
      </c>
      <c r="F642" s="144"/>
      <c r="G642" s="177">
        <f>SUM(G645+G643)</f>
        <v>0</v>
      </c>
      <c r="H642" s="22">
        <f>SUM(H643)</f>
        <v>3733.8</v>
      </c>
      <c r="I642" s="22">
        <f t="shared" si="15"/>
        <v>53.33619027212343</v>
      </c>
    </row>
    <row r="643" spans="1:9" ht="28.5" hidden="1">
      <c r="A643" s="99" t="s">
        <v>426</v>
      </c>
      <c r="B643" s="155"/>
      <c r="C643" s="128" t="s">
        <v>114</v>
      </c>
      <c r="D643" s="128" t="s">
        <v>423</v>
      </c>
      <c r="E643" s="128" t="s">
        <v>428</v>
      </c>
      <c r="F643" s="144"/>
      <c r="G643" s="177">
        <f>SUM(G644)</f>
        <v>0</v>
      </c>
      <c r="H643" s="22">
        <f>SUM(H644)</f>
        <v>3733.8</v>
      </c>
      <c r="I643" s="22">
        <f t="shared" si="15"/>
        <v>53.33619027212343</v>
      </c>
    </row>
    <row r="644" spans="1:9" ht="15" hidden="1">
      <c r="A644" s="99" t="s">
        <v>148</v>
      </c>
      <c r="B644" s="155"/>
      <c r="C644" s="128" t="s">
        <v>114</v>
      </c>
      <c r="D644" s="128" t="s">
        <v>423</v>
      </c>
      <c r="E644" s="128" t="s">
        <v>428</v>
      </c>
      <c r="F644" s="144" t="s">
        <v>73</v>
      </c>
      <c r="G644" s="177"/>
      <c r="H644" s="22">
        <v>3733.8</v>
      </c>
      <c r="I644" s="22">
        <f t="shared" si="15"/>
        <v>58.9141171087303</v>
      </c>
    </row>
    <row r="645" spans="1:9" ht="28.5" hidden="1">
      <c r="A645" s="105" t="s">
        <v>378</v>
      </c>
      <c r="B645" s="155"/>
      <c r="C645" s="128" t="s">
        <v>114</v>
      </c>
      <c r="D645" s="128" t="s">
        <v>423</v>
      </c>
      <c r="E645" s="128" t="s">
        <v>143</v>
      </c>
      <c r="F645" s="144"/>
      <c r="G645" s="177">
        <f>SUM(G646)</f>
        <v>0</v>
      </c>
      <c r="H645" s="22">
        <f>SUM(H648)</f>
        <v>0</v>
      </c>
      <c r="I645" s="22">
        <f>SUM(H645/G671*100)</f>
        <v>0</v>
      </c>
    </row>
    <row r="646" spans="1:9" ht="15" hidden="1">
      <c r="A646" s="105" t="s">
        <v>133</v>
      </c>
      <c r="B646" s="155"/>
      <c r="C646" s="128" t="s">
        <v>114</v>
      </c>
      <c r="D646" s="128" t="s">
        <v>423</v>
      </c>
      <c r="E646" s="128" t="s">
        <v>143</v>
      </c>
      <c r="F646" s="144" t="s">
        <v>73</v>
      </c>
      <c r="G646" s="177"/>
      <c r="H646" s="22"/>
      <c r="I646" s="22"/>
    </row>
    <row r="647" spans="1:9" ht="15">
      <c r="A647" s="99" t="s">
        <v>339</v>
      </c>
      <c r="B647" s="46"/>
      <c r="C647" s="128" t="s">
        <v>114</v>
      </c>
      <c r="D647" s="128" t="s">
        <v>423</v>
      </c>
      <c r="E647" s="128" t="s">
        <v>340</v>
      </c>
      <c r="F647" s="143"/>
      <c r="G647" s="177">
        <f>SUM(G648)</f>
        <v>34854.100000000006</v>
      </c>
      <c r="H647" s="22"/>
      <c r="I647" s="22"/>
    </row>
    <row r="648" spans="1:9" ht="28.5">
      <c r="A648" s="99" t="s">
        <v>47</v>
      </c>
      <c r="B648" s="145"/>
      <c r="C648" s="128" t="s">
        <v>114</v>
      </c>
      <c r="D648" s="128" t="s">
        <v>423</v>
      </c>
      <c r="E648" s="128" t="s">
        <v>341</v>
      </c>
      <c r="F648" s="143"/>
      <c r="G648" s="177">
        <f>SUM(G649:G651)</f>
        <v>34854.100000000006</v>
      </c>
      <c r="H648" s="22">
        <f>SUM(H649:H655)</f>
        <v>0</v>
      </c>
      <c r="I648" s="22" t="e">
        <f>SUM(H648/G674*100)</f>
        <v>#DIV/0!</v>
      </c>
    </row>
    <row r="649" spans="1:9" ht="28.5">
      <c r="A649" s="99" t="s">
        <v>459</v>
      </c>
      <c r="B649" s="46"/>
      <c r="C649" s="128" t="s">
        <v>114</v>
      </c>
      <c r="D649" s="128" t="s">
        <v>423</v>
      </c>
      <c r="E649" s="128" t="s">
        <v>341</v>
      </c>
      <c r="F649" s="142" t="s">
        <v>460</v>
      </c>
      <c r="G649" s="177">
        <v>30265.8</v>
      </c>
      <c r="H649" s="22"/>
      <c r="I649" s="22" t="e">
        <f>SUM(H649/G675*100)</f>
        <v>#DIV/0!</v>
      </c>
    </row>
    <row r="650" spans="1:9" ht="15">
      <c r="A650" s="99" t="s">
        <v>464</v>
      </c>
      <c r="B650" s="46"/>
      <c r="C650" s="128" t="s">
        <v>114</v>
      </c>
      <c r="D650" s="128" t="s">
        <v>423</v>
      </c>
      <c r="E650" s="128" t="s">
        <v>341</v>
      </c>
      <c r="F650" s="142" t="s">
        <v>110</v>
      </c>
      <c r="G650" s="178">
        <v>4033</v>
      </c>
      <c r="H650" s="22"/>
      <c r="I650" s="22" t="e">
        <f>SUM(H650/G676*100)</f>
        <v>#DIV/0!</v>
      </c>
    </row>
    <row r="651" spans="1:9" ht="15">
      <c r="A651" s="99" t="s">
        <v>465</v>
      </c>
      <c r="B651" s="46"/>
      <c r="C651" s="128" t="s">
        <v>114</v>
      </c>
      <c r="D651" s="128" t="s">
        <v>423</v>
      </c>
      <c r="E651" s="128" t="s">
        <v>341</v>
      </c>
      <c r="F651" s="143" t="s">
        <v>165</v>
      </c>
      <c r="G651" s="177">
        <v>555.3</v>
      </c>
      <c r="H651" s="22"/>
      <c r="I651" s="22"/>
    </row>
    <row r="652" spans="1:9" ht="42.75" hidden="1">
      <c r="A652" s="105" t="s">
        <v>53</v>
      </c>
      <c r="B652" s="155"/>
      <c r="C652" s="128" t="s">
        <v>114</v>
      </c>
      <c r="D652" s="128" t="s">
        <v>423</v>
      </c>
      <c r="E652" s="128" t="s">
        <v>342</v>
      </c>
      <c r="F652" s="144"/>
      <c r="G652" s="177">
        <f>SUM(G653)</f>
        <v>0</v>
      </c>
      <c r="H652" s="22"/>
      <c r="I652" s="22"/>
    </row>
    <row r="653" spans="1:9" ht="15" hidden="1">
      <c r="A653" s="105" t="s">
        <v>48</v>
      </c>
      <c r="B653" s="155"/>
      <c r="C653" s="128" t="s">
        <v>114</v>
      </c>
      <c r="D653" s="128" t="s">
        <v>423</v>
      </c>
      <c r="E653" s="128" t="s">
        <v>342</v>
      </c>
      <c r="F653" s="144" t="s">
        <v>235</v>
      </c>
      <c r="G653" s="177"/>
      <c r="H653" s="22"/>
      <c r="I653" s="22"/>
    </row>
    <row r="654" spans="1:9" ht="15" hidden="1">
      <c r="A654" s="105" t="s">
        <v>343</v>
      </c>
      <c r="B654" s="155"/>
      <c r="C654" s="128" t="s">
        <v>114</v>
      </c>
      <c r="D654" s="128" t="s">
        <v>423</v>
      </c>
      <c r="E654" s="128" t="s">
        <v>344</v>
      </c>
      <c r="F654" s="144"/>
      <c r="G654" s="177">
        <f>SUM(G657+G655)</f>
        <v>0</v>
      </c>
      <c r="H654" s="22"/>
      <c r="I654" s="22" t="e">
        <f>SUM(H654/G680*100)</f>
        <v>#DIV/0!</v>
      </c>
    </row>
    <row r="655" spans="1:9" ht="15" hidden="1">
      <c r="A655" s="105" t="s">
        <v>234</v>
      </c>
      <c r="B655" s="155"/>
      <c r="C655" s="128" t="s">
        <v>114</v>
      </c>
      <c r="D655" s="128" t="s">
        <v>423</v>
      </c>
      <c r="E655" s="128" t="s">
        <v>344</v>
      </c>
      <c r="F655" s="144" t="s">
        <v>235</v>
      </c>
      <c r="G655" s="177"/>
      <c r="H655" s="22"/>
      <c r="I655" s="22" t="e">
        <f>SUM(H655/G681*100)</f>
        <v>#DIV/0!</v>
      </c>
    </row>
    <row r="656" spans="1:9" ht="28.5" hidden="1">
      <c r="A656" s="105" t="s">
        <v>345</v>
      </c>
      <c r="B656" s="155"/>
      <c r="C656" s="128" t="s">
        <v>114</v>
      </c>
      <c r="D656" s="128" t="s">
        <v>423</v>
      </c>
      <c r="E656" s="128" t="s">
        <v>346</v>
      </c>
      <c r="F656" s="144"/>
      <c r="G656" s="177">
        <f>SUM(G657)</f>
        <v>0</v>
      </c>
      <c r="H656" s="65" t="e">
        <f>SUM(H657+H667)</f>
        <v>#REF!</v>
      </c>
      <c r="I656" s="65" t="e">
        <f>SUM(H656/G682*100)</f>
        <v>#REF!</v>
      </c>
    </row>
    <row r="657" spans="1:9" ht="15" hidden="1">
      <c r="A657" s="105" t="s">
        <v>234</v>
      </c>
      <c r="B657" s="155"/>
      <c r="C657" s="128" t="s">
        <v>114</v>
      </c>
      <c r="D657" s="128" t="s">
        <v>423</v>
      </c>
      <c r="E657" s="128" t="s">
        <v>346</v>
      </c>
      <c r="F657" s="144" t="s">
        <v>235</v>
      </c>
      <c r="G657" s="177"/>
      <c r="H657" s="22">
        <f>SUM(H658)+H664</f>
        <v>0</v>
      </c>
      <c r="I657" s="22" t="e">
        <f>SUM(H657/#REF!*100)</f>
        <v>#REF!</v>
      </c>
    </row>
    <row r="658" spans="1:9" ht="15" hidden="1">
      <c r="A658" s="105" t="s">
        <v>118</v>
      </c>
      <c r="B658" s="145"/>
      <c r="C658" s="128" t="s">
        <v>114</v>
      </c>
      <c r="D658" s="128" t="s">
        <v>423</v>
      </c>
      <c r="E658" s="128" t="s">
        <v>119</v>
      </c>
      <c r="F658" s="143"/>
      <c r="G658" s="177">
        <f>SUM(G659)</f>
        <v>0</v>
      </c>
      <c r="H658" s="22">
        <f>SUM(H659)</f>
        <v>0</v>
      </c>
      <c r="I658" s="22" t="e">
        <f>SUM(H658/#REF!*100)</f>
        <v>#REF!</v>
      </c>
    </row>
    <row r="659" spans="1:9" ht="42.75" hidden="1">
      <c r="A659" s="99" t="s">
        <v>196</v>
      </c>
      <c r="B659" s="145"/>
      <c r="C659" s="128" t="s">
        <v>114</v>
      </c>
      <c r="D659" s="128" t="s">
        <v>423</v>
      </c>
      <c r="E659" s="128" t="s">
        <v>286</v>
      </c>
      <c r="F659" s="143"/>
      <c r="G659" s="177">
        <f>SUM(G660:G661)</f>
        <v>0</v>
      </c>
      <c r="H659" s="22">
        <f>SUM(H662)</f>
        <v>0</v>
      </c>
      <c r="I659" s="22" t="e">
        <f>SUM(H659/#REF!*100)</f>
        <v>#REF!</v>
      </c>
    </row>
    <row r="660" spans="1:9" ht="15" hidden="1">
      <c r="A660" s="105" t="s">
        <v>48</v>
      </c>
      <c r="B660" s="145"/>
      <c r="C660" s="128" t="s">
        <v>114</v>
      </c>
      <c r="D660" s="128" t="s">
        <v>423</v>
      </c>
      <c r="E660" s="128" t="s">
        <v>286</v>
      </c>
      <c r="F660" s="143" t="s">
        <v>235</v>
      </c>
      <c r="G660" s="177"/>
      <c r="H660" s="22"/>
      <c r="I660" s="22"/>
    </row>
    <row r="661" spans="1:9" ht="15" hidden="1">
      <c r="A661" s="105" t="s">
        <v>133</v>
      </c>
      <c r="B661" s="145"/>
      <c r="C661" s="128" t="s">
        <v>114</v>
      </c>
      <c r="D661" s="128" t="s">
        <v>423</v>
      </c>
      <c r="E661" s="128" t="s">
        <v>286</v>
      </c>
      <c r="F661" s="143" t="s">
        <v>73</v>
      </c>
      <c r="G661" s="177"/>
      <c r="H661" s="22"/>
      <c r="I661" s="22"/>
    </row>
    <row r="662" spans="1:9" ht="15">
      <c r="A662" s="100" t="s">
        <v>223</v>
      </c>
      <c r="B662" s="145"/>
      <c r="C662" s="128" t="s">
        <v>114</v>
      </c>
      <c r="D662" s="128" t="s">
        <v>112</v>
      </c>
      <c r="E662" s="128"/>
      <c r="F662" s="143"/>
      <c r="G662" s="177">
        <f>SUM(G666+G671+G664)</f>
        <v>8200.5</v>
      </c>
      <c r="H662" s="22">
        <f>SUM(H663)</f>
        <v>0</v>
      </c>
      <c r="I662" s="22" t="e">
        <f>SUM(H662/#REF!*100)</f>
        <v>#REF!</v>
      </c>
    </row>
    <row r="663" spans="1:9" ht="15" hidden="1">
      <c r="A663" s="99" t="s">
        <v>371</v>
      </c>
      <c r="B663" s="145"/>
      <c r="C663" s="128" t="s">
        <v>114</v>
      </c>
      <c r="D663" s="128" t="s">
        <v>112</v>
      </c>
      <c r="E663" s="128" t="s">
        <v>373</v>
      </c>
      <c r="F663" s="143"/>
      <c r="G663" s="177">
        <f>SUM(G664)</f>
        <v>0</v>
      </c>
      <c r="H663" s="22"/>
      <c r="I663" s="22" t="e">
        <f>SUM(H663/#REF!*100)</f>
        <v>#REF!</v>
      </c>
    </row>
    <row r="664" spans="1:9" ht="15" hidden="1">
      <c r="A664" s="99" t="s">
        <v>351</v>
      </c>
      <c r="B664" s="145"/>
      <c r="C664" s="128" t="s">
        <v>114</v>
      </c>
      <c r="D664" s="128" t="s">
        <v>112</v>
      </c>
      <c r="E664" s="128" t="s">
        <v>352</v>
      </c>
      <c r="F664" s="143"/>
      <c r="G664" s="177">
        <f>SUM(G665)</f>
        <v>0</v>
      </c>
      <c r="H664" s="22">
        <f>SUM(H665)</f>
        <v>0</v>
      </c>
      <c r="I664" s="22" t="e">
        <f>SUM(H664/#REF!*100)</f>
        <v>#REF!</v>
      </c>
    </row>
    <row r="665" spans="1:9" ht="28.5" hidden="1">
      <c r="A665" s="99" t="s">
        <v>296</v>
      </c>
      <c r="B665" s="145"/>
      <c r="C665" s="128" t="s">
        <v>114</v>
      </c>
      <c r="D665" s="128" t="s">
        <v>112</v>
      </c>
      <c r="E665" s="128" t="s">
        <v>352</v>
      </c>
      <c r="F665" s="143" t="s">
        <v>297</v>
      </c>
      <c r="G665" s="177"/>
      <c r="H665" s="22">
        <f>SUM(H666)</f>
        <v>0</v>
      </c>
      <c r="I665" s="22" t="e">
        <f>SUM(H665/#REF!*100)</f>
        <v>#REF!</v>
      </c>
    </row>
    <row r="666" spans="1:9" ht="42.75">
      <c r="A666" s="100" t="s">
        <v>278</v>
      </c>
      <c r="B666" s="145"/>
      <c r="C666" s="128" t="s">
        <v>114</v>
      </c>
      <c r="D666" s="128" t="s">
        <v>112</v>
      </c>
      <c r="E666" s="128" t="s">
        <v>279</v>
      </c>
      <c r="F666" s="143"/>
      <c r="G666" s="177">
        <f>SUM(G667)</f>
        <v>7000.499999999999</v>
      </c>
      <c r="H666" s="22"/>
      <c r="I666" s="22" t="e">
        <f>SUM(H666/#REF!*100)</f>
        <v>#REF!</v>
      </c>
    </row>
    <row r="667" spans="1:11" ht="28.5">
      <c r="A667" s="99" t="s">
        <v>47</v>
      </c>
      <c r="B667" s="145"/>
      <c r="C667" s="128" t="s">
        <v>114</v>
      </c>
      <c r="D667" s="128" t="s">
        <v>112</v>
      </c>
      <c r="E667" s="128" t="s">
        <v>280</v>
      </c>
      <c r="F667" s="143"/>
      <c r="G667" s="177">
        <f>SUM(G668:G670)</f>
        <v>7000.499999999999</v>
      </c>
      <c r="H667" s="22" t="e">
        <f>SUM(H668+H682+#REF!+#REF!+H700)</f>
        <v>#REF!</v>
      </c>
      <c r="I667" s="22" t="e">
        <f>SUM(H667/G683*100)</f>
        <v>#REF!</v>
      </c>
      <c r="K667" s="94"/>
    </row>
    <row r="668" spans="1:9" ht="28.5">
      <c r="A668" s="99" t="s">
        <v>459</v>
      </c>
      <c r="B668" s="155"/>
      <c r="C668" s="128" t="s">
        <v>114</v>
      </c>
      <c r="D668" s="128" t="s">
        <v>112</v>
      </c>
      <c r="E668" s="128" t="s">
        <v>280</v>
      </c>
      <c r="F668" s="144" t="s">
        <v>460</v>
      </c>
      <c r="G668" s="177">
        <v>6337.7</v>
      </c>
      <c r="H668" s="22">
        <f>SUM(H669+H672)</f>
        <v>46235.5</v>
      </c>
      <c r="I668" s="22">
        <f>SUM(H668/G684*100)</f>
        <v>721.9897250113212</v>
      </c>
    </row>
    <row r="669" spans="1:9" ht="15">
      <c r="A669" s="99" t="s">
        <v>464</v>
      </c>
      <c r="B669" s="155"/>
      <c r="C669" s="128" t="s">
        <v>114</v>
      </c>
      <c r="D669" s="128" t="s">
        <v>112</v>
      </c>
      <c r="E669" s="128" t="s">
        <v>280</v>
      </c>
      <c r="F669" s="144" t="s">
        <v>110</v>
      </c>
      <c r="G669" s="177">
        <v>658.4</v>
      </c>
      <c r="H669" s="22">
        <f>SUM(H670)</f>
        <v>146.8</v>
      </c>
      <c r="I669" s="22" t="e">
        <f>SUM(H669/#REF!*100)</f>
        <v>#REF!</v>
      </c>
    </row>
    <row r="670" spans="1:9" ht="15">
      <c r="A670" s="99" t="s">
        <v>465</v>
      </c>
      <c r="B670" s="155"/>
      <c r="C670" s="128" t="s">
        <v>114</v>
      </c>
      <c r="D670" s="128" t="s">
        <v>112</v>
      </c>
      <c r="E670" s="128" t="s">
        <v>280</v>
      </c>
      <c r="F670" s="144" t="s">
        <v>165</v>
      </c>
      <c r="G670" s="177">
        <v>4.4</v>
      </c>
      <c r="H670" s="22">
        <f>SUM(H671)</f>
        <v>146.8</v>
      </c>
      <c r="I670" s="22" t="e">
        <f>SUM(H670/#REF!*100)</f>
        <v>#REF!</v>
      </c>
    </row>
    <row r="671" spans="1:9" ht="15">
      <c r="A671" s="105" t="s">
        <v>118</v>
      </c>
      <c r="B671" s="145"/>
      <c r="C671" s="128" t="s">
        <v>114</v>
      </c>
      <c r="D671" s="128" t="s">
        <v>112</v>
      </c>
      <c r="E671" s="128" t="s">
        <v>119</v>
      </c>
      <c r="F671" s="143"/>
      <c r="G671" s="177">
        <f>SUM(G674)+G677+G672</f>
        <v>1200</v>
      </c>
      <c r="H671" s="22">
        <v>146.8</v>
      </c>
      <c r="I671" s="22" t="e">
        <f>SUM(H671/#REF!*100)</f>
        <v>#REF!</v>
      </c>
    </row>
    <row r="672" spans="1:9" ht="42.75" hidden="1">
      <c r="A672" s="99" t="s">
        <v>196</v>
      </c>
      <c r="B672" s="145"/>
      <c r="C672" s="128" t="s">
        <v>114</v>
      </c>
      <c r="D672" s="128" t="s">
        <v>112</v>
      </c>
      <c r="E672" s="128" t="s">
        <v>286</v>
      </c>
      <c r="F672" s="143"/>
      <c r="G672" s="177">
        <f>SUM(G673)</f>
        <v>0</v>
      </c>
      <c r="H672" s="22">
        <f>SUM(H673)</f>
        <v>46088.7</v>
      </c>
      <c r="I672" s="22" t="e">
        <f>SUM(H672/#REF!*100)</f>
        <v>#REF!</v>
      </c>
    </row>
    <row r="673" spans="1:9" ht="15" hidden="1">
      <c r="A673" s="105" t="s">
        <v>48</v>
      </c>
      <c r="B673" s="145"/>
      <c r="C673" s="128" t="s">
        <v>114</v>
      </c>
      <c r="D673" s="128" t="s">
        <v>112</v>
      </c>
      <c r="E673" s="128" t="s">
        <v>286</v>
      </c>
      <c r="F673" s="143" t="s">
        <v>235</v>
      </c>
      <c r="G673" s="177"/>
      <c r="H673" s="22">
        <f>SUM(H677:H680)</f>
        <v>46088.7</v>
      </c>
      <c r="I673" s="22">
        <f>SUM(H673/G686*100)</f>
        <v>719.69737191399</v>
      </c>
    </row>
    <row r="674" spans="1:9" ht="28.5" hidden="1">
      <c r="A674" s="99" t="s">
        <v>446</v>
      </c>
      <c r="B674" s="145"/>
      <c r="C674" s="128" t="s">
        <v>114</v>
      </c>
      <c r="D674" s="128" t="s">
        <v>112</v>
      </c>
      <c r="E674" s="128" t="s">
        <v>298</v>
      </c>
      <c r="F674" s="143"/>
      <c r="G674" s="177">
        <f>SUM(G675:G676)</f>
        <v>0</v>
      </c>
      <c r="H674" s="22"/>
      <c r="I674" s="22"/>
    </row>
    <row r="675" spans="1:9" ht="42.75" hidden="1">
      <c r="A675" s="105" t="s">
        <v>86</v>
      </c>
      <c r="B675" s="145"/>
      <c r="C675" s="128" t="s">
        <v>114</v>
      </c>
      <c r="D675" s="128" t="s">
        <v>112</v>
      </c>
      <c r="E675" s="128" t="s">
        <v>298</v>
      </c>
      <c r="F675" s="143" t="s">
        <v>297</v>
      </c>
      <c r="G675" s="177"/>
      <c r="H675" s="22">
        <f>SUM(H676)</f>
        <v>0</v>
      </c>
      <c r="I675" s="22">
        <f>SUM(H675/G685*100)</f>
        <v>0</v>
      </c>
    </row>
    <row r="676" spans="1:9" ht="15" hidden="1">
      <c r="A676" s="99" t="s">
        <v>148</v>
      </c>
      <c r="B676" s="145"/>
      <c r="C676" s="128" t="s">
        <v>114</v>
      </c>
      <c r="D676" s="128" t="s">
        <v>112</v>
      </c>
      <c r="E676" s="128" t="s">
        <v>298</v>
      </c>
      <c r="F676" s="143" t="s">
        <v>73</v>
      </c>
      <c r="G676" s="177"/>
      <c r="H676" s="22"/>
      <c r="I676" s="22"/>
    </row>
    <row r="677" spans="1:9" ht="15">
      <c r="A677" s="99" t="s">
        <v>480</v>
      </c>
      <c r="B677" s="145"/>
      <c r="C677" s="128" t="s">
        <v>114</v>
      </c>
      <c r="D677" s="128" t="s">
        <v>112</v>
      </c>
      <c r="E677" s="128" t="s">
        <v>299</v>
      </c>
      <c r="F677" s="143"/>
      <c r="G677" s="177">
        <f>SUM(G678:G680)</f>
        <v>1200</v>
      </c>
      <c r="H677" s="22">
        <v>46088.7</v>
      </c>
      <c r="I677" s="22">
        <f>SUM(H677/G693*100)</f>
        <v>719.69737191399</v>
      </c>
    </row>
    <row r="678" spans="1:9" ht="28.5">
      <c r="A678" s="99" t="s">
        <v>459</v>
      </c>
      <c r="B678" s="145"/>
      <c r="C678" s="128" t="s">
        <v>114</v>
      </c>
      <c r="D678" s="128" t="s">
        <v>112</v>
      </c>
      <c r="E678" s="128" t="s">
        <v>299</v>
      </c>
      <c r="F678" s="143" t="s">
        <v>460</v>
      </c>
      <c r="G678" s="177">
        <v>900</v>
      </c>
      <c r="H678" s="22"/>
      <c r="I678" s="22">
        <f>SUM(H678/G694*100)</f>
        <v>0</v>
      </c>
    </row>
    <row r="679" spans="1:9" ht="15">
      <c r="A679" s="99" t="s">
        <v>464</v>
      </c>
      <c r="B679" s="145"/>
      <c r="C679" s="128" t="s">
        <v>114</v>
      </c>
      <c r="D679" s="128" t="s">
        <v>112</v>
      </c>
      <c r="E679" s="128" t="s">
        <v>299</v>
      </c>
      <c r="F679" s="143" t="s">
        <v>110</v>
      </c>
      <c r="G679" s="177">
        <v>300</v>
      </c>
      <c r="H679" s="22"/>
      <c r="I679" s="22" t="e">
        <f>SUM(H679/#REF!*100)</f>
        <v>#REF!</v>
      </c>
    </row>
    <row r="680" spans="1:9" ht="15" hidden="1">
      <c r="A680" s="99" t="s">
        <v>465</v>
      </c>
      <c r="B680" s="145"/>
      <c r="C680" s="128" t="s">
        <v>114</v>
      </c>
      <c r="D680" s="128" t="s">
        <v>112</v>
      </c>
      <c r="E680" s="128" t="s">
        <v>299</v>
      </c>
      <c r="F680" s="143" t="s">
        <v>165</v>
      </c>
      <c r="G680" s="177"/>
      <c r="H680" s="22">
        <f>SUM(H681)</f>
        <v>0</v>
      </c>
      <c r="I680" s="22" t="e">
        <f>SUM(H680/#REF!*100)</f>
        <v>#REF!</v>
      </c>
    </row>
    <row r="681" spans="1:9" ht="15" hidden="1">
      <c r="A681" s="99" t="s">
        <v>148</v>
      </c>
      <c r="B681" s="145"/>
      <c r="C681" s="128" t="s">
        <v>114</v>
      </c>
      <c r="D681" s="128" t="s">
        <v>112</v>
      </c>
      <c r="E681" s="128" t="s">
        <v>299</v>
      </c>
      <c r="F681" s="143" t="s">
        <v>73</v>
      </c>
      <c r="G681" s="177"/>
      <c r="H681" s="22"/>
      <c r="I681" s="22" t="e">
        <f>SUM(H681/#REF!*100)</f>
        <v>#REF!</v>
      </c>
    </row>
    <row r="682" spans="1:9" ht="15">
      <c r="A682" s="102" t="s">
        <v>295</v>
      </c>
      <c r="B682" s="145" t="s">
        <v>254</v>
      </c>
      <c r="C682" s="128"/>
      <c r="D682" s="128"/>
      <c r="E682" s="128"/>
      <c r="F682" s="143"/>
      <c r="G682" s="184">
        <f>SUM(G683)</f>
        <v>39018.3</v>
      </c>
      <c r="H682" s="22" t="e">
        <f>SUM(#REF!+#REF!+#REF!+#REF!)</f>
        <v>#REF!</v>
      </c>
      <c r="I682" s="22" t="e">
        <f>SUM(H682/G695*100)</f>
        <v>#REF!</v>
      </c>
    </row>
    <row r="683" spans="1:9" ht="15">
      <c r="A683" s="99" t="s">
        <v>308</v>
      </c>
      <c r="B683" s="46"/>
      <c r="C683" s="128" t="s">
        <v>288</v>
      </c>
      <c r="D683" s="128"/>
      <c r="E683" s="128"/>
      <c r="F683" s="143"/>
      <c r="G683" s="177">
        <f>SUM(G684+G695+G714+G722)</f>
        <v>39018.3</v>
      </c>
      <c r="H683" s="22"/>
      <c r="I683" s="22"/>
    </row>
    <row r="684" spans="1:9" ht="15">
      <c r="A684" s="99" t="s">
        <v>166</v>
      </c>
      <c r="B684" s="46"/>
      <c r="C684" s="128" t="s">
        <v>288</v>
      </c>
      <c r="D684" s="128" t="s">
        <v>423</v>
      </c>
      <c r="E684" s="128"/>
      <c r="F684" s="143"/>
      <c r="G684" s="177">
        <f>SUM(G685)</f>
        <v>6403.9</v>
      </c>
      <c r="H684" s="22">
        <v>21799.8</v>
      </c>
      <c r="I684" s="22">
        <f>SUM(H684/G703*100)</f>
        <v>275.2117761422025</v>
      </c>
    </row>
    <row r="685" spans="1:9" ht="15">
      <c r="A685" s="99" t="s">
        <v>190</v>
      </c>
      <c r="B685" s="46"/>
      <c r="C685" s="128" t="s">
        <v>288</v>
      </c>
      <c r="D685" s="128" t="s">
        <v>423</v>
      </c>
      <c r="E685" s="128" t="s">
        <v>170</v>
      </c>
      <c r="F685" s="143"/>
      <c r="G685" s="178">
        <f>SUM(G686)</f>
        <v>6403.9</v>
      </c>
      <c r="H685" s="22"/>
      <c r="I685" s="22" t="e">
        <f>SUM(H685/#REF!*100)</f>
        <v>#REF!</v>
      </c>
    </row>
    <row r="686" spans="1:9" ht="15">
      <c r="A686" s="99" t="s">
        <v>85</v>
      </c>
      <c r="B686" s="145"/>
      <c r="C686" s="128" t="s">
        <v>288</v>
      </c>
      <c r="D686" s="128" t="s">
        <v>423</v>
      </c>
      <c r="E686" s="128" t="s">
        <v>74</v>
      </c>
      <c r="F686" s="143"/>
      <c r="G686" s="177">
        <f>SUM(G694)+G687</f>
        <v>6403.9</v>
      </c>
      <c r="H686" s="22"/>
      <c r="I686" s="22" t="e">
        <f>SUM(H686/#REF!*100)</f>
        <v>#REF!</v>
      </c>
    </row>
    <row r="687" spans="1:9" ht="15" hidden="1">
      <c r="A687" s="105" t="s">
        <v>148</v>
      </c>
      <c r="B687" s="145"/>
      <c r="C687" s="128" t="s">
        <v>288</v>
      </c>
      <c r="D687" s="128" t="s">
        <v>423</v>
      </c>
      <c r="E687" s="128" t="s">
        <v>131</v>
      </c>
      <c r="F687" s="143"/>
      <c r="G687" s="177">
        <f>SUM(G689+G691)</f>
        <v>0</v>
      </c>
      <c r="H687" s="22" t="e">
        <f>SUM(#REF!)</f>
        <v>#REF!</v>
      </c>
      <c r="I687" s="22" t="e">
        <f>SUM(H687/#REF!*100)</f>
        <v>#REF!</v>
      </c>
    </row>
    <row r="688" spans="1:9" ht="15" hidden="1">
      <c r="A688" s="105" t="s">
        <v>133</v>
      </c>
      <c r="B688" s="145"/>
      <c r="C688" s="128" t="s">
        <v>288</v>
      </c>
      <c r="D688" s="128" t="s">
        <v>423</v>
      </c>
      <c r="E688" s="128" t="s">
        <v>131</v>
      </c>
      <c r="F688" s="143" t="s">
        <v>73</v>
      </c>
      <c r="G688" s="177"/>
      <c r="H688" s="22">
        <f>SUM(H694:H694)</f>
        <v>7467.6</v>
      </c>
      <c r="I688" s="22">
        <f>SUM(H688/G706*100)</f>
        <v>66.1470051552784</v>
      </c>
    </row>
    <row r="689" spans="1:9" ht="28.5" hidden="1">
      <c r="A689" s="105" t="s">
        <v>378</v>
      </c>
      <c r="B689" s="145"/>
      <c r="C689" s="128" t="s">
        <v>288</v>
      </c>
      <c r="D689" s="128" t="s">
        <v>423</v>
      </c>
      <c r="E689" s="128" t="s">
        <v>132</v>
      </c>
      <c r="F689" s="143"/>
      <c r="G689" s="177">
        <f>SUM(G690)</f>
        <v>0</v>
      </c>
      <c r="H689" s="22"/>
      <c r="I689" s="22"/>
    </row>
    <row r="690" spans="1:9" ht="15" hidden="1">
      <c r="A690" s="105" t="s">
        <v>133</v>
      </c>
      <c r="B690" s="145"/>
      <c r="C690" s="128" t="s">
        <v>288</v>
      </c>
      <c r="D690" s="128" t="s">
        <v>423</v>
      </c>
      <c r="E690" s="128" t="s">
        <v>132</v>
      </c>
      <c r="F690" s="143" t="s">
        <v>73</v>
      </c>
      <c r="G690" s="177"/>
      <c r="H690" s="22"/>
      <c r="I690" s="22"/>
    </row>
    <row r="691" spans="1:9" ht="15" hidden="1">
      <c r="A691" s="99" t="s">
        <v>203</v>
      </c>
      <c r="B691" s="145"/>
      <c r="C691" s="128" t="s">
        <v>288</v>
      </c>
      <c r="D691" s="128" t="s">
        <v>423</v>
      </c>
      <c r="E691" s="128" t="s">
        <v>206</v>
      </c>
      <c r="F691" s="143"/>
      <c r="G691" s="177">
        <f>SUM(G692)</f>
        <v>0</v>
      </c>
      <c r="H691" s="22"/>
      <c r="I691" s="22"/>
    </row>
    <row r="692" spans="1:9" ht="15" hidden="1">
      <c r="A692" s="99" t="s">
        <v>148</v>
      </c>
      <c r="B692" s="145"/>
      <c r="C692" s="128" t="s">
        <v>288</v>
      </c>
      <c r="D692" s="128" t="s">
        <v>423</v>
      </c>
      <c r="E692" s="128" t="s">
        <v>206</v>
      </c>
      <c r="F692" s="143" t="s">
        <v>73</v>
      </c>
      <c r="G692" s="177"/>
      <c r="H692" s="22"/>
      <c r="I692" s="22"/>
    </row>
    <row r="693" spans="1:9" ht="28.5">
      <c r="A693" s="99" t="s">
        <v>290</v>
      </c>
      <c r="B693" s="145"/>
      <c r="C693" s="128" t="s">
        <v>288</v>
      </c>
      <c r="D693" s="128" t="s">
        <v>423</v>
      </c>
      <c r="E693" s="128" t="s">
        <v>289</v>
      </c>
      <c r="F693" s="143"/>
      <c r="G693" s="177">
        <f>SUM(G694)</f>
        <v>6403.9</v>
      </c>
      <c r="H693" s="22"/>
      <c r="I693" s="22"/>
    </row>
    <row r="694" spans="1:9" ht="28.5">
      <c r="A694" s="105" t="s">
        <v>481</v>
      </c>
      <c r="B694" s="155"/>
      <c r="C694" s="128" t="s">
        <v>288</v>
      </c>
      <c r="D694" s="128" t="s">
        <v>423</v>
      </c>
      <c r="E694" s="128" t="s">
        <v>289</v>
      </c>
      <c r="F694" s="144" t="s">
        <v>477</v>
      </c>
      <c r="G694" s="177">
        <v>6403.9</v>
      </c>
      <c r="H694" s="22">
        <v>7467.6</v>
      </c>
      <c r="I694" s="22">
        <f>SUM(H694/G712*100)</f>
        <v>66.73816290417717</v>
      </c>
    </row>
    <row r="695" spans="1:9" ht="15">
      <c r="A695" s="99" t="s">
        <v>229</v>
      </c>
      <c r="B695" s="46"/>
      <c r="C695" s="128" t="s">
        <v>288</v>
      </c>
      <c r="D695" s="128" t="s">
        <v>425</v>
      </c>
      <c r="E695" s="128"/>
      <c r="F695" s="143"/>
      <c r="G695" s="177">
        <f>SUM(G696+G705)</f>
        <v>19210.5</v>
      </c>
      <c r="H695" s="22">
        <f>SUM(H696:H697)</f>
        <v>1817.2</v>
      </c>
      <c r="I695" s="22" t="e">
        <f>SUM(H695/#REF!*100)</f>
        <v>#REF!</v>
      </c>
    </row>
    <row r="696" spans="1:9" ht="15">
      <c r="A696" s="99" t="s">
        <v>190</v>
      </c>
      <c r="B696" s="46"/>
      <c r="C696" s="128" t="s">
        <v>288</v>
      </c>
      <c r="D696" s="128" t="s">
        <v>425</v>
      </c>
      <c r="E696" s="128" t="s">
        <v>170</v>
      </c>
      <c r="F696" s="143"/>
      <c r="G696" s="177">
        <f>SUM(G697)</f>
        <v>7921.1</v>
      </c>
      <c r="H696" s="22">
        <v>1817.2</v>
      </c>
      <c r="I696" s="22" t="e">
        <f>SUM(H696/#REF!*100)</f>
        <v>#REF!</v>
      </c>
    </row>
    <row r="697" spans="1:9" ht="15">
      <c r="A697" s="99" t="s">
        <v>85</v>
      </c>
      <c r="B697" s="145"/>
      <c r="C697" s="128" t="s">
        <v>288</v>
      </c>
      <c r="D697" s="128" t="s">
        <v>425</v>
      </c>
      <c r="E697" s="128" t="s">
        <v>74</v>
      </c>
      <c r="F697" s="143"/>
      <c r="G697" s="177">
        <f>SUM(G698+G703)</f>
        <v>7921.1</v>
      </c>
      <c r="H697" s="22"/>
      <c r="I697" s="22" t="e">
        <f>SUM(H697/#REF!*100)</f>
        <v>#REF!</v>
      </c>
    </row>
    <row r="698" spans="1:9" ht="15" hidden="1">
      <c r="A698" s="105" t="s">
        <v>148</v>
      </c>
      <c r="B698" s="145"/>
      <c r="C698" s="128" t="s">
        <v>288</v>
      </c>
      <c r="D698" s="128" t="s">
        <v>425</v>
      </c>
      <c r="E698" s="128" t="s">
        <v>131</v>
      </c>
      <c r="F698" s="143"/>
      <c r="G698" s="177">
        <f>SUM(G701)+G699</f>
        <v>0</v>
      </c>
      <c r="H698" s="22">
        <f>SUM(H699)</f>
        <v>340</v>
      </c>
      <c r="I698" s="22" t="e">
        <f>SUM(H698/#REF!*100)</f>
        <v>#REF!</v>
      </c>
    </row>
    <row r="699" spans="1:9" ht="28.5" hidden="1">
      <c r="A699" s="105" t="s">
        <v>378</v>
      </c>
      <c r="B699" s="145"/>
      <c r="C699" s="128" t="s">
        <v>288</v>
      </c>
      <c r="D699" s="128" t="s">
        <v>425</v>
      </c>
      <c r="E699" s="128" t="s">
        <v>132</v>
      </c>
      <c r="F699" s="143"/>
      <c r="G699" s="177">
        <f>SUM(G700)</f>
        <v>0</v>
      </c>
      <c r="H699" s="22">
        <v>340</v>
      </c>
      <c r="I699" s="22" t="e">
        <f>SUM(H699/#REF!*100)</f>
        <v>#REF!</v>
      </c>
    </row>
    <row r="700" spans="1:9" ht="15" hidden="1">
      <c r="A700" s="105" t="s">
        <v>133</v>
      </c>
      <c r="B700" s="145"/>
      <c r="C700" s="128" t="s">
        <v>288</v>
      </c>
      <c r="D700" s="128" t="s">
        <v>425</v>
      </c>
      <c r="E700" s="128" t="s">
        <v>132</v>
      </c>
      <c r="F700" s="143" t="s">
        <v>73</v>
      </c>
      <c r="G700" s="177"/>
      <c r="H700" s="22">
        <f>SUM(H701)</f>
        <v>9494.7</v>
      </c>
      <c r="I700" s="22" t="e">
        <f>SUM(H700/#REF!*100)</f>
        <v>#REF!</v>
      </c>
    </row>
    <row r="701" spans="1:9" ht="15" hidden="1">
      <c r="A701" s="99" t="s">
        <v>203</v>
      </c>
      <c r="B701" s="145"/>
      <c r="C701" s="128" t="s">
        <v>288</v>
      </c>
      <c r="D701" s="128" t="s">
        <v>425</v>
      </c>
      <c r="E701" s="128" t="s">
        <v>206</v>
      </c>
      <c r="F701" s="143"/>
      <c r="G701" s="177">
        <f>SUM(G702)</f>
        <v>0</v>
      </c>
      <c r="H701" s="22">
        <f>SUM(H702)</f>
        <v>9494.7</v>
      </c>
      <c r="I701" s="22" t="e">
        <f>SUM(H701/#REF!*100)</f>
        <v>#REF!</v>
      </c>
    </row>
    <row r="702" spans="1:9" ht="15" hidden="1">
      <c r="A702" s="105" t="s">
        <v>133</v>
      </c>
      <c r="B702" s="145"/>
      <c r="C702" s="128" t="s">
        <v>288</v>
      </c>
      <c r="D702" s="128" t="s">
        <v>425</v>
      </c>
      <c r="E702" s="128" t="s">
        <v>206</v>
      </c>
      <c r="F702" s="143" t="s">
        <v>73</v>
      </c>
      <c r="G702" s="177"/>
      <c r="H702" s="22">
        <f>SUM(H703:H704)</f>
        <v>9494.7</v>
      </c>
      <c r="I702" s="22" t="e">
        <f>SUM(H702/#REF!*100)</f>
        <v>#REF!</v>
      </c>
    </row>
    <row r="703" spans="1:9" ht="28.5">
      <c r="A703" s="99" t="s">
        <v>290</v>
      </c>
      <c r="B703" s="145"/>
      <c r="C703" s="128" t="s">
        <v>288</v>
      </c>
      <c r="D703" s="128" t="s">
        <v>425</v>
      </c>
      <c r="E703" s="128" t="s">
        <v>289</v>
      </c>
      <c r="F703" s="143"/>
      <c r="G703" s="177">
        <f>SUM(G704)</f>
        <v>7921.1</v>
      </c>
      <c r="H703" s="22">
        <v>9494.7</v>
      </c>
      <c r="I703" s="22" t="e">
        <f>SUM(H703/#REF!*100)</f>
        <v>#REF!</v>
      </c>
    </row>
    <row r="704" spans="1:9" ht="28.5">
      <c r="A704" s="105" t="s">
        <v>481</v>
      </c>
      <c r="B704" s="155"/>
      <c r="C704" s="128" t="s">
        <v>288</v>
      </c>
      <c r="D704" s="128" t="s">
        <v>425</v>
      </c>
      <c r="E704" s="128" t="s">
        <v>289</v>
      </c>
      <c r="F704" s="144" t="s">
        <v>477</v>
      </c>
      <c r="G704" s="177">
        <v>7921.1</v>
      </c>
      <c r="H704" s="22"/>
      <c r="I704" s="22" t="e">
        <f>SUM(H704/#REF!*100)</f>
        <v>#REF!</v>
      </c>
    </row>
    <row r="705" spans="1:9" ht="15">
      <c r="A705" s="99" t="s">
        <v>230</v>
      </c>
      <c r="B705" s="46"/>
      <c r="C705" s="128" t="s">
        <v>288</v>
      </c>
      <c r="D705" s="128" t="s">
        <v>425</v>
      </c>
      <c r="E705" s="128" t="s">
        <v>231</v>
      </c>
      <c r="F705" s="143"/>
      <c r="G705" s="177">
        <f>SUM(G706)</f>
        <v>11289.4</v>
      </c>
      <c r="H705" s="22">
        <f>SUM(H706)</f>
        <v>7467.6</v>
      </c>
      <c r="I705" s="22" t="e">
        <f>SUM(H705/#REF!*100)</f>
        <v>#REF!</v>
      </c>
    </row>
    <row r="706" spans="1:9" ht="15">
      <c r="A706" s="99" t="s">
        <v>85</v>
      </c>
      <c r="B706" s="46"/>
      <c r="C706" s="128" t="s">
        <v>288</v>
      </c>
      <c r="D706" s="128" t="s">
        <v>425</v>
      </c>
      <c r="E706" s="128" t="s">
        <v>291</v>
      </c>
      <c r="F706" s="143"/>
      <c r="G706" s="177">
        <f>SUM(G712:G712)+G707</f>
        <v>11289.4</v>
      </c>
      <c r="H706" s="22">
        <v>7467.6</v>
      </c>
      <c r="I706" s="22" t="e">
        <f>SUM(H706/#REF!*100)</f>
        <v>#REF!</v>
      </c>
    </row>
    <row r="707" spans="1:9" ht="15">
      <c r="A707" s="105" t="s">
        <v>148</v>
      </c>
      <c r="B707" s="46"/>
      <c r="C707" s="128" t="s">
        <v>288</v>
      </c>
      <c r="D707" s="128" t="s">
        <v>425</v>
      </c>
      <c r="E707" s="128" t="s">
        <v>207</v>
      </c>
      <c r="F707" s="143"/>
      <c r="G707" s="177">
        <f>SUM(G708)+G710</f>
        <v>100</v>
      </c>
      <c r="H707" s="22">
        <f>SUM(H708)</f>
        <v>0</v>
      </c>
      <c r="I707" s="22" t="e">
        <f>SUM(H707/G720*100)</f>
        <v>#DIV/0!</v>
      </c>
    </row>
    <row r="708" spans="1:9" ht="28.5">
      <c r="A708" s="105" t="s">
        <v>134</v>
      </c>
      <c r="B708" s="145"/>
      <c r="C708" s="128" t="s">
        <v>288</v>
      </c>
      <c r="D708" s="128" t="s">
        <v>425</v>
      </c>
      <c r="E708" s="128" t="s">
        <v>135</v>
      </c>
      <c r="F708" s="143"/>
      <c r="G708" s="177">
        <f>SUM(G709)</f>
        <v>100</v>
      </c>
      <c r="H708" s="22"/>
      <c r="I708" s="22" t="e">
        <f>SUM(H708/G721*100)</f>
        <v>#DIV/0!</v>
      </c>
    </row>
    <row r="709" spans="1:9" ht="28.5">
      <c r="A709" s="105" t="s">
        <v>481</v>
      </c>
      <c r="B709" s="155"/>
      <c r="C709" s="128" t="s">
        <v>288</v>
      </c>
      <c r="D709" s="128" t="s">
        <v>425</v>
      </c>
      <c r="E709" s="128" t="s">
        <v>135</v>
      </c>
      <c r="F709" s="144" t="s">
        <v>477</v>
      </c>
      <c r="G709" s="177">
        <v>100</v>
      </c>
      <c r="H709" s="22">
        <f>SUM(H710:H711)</f>
        <v>6864.8</v>
      </c>
      <c r="I709" s="22">
        <f>SUM(H709/G726*100)</f>
        <v>53.32380493715919</v>
      </c>
    </row>
    <row r="710" spans="1:9" ht="28.5" hidden="1">
      <c r="A710" s="105" t="s">
        <v>378</v>
      </c>
      <c r="B710" s="145"/>
      <c r="C710" s="128" t="s">
        <v>288</v>
      </c>
      <c r="D710" s="128" t="s">
        <v>425</v>
      </c>
      <c r="E710" s="128" t="s">
        <v>449</v>
      </c>
      <c r="F710" s="143"/>
      <c r="G710" s="177">
        <f>SUM(G711)</f>
        <v>0</v>
      </c>
      <c r="H710" s="22">
        <v>6864.8</v>
      </c>
      <c r="I710" s="22">
        <f>SUM(H710/G727*100)</f>
        <v>60.5281488339285</v>
      </c>
    </row>
    <row r="711" spans="1:9" ht="15" hidden="1">
      <c r="A711" s="105" t="s">
        <v>133</v>
      </c>
      <c r="B711" s="145"/>
      <c r="C711" s="128" t="s">
        <v>288</v>
      </c>
      <c r="D711" s="128" t="s">
        <v>425</v>
      </c>
      <c r="E711" s="128" t="s">
        <v>449</v>
      </c>
      <c r="F711" s="143" t="s">
        <v>73</v>
      </c>
      <c r="G711" s="177"/>
      <c r="H711" s="22"/>
      <c r="I711" s="22" t="e">
        <f>SUM(H711/#REF!*100)</f>
        <v>#REF!</v>
      </c>
    </row>
    <row r="712" spans="1:9" ht="28.5">
      <c r="A712" s="105" t="s">
        <v>290</v>
      </c>
      <c r="B712" s="46"/>
      <c r="C712" s="128" t="s">
        <v>288</v>
      </c>
      <c r="D712" s="128" t="s">
        <v>425</v>
      </c>
      <c r="E712" s="128" t="s">
        <v>292</v>
      </c>
      <c r="F712" s="143"/>
      <c r="G712" s="177">
        <f>SUM(G713)</f>
        <v>11189.4</v>
      </c>
      <c r="H712" s="22" t="e">
        <f>SUM(H713+#REF!)</f>
        <v>#REF!</v>
      </c>
      <c r="I712" s="22" t="e">
        <f>SUM(H712/#REF!*100)</f>
        <v>#REF!</v>
      </c>
    </row>
    <row r="713" spans="1:9" ht="28.5">
      <c r="A713" s="105" t="s">
        <v>481</v>
      </c>
      <c r="B713" s="155"/>
      <c r="C713" s="128" t="s">
        <v>288</v>
      </c>
      <c r="D713" s="128" t="s">
        <v>425</v>
      </c>
      <c r="E713" s="128" t="s">
        <v>292</v>
      </c>
      <c r="F713" s="144" t="s">
        <v>477</v>
      </c>
      <c r="G713" s="177">
        <v>11189.4</v>
      </c>
      <c r="H713" s="22" t="e">
        <f>SUM(#REF!)</f>
        <v>#REF!</v>
      </c>
      <c r="I713" s="22" t="e">
        <f>SUM(H713/#REF!*100)</f>
        <v>#REF!</v>
      </c>
    </row>
    <row r="714" spans="1:9" ht="15">
      <c r="A714" s="105" t="s">
        <v>232</v>
      </c>
      <c r="B714" s="46"/>
      <c r="C714" s="128" t="s">
        <v>288</v>
      </c>
      <c r="D714" s="128" t="s">
        <v>112</v>
      </c>
      <c r="E714" s="128"/>
      <c r="F714" s="143"/>
      <c r="G714" s="177">
        <f>SUM(G717+G720)</f>
        <v>530.1</v>
      </c>
      <c r="H714" s="22"/>
      <c r="I714" s="22"/>
    </row>
    <row r="715" spans="1:9" ht="15" hidden="1">
      <c r="A715" s="105" t="s">
        <v>351</v>
      </c>
      <c r="B715" s="46"/>
      <c r="C715" s="128" t="s">
        <v>288</v>
      </c>
      <c r="D715" s="128" t="s">
        <v>112</v>
      </c>
      <c r="E715" s="128" t="s">
        <v>352</v>
      </c>
      <c r="F715" s="143"/>
      <c r="G715" s="177">
        <f>SUM(G716)</f>
        <v>0</v>
      </c>
      <c r="H715" s="22">
        <v>340</v>
      </c>
      <c r="I715" s="22" t="e">
        <f>SUM(H715/#REF!*100)</f>
        <v>#REF!</v>
      </c>
    </row>
    <row r="716" spans="1:9" ht="15" hidden="1">
      <c r="A716" s="105" t="s">
        <v>234</v>
      </c>
      <c r="B716" s="46"/>
      <c r="C716" s="128" t="s">
        <v>288</v>
      </c>
      <c r="D716" s="128" t="s">
        <v>112</v>
      </c>
      <c r="E716" s="128" t="s">
        <v>352</v>
      </c>
      <c r="F716" s="143" t="s">
        <v>235</v>
      </c>
      <c r="G716" s="177"/>
      <c r="H716" s="22">
        <v>1424.2</v>
      </c>
      <c r="I716" s="22" t="e">
        <f>SUM(H716/#REF!*100)</f>
        <v>#REF!</v>
      </c>
    </row>
    <row r="717" spans="1:9" ht="15">
      <c r="A717" s="99" t="s">
        <v>85</v>
      </c>
      <c r="B717" s="46"/>
      <c r="C717" s="128" t="s">
        <v>288</v>
      </c>
      <c r="D717" s="128" t="s">
        <v>112</v>
      </c>
      <c r="E717" s="128" t="s">
        <v>478</v>
      </c>
      <c r="F717" s="143"/>
      <c r="G717" s="177">
        <f>SUM(G718)</f>
        <v>530.1</v>
      </c>
      <c r="H717" s="22"/>
      <c r="I717" s="22"/>
    </row>
    <row r="718" spans="1:9" ht="28.5">
      <c r="A718" s="105" t="s">
        <v>290</v>
      </c>
      <c r="B718" s="46"/>
      <c r="C718" s="128" t="s">
        <v>288</v>
      </c>
      <c r="D718" s="128" t="s">
        <v>425</v>
      </c>
      <c r="E718" s="128" t="s">
        <v>479</v>
      </c>
      <c r="F718" s="143"/>
      <c r="G718" s="177">
        <f>SUM(G719)</f>
        <v>530.1</v>
      </c>
      <c r="H718" s="22"/>
      <c r="I718" s="22" t="e">
        <f>SUM(H718/#REF!*100)</f>
        <v>#REF!</v>
      </c>
    </row>
    <row r="719" spans="1:9" ht="29.25" thickBot="1">
      <c r="A719" s="105" t="s">
        <v>481</v>
      </c>
      <c r="B719" s="155"/>
      <c r="C719" s="128" t="s">
        <v>288</v>
      </c>
      <c r="D719" s="128" t="s">
        <v>425</v>
      </c>
      <c r="E719" s="128" t="s">
        <v>479</v>
      </c>
      <c r="F719" s="144" t="s">
        <v>477</v>
      </c>
      <c r="G719" s="177">
        <v>530.1</v>
      </c>
      <c r="H719" s="22"/>
      <c r="I719" s="22" t="e">
        <f>SUM(H719/#REF!*100)</f>
        <v>#REF!</v>
      </c>
    </row>
    <row r="720" spans="1:9" ht="15" hidden="1">
      <c r="A720" s="100" t="s">
        <v>3</v>
      </c>
      <c r="B720" s="46"/>
      <c r="C720" s="128" t="s">
        <v>288</v>
      </c>
      <c r="D720" s="128" t="s">
        <v>423</v>
      </c>
      <c r="E720" s="128" t="s">
        <v>255</v>
      </c>
      <c r="F720" s="142"/>
      <c r="G720" s="177">
        <f>SUM(G721)</f>
        <v>0</v>
      </c>
      <c r="H720" s="22"/>
      <c r="I720" s="22" t="e">
        <f>SUM(H720/#REF!*100)</f>
        <v>#REF!</v>
      </c>
    </row>
    <row r="721" spans="1:9" ht="29.25" hidden="1" thickBot="1">
      <c r="A721" s="99" t="s">
        <v>328</v>
      </c>
      <c r="B721" s="46"/>
      <c r="C721" s="128" t="s">
        <v>288</v>
      </c>
      <c r="D721" s="128" t="s">
        <v>423</v>
      </c>
      <c r="E721" s="128" t="s">
        <v>255</v>
      </c>
      <c r="F721" s="142" t="s">
        <v>256</v>
      </c>
      <c r="G721" s="177"/>
      <c r="H721" s="68"/>
      <c r="I721" s="68" t="e">
        <f>SUM(H721/#REF!*100)</f>
        <v>#REF!</v>
      </c>
    </row>
    <row r="722" spans="1:9" ht="16.5" thickBot="1">
      <c r="A722" s="100" t="s">
        <v>228</v>
      </c>
      <c r="B722" s="54"/>
      <c r="C722" s="128" t="s">
        <v>288</v>
      </c>
      <c r="D722" s="128" t="s">
        <v>288</v>
      </c>
      <c r="E722" s="128"/>
      <c r="F722" s="143"/>
      <c r="G722" s="177">
        <f>SUM(G725)</f>
        <v>12873.800000000001</v>
      </c>
      <c r="H722" s="69" t="e">
        <f>SUM(H11+H35+H54+#REF!+H315+#REF!+H477+#REF!+#REF!+H656)</f>
        <v>#REF!</v>
      </c>
      <c r="I722" s="69" t="e">
        <f>SUM(H722/G730*100)</f>
        <v>#REF!</v>
      </c>
    </row>
    <row r="723" spans="1:9" ht="43.5" hidden="1" thickBot="1">
      <c r="A723" s="100" t="s">
        <v>209</v>
      </c>
      <c r="B723" s="54"/>
      <c r="C723" s="128" t="s">
        <v>288</v>
      </c>
      <c r="D723" s="128" t="s">
        <v>288</v>
      </c>
      <c r="E723" s="128" t="s">
        <v>210</v>
      </c>
      <c r="F723" s="143"/>
      <c r="G723" s="177">
        <f>SUM(G724)</f>
        <v>0</v>
      </c>
      <c r="H723" s="70">
        <f>-76000-174.5-350</f>
        <v>-76524.5</v>
      </c>
      <c r="I723" s="70">
        <f>-76000-174.5-350</f>
        <v>-76524.5</v>
      </c>
    </row>
    <row r="724" spans="1:7" ht="15" hidden="1">
      <c r="A724" s="105" t="s">
        <v>148</v>
      </c>
      <c r="B724" s="54"/>
      <c r="C724" s="128" t="s">
        <v>288</v>
      </c>
      <c r="D724" s="128" t="s">
        <v>288</v>
      </c>
      <c r="E724" s="128" t="s">
        <v>210</v>
      </c>
      <c r="F724" s="143" t="s">
        <v>73</v>
      </c>
      <c r="G724" s="177"/>
    </row>
    <row r="725" spans="1:7" ht="28.5">
      <c r="A725" s="100" t="s">
        <v>167</v>
      </c>
      <c r="B725" s="46"/>
      <c r="C725" s="128" t="s">
        <v>288</v>
      </c>
      <c r="D725" s="128" t="s">
        <v>288</v>
      </c>
      <c r="E725" s="128" t="s">
        <v>168</v>
      </c>
      <c r="F725" s="143"/>
      <c r="G725" s="177">
        <f>SUM(G726)</f>
        <v>12873.800000000001</v>
      </c>
    </row>
    <row r="726" spans="1:7" ht="28.5">
      <c r="A726" s="99" t="s">
        <v>47</v>
      </c>
      <c r="B726" s="46"/>
      <c r="C726" s="128" t="s">
        <v>288</v>
      </c>
      <c r="D726" s="128" t="s">
        <v>288</v>
      </c>
      <c r="E726" s="128" t="s">
        <v>169</v>
      </c>
      <c r="F726" s="143"/>
      <c r="G726" s="177">
        <f>SUM(G727:G729)</f>
        <v>12873.800000000001</v>
      </c>
    </row>
    <row r="727" spans="1:7" ht="28.5">
      <c r="A727" s="99" t="s">
        <v>459</v>
      </c>
      <c r="B727" s="46"/>
      <c r="C727" s="128" t="s">
        <v>288</v>
      </c>
      <c r="D727" s="128" t="s">
        <v>288</v>
      </c>
      <c r="E727" s="128" t="s">
        <v>169</v>
      </c>
      <c r="F727" s="142" t="s">
        <v>460</v>
      </c>
      <c r="G727" s="177">
        <v>11341.5</v>
      </c>
    </row>
    <row r="728" spans="1:7" ht="15">
      <c r="A728" s="99" t="s">
        <v>464</v>
      </c>
      <c r="B728" s="46"/>
      <c r="C728" s="128" t="s">
        <v>288</v>
      </c>
      <c r="D728" s="128" t="s">
        <v>288</v>
      </c>
      <c r="E728" s="128" t="s">
        <v>169</v>
      </c>
      <c r="F728" s="142" t="s">
        <v>110</v>
      </c>
      <c r="G728" s="178">
        <v>1486.1</v>
      </c>
    </row>
    <row r="729" spans="1:7" ht="15.75" thickBot="1">
      <c r="A729" s="99" t="s">
        <v>465</v>
      </c>
      <c r="B729" s="46"/>
      <c r="C729" s="128" t="s">
        <v>288</v>
      </c>
      <c r="D729" s="128" t="s">
        <v>288</v>
      </c>
      <c r="E729" s="128" t="s">
        <v>169</v>
      </c>
      <c r="F729" s="143" t="s">
        <v>165</v>
      </c>
      <c r="G729" s="177">
        <v>46.2</v>
      </c>
    </row>
    <row r="730" spans="1:7" ht="15.75" thickBot="1">
      <c r="A730" s="136" t="s">
        <v>163</v>
      </c>
      <c r="B730" s="158"/>
      <c r="C730" s="134"/>
      <c r="D730" s="134"/>
      <c r="E730" s="134"/>
      <c r="F730" s="159"/>
      <c r="G730" s="224">
        <f>SUM(G11+G35+G54+G278+G322+G458+G497+G583+G682)</f>
        <v>3276110.8999999994</v>
      </c>
    </row>
    <row r="731" ht="12.75" customHeight="1">
      <c r="G731" s="95"/>
    </row>
    <row r="732" ht="15" hidden="1">
      <c r="G732" s="118">
        <v>3276110.9</v>
      </c>
    </row>
    <row r="733" ht="15" hidden="1"/>
    <row r="734" ht="15" hidden="1">
      <c r="G734" s="96">
        <f>SUM(G730-G732)</f>
        <v>-4.656612873077393E-10</v>
      </c>
    </row>
    <row r="735" ht="15" hidden="1">
      <c r="G735" s="97">
        <f>SUM(G730-2951239.5)</f>
        <v>324871.39999999944</v>
      </c>
    </row>
  </sheetData>
  <sheetProtection/>
  <mergeCells count="2">
    <mergeCell ref="F5:G5"/>
    <mergeCell ref="A9:A10"/>
  </mergeCells>
  <printOptions/>
  <pageMargins left="1.062992125984252" right="0.15748031496062992" top="0.15748031496062992" bottom="0.03937007874015748" header="0.5118110236220472" footer="0.2362204724409449"/>
  <pageSetup fitToHeight="16" fitToWidth="1" horizontalDpi="600" verticalDpi="600" orientation="portrait" paperSize="9" scale="57" r:id="rId1"/>
  <ignoredErrors>
    <ignoredError sqref="B11 C12:C14 D13:D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Julia</cp:lastModifiedBy>
  <cp:lastPrinted>2013-12-25T03:51:03Z</cp:lastPrinted>
  <dcterms:created xsi:type="dcterms:W3CDTF">2010-10-13T06:28:56Z</dcterms:created>
  <dcterms:modified xsi:type="dcterms:W3CDTF">2013-12-25T03:54:03Z</dcterms:modified>
  <cp:category/>
  <cp:version/>
  <cp:contentType/>
  <cp:contentStatus/>
</cp:coreProperties>
</file>